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240" yWindow="255" windowWidth="11310" windowHeight="6855" tabRatio="667" firstSheet="2" activeTab="2"/>
  </bookViews>
  <sheets>
    <sheet name="Sheet1" sheetId="9" state="hidden" r:id="rId1"/>
    <sheet name="Class-X Boardwise" sheetId="1" state="hidden" r:id="rId2"/>
    <sheet name="2020 Board" sheetId="23" r:id="rId3"/>
    <sheet name="2020 open" sheetId="24" r:id="rId4"/>
    <sheet name="Board" sheetId="5" state="hidden" r:id="rId5"/>
    <sheet name="Open Board" sheetId="11" state="hidden" r:id="rId6"/>
    <sheet name="TS_Final" sheetId="20" state="hidden" r:id="rId7"/>
    <sheet name="2016" sheetId="13" state="hidden" r:id="rId8"/>
    <sheet name="2015" sheetId="14" state="hidden" r:id="rId9"/>
    <sheet name="2014" sheetId="15" state="hidden" r:id="rId10"/>
    <sheet name="2013" sheetId="16" state="hidden" r:id="rId11"/>
    <sheet name="2012" sheetId="17" state="hidden" r:id="rId12"/>
    <sheet name="2011" sheetId="18" state="hidden" r:id="rId13"/>
    <sheet name="TS" sheetId="27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'Class-X Boardwise'!$A$2:$EL$2</definedName>
    <definedName name="_xlnm.Print_Area" localSheetId="8">'2015'!$A$1:$AF$58</definedName>
    <definedName name="_xlnm.Print_Area" localSheetId="2">'2020 Board'!$A$1:$FI$53</definedName>
    <definedName name="_xlnm.Print_Area" localSheetId="3">'2020 open'!$A$1:$AV$17</definedName>
    <definedName name="_xlnm.Print_Area" localSheetId="4">Board!$A$1:$FH$55</definedName>
    <definedName name="_xlnm.Print_Area" localSheetId="6">TS_Final!$A$1:$T$44</definedName>
    <definedName name="_xlnm.Print_Titles" localSheetId="12">'2011'!$A:$B,'2011'!$1:$8</definedName>
    <definedName name="_xlnm.Print_Titles" localSheetId="11">'2012'!$A:$B,'2012'!$1:$8</definedName>
    <definedName name="_xlnm.Print_Titles" localSheetId="10">'2013'!$A:$B,'2013'!$1:$8</definedName>
    <definedName name="_xlnm.Print_Titles" localSheetId="9">'2014'!$A:$B,'2014'!$1:$8</definedName>
    <definedName name="_xlnm.Print_Titles" localSheetId="8">'2015'!$A:$B,'2015'!$1:$8</definedName>
    <definedName name="_xlnm.Print_Titles" localSheetId="7">'2016'!$A:$B,'2016'!$1:$8</definedName>
    <definedName name="_xlnm.Print_Titles" localSheetId="2">'2020 Board'!$A:$C,'2020 Board'!$1:$7</definedName>
    <definedName name="_xlnm.Print_Titles" localSheetId="3">'2020 open'!$A:$C,'2020 open'!$3:$7</definedName>
    <definedName name="_xlnm.Print_Titles" localSheetId="4">Board!$A:$B,Board!$1:$7</definedName>
    <definedName name="_xlnm.Print_Titles" localSheetId="6">TS_Final!$A:$B</definedName>
  </definedNames>
  <calcPr calcId="124519"/>
  <pivotCaches>
    <pivotCache cacheId="0" r:id="rId18"/>
  </pivotCaches>
  <fileRecoveryPr autoRecover="0"/>
</workbook>
</file>

<file path=xl/calcChain.xml><?xml version="1.0" encoding="utf-8"?>
<calcChain xmlns="http://schemas.openxmlformats.org/spreadsheetml/2006/main">
  <c r="AJ11" i="24"/>
  <c r="L11"/>
  <c r="AB23" i="23"/>
  <c r="AE23" s="1"/>
  <c r="AC23"/>
  <c r="AF23" s="1"/>
  <c r="X23"/>
  <c r="AD23" s="1"/>
  <c r="U23"/>
  <c r="U24"/>
  <c r="S53" i="27"/>
  <c r="P53"/>
  <c r="G53"/>
  <c r="C53"/>
  <c r="H53"/>
  <c r="F53"/>
  <c r="E53"/>
  <c r="D53"/>
  <c r="FF15" i="23"/>
  <c r="EW15"/>
  <c r="T53" i="27"/>
  <c r="R53"/>
  <c r="Q53"/>
  <c r="O53"/>
  <c r="N53"/>
  <c r="M53"/>
  <c r="L53"/>
  <c r="K53"/>
  <c r="J53"/>
  <c r="I53"/>
  <c r="DN40" i="23"/>
  <c r="DQ40" s="1"/>
  <c r="DO40"/>
  <c r="DR40" s="1"/>
  <c r="DJ40"/>
  <c r="DP40" s="1"/>
  <c r="DG40"/>
  <c r="BV40"/>
  <c r="BY40" s="1"/>
  <c r="BU40"/>
  <c r="BX40" s="1"/>
  <c r="BQ40"/>
  <c r="BW40" s="1"/>
  <c r="BZ40" s="1"/>
  <c r="BN40"/>
  <c r="AC40"/>
  <c r="AF40" s="1"/>
  <c r="AB40"/>
  <c r="AE40" s="1"/>
  <c r="X40"/>
  <c r="AD40" s="1"/>
  <c r="U40"/>
  <c r="DS40" l="1"/>
  <c r="AG23"/>
  <c r="AG40"/>
  <c r="EN41"/>
  <c r="AN41"/>
  <c r="AO41"/>
  <c r="I41"/>
  <c r="O41" s="1"/>
  <c r="N41"/>
  <c r="Q41" s="1"/>
  <c r="AL41"/>
  <c r="M41"/>
  <c r="P41" s="1"/>
  <c r="AK41"/>
  <c r="F41"/>
  <c r="AI41"/>
  <c r="AH41"/>
  <c r="DT15"/>
  <c r="DU15"/>
  <c r="DW15"/>
  <c r="DX15"/>
  <c r="DY15"/>
  <c r="CY15"/>
  <c r="DB15" s="1"/>
  <c r="CZ15"/>
  <c r="DC15" s="1"/>
  <c r="CU15"/>
  <c r="DA15" s="1"/>
  <c r="CU16"/>
  <c r="CR15"/>
  <c r="DV15" s="1"/>
  <c r="BB15"/>
  <c r="BH15" s="1"/>
  <c r="BG15"/>
  <c r="CK15" s="1"/>
  <c r="CN15" s="1"/>
  <c r="CE15"/>
  <c r="BF15"/>
  <c r="BI15" s="1"/>
  <c r="CD15"/>
  <c r="AY15"/>
  <c r="CC15" s="1"/>
  <c r="CB15"/>
  <c r="CA15"/>
  <c r="BE37"/>
  <c r="CH35"/>
  <c r="CG35"/>
  <c r="BE35"/>
  <c r="CI35" s="1"/>
  <c r="CX30"/>
  <c r="BE20"/>
  <c r="CX8"/>
  <c r="CU24"/>
  <c r="DW47"/>
  <c r="DT47"/>
  <c r="BK15" l="1"/>
  <c r="BJ15"/>
  <c r="DD15"/>
  <c r="R41"/>
  <c r="AQ41"/>
  <c r="AT41" s="1"/>
  <c r="AR41"/>
  <c r="AU41" s="1"/>
  <c r="EC15"/>
  <c r="ED15"/>
  <c r="EE15"/>
  <c r="CL15"/>
  <c r="CO15" s="1"/>
  <c r="ES15"/>
  <c r="EY15" s="1"/>
  <c r="CF15"/>
  <c r="CJ15"/>
  <c r="CM15" s="1"/>
  <c r="EN15"/>
  <c r="I15"/>
  <c r="F15"/>
  <c r="AS15" i="24"/>
  <c r="AN15"/>
  <c r="AT15" s="1"/>
  <c r="AO15"/>
  <c r="AU15" s="1"/>
  <c r="U15"/>
  <c r="AP15" s="1"/>
  <c r="EN12" i="23"/>
  <c r="AL12"/>
  <c r="AK12"/>
  <c r="AI12"/>
  <c r="AH12"/>
  <c r="AB12"/>
  <c r="AE12" s="1"/>
  <c r="X12"/>
  <c r="AD12" s="1"/>
  <c r="U12"/>
  <c r="N12"/>
  <c r="Q12" s="1"/>
  <c r="M12"/>
  <c r="P12" s="1"/>
  <c r="I12"/>
  <c r="F12"/>
  <c r="CX42"/>
  <c r="CH42"/>
  <c r="CG42"/>
  <c r="BE42"/>
  <c r="CI42" s="1"/>
  <c r="AO42"/>
  <c r="AN42"/>
  <c r="EI41" l="1"/>
  <c r="EO41" s="1"/>
  <c r="EJ41"/>
  <c r="EP41" s="1"/>
  <c r="EF15"/>
  <c r="FA15"/>
  <c r="FG15" s="1"/>
  <c r="EG15"/>
  <c r="FB15"/>
  <c r="FH15" s="1"/>
  <c r="EH15"/>
  <c r="FC15"/>
  <c r="FI15" s="1"/>
  <c r="ET15"/>
  <c r="EZ15" s="1"/>
  <c r="ER15"/>
  <c r="EX15" s="1"/>
  <c r="AV15" i="24"/>
  <c r="AR12" i="23"/>
  <c r="AM12"/>
  <c r="AG12"/>
  <c r="AJ12"/>
  <c r="O12"/>
  <c r="AQ12"/>
  <c r="FF42"/>
  <c r="EW42"/>
  <c r="EN42"/>
  <c r="EB42"/>
  <c r="EA42"/>
  <c r="DZ42"/>
  <c r="DX42"/>
  <c r="DW42"/>
  <c r="DU42"/>
  <c r="DT42"/>
  <c r="DO42"/>
  <c r="DR42" s="1"/>
  <c r="DN42"/>
  <c r="DQ42" s="1"/>
  <c r="DJ42"/>
  <c r="DP42" s="1"/>
  <c r="DG42"/>
  <c r="CZ42"/>
  <c r="CY42"/>
  <c r="DB42" s="1"/>
  <c r="CU42"/>
  <c r="DA42" s="1"/>
  <c r="CR42"/>
  <c r="CE42"/>
  <c r="CD42"/>
  <c r="CB42"/>
  <c r="CA42"/>
  <c r="BV42"/>
  <c r="BY42" s="1"/>
  <c r="BU42"/>
  <c r="BX42" s="1"/>
  <c r="BQ42"/>
  <c r="BW42" s="1"/>
  <c r="BN42"/>
  <c r="BG42"/>
  <c r="BJ42" s="1"/>
  <c r="BF42"/>
  <c r="BB42"/>
  <c r="BH42" s="1"/>
  <c r="AY42"/>
  <c r="AL42"/>
  <c r="AK42"/>
  <c r="AI42"/>
  <c r="AH42"/>
  <c r="AC42"/>
  <c r="AF42" s="1"/>
  <c r="AB42"/>
  <c r="AE42" s="1"/>
  <c r="X42"/>
  <c r="AD42" s="1"/>
  <c r="U42"/>
  <c r="N42"/>
  <c r="Q42" s="1"/>
  <c r="M42"/>
  <c r="L42"/>
  <c r="AP42" s="1"/>
  <c r="I42"/>
  <c r="F42"/>
  <c r="BZ42" l="1"/>
  <c r="CC42"/>
  <c r="ED42"/>
  <c r="EG42" s="1"/>
  <c r="DV42"/>
  <c r="AQ42"/>
  <c r="EI42" s="1"/>
  <c r="EO42" s="1"/>
  <c r="AJ42"/>
  <c r="CJ42"/>
  <c r="CM42" s="1"/>
  <c r="EJ12"/>
  <c r="EP12" s="1"/>
  <c r="AU12"/>
  <c r="EI12"/>
  <c r="EO12" s="1"/>
  <c r="AT12"/>
  <c r="R12"/>
  <c r="AS12"/>
  <c r="DS42"/>
  <c r="EC42"/>
  <c r="EF42" s="1"/>
  <c r="BI42"/>
  <c r="AG42"/>
  <c r="O42"/>
  <c r="R42" s="1"/>
  <c r="P42"/>
  <c r="CL42"/>
  <c r="BK42"/>
  <c r="EE42"/>
  <c r="DD42"/>
  <c r="AM42"/>
  <c r="AR42"/>
  <c r="CF42"/>
  <c r="CK42"/>
  <c r="DY42"/>
  <c r="DC42"/>
  <c r="AT42" l="1"/>
  <c r="ER42"/>
  <c r="EX42" s="1"/>
  <c r="FB42"/>
  <c r="FH42" s="1"/>
  <c r="FA42"/>
  <c r="FG42" s="1"/>
  <c r="AS42"/>
  <c r="AV42" s="1"/>
  <c r="EK12"/>
  <c r="EQ12" s="1"/>
  <c r="AV12"/>
  <c r="CN42"/>
  <c r="ES42"/>
  <c r="EY42" s="1"/>
  <c r="EJ42"/>
  <c r="EP42" s="1"/>
  <c r="AU42"/>
  <c r="EH42"/>
  <c r="FC42"/>
  <c r="FI42" s="1"/>
  <c r="ET42"/>
  <c r="EZ42" s="1"/>
  <c r="CO42"/>
  <c r="EK42" l="1"/>
  <c r="EQ42" s="1"/>
  <c r="AR8" i="24"/>
  <c r="AR16" s="1"/>
  <c r="AQ8"/>
  <c r="AQ16" s="1"/>
  <c r="AI8"/>
  <c r="AI16" s="1"/>
  <c r="AH8"/>
  <c r="AH16" s="1"/>
  <c r="Z8"/>
  <c r="Z16" s="1"/>
  <c r="Y8"/>
  <c r="Y16" s="1"/>
  <c r="Q8"/>
  <c r="Q16" s="1"/>
  <c r="P8"/>
  <c r="P16" s="1"/>
  <c r="N8"/>
  <c r="M8"/>
  <c r="K8"/>
  <c r="K16" s="1"/>
  <c r="J8"/>
  <c r="J16" s="1"/>
  <c r="H8"/>
  <c r="G8"/>
  <c r="G16" s="1"/>
  <c r="E8"/>
  <c r="D8"/>
  <c r="D16" s="1"/>
  <c r="DT9" i="23"/>
  <c r="DU9"/>
  <c r="DW9"/>
  <c r="DX9"/>
  <c r="DZ9"/>
  <c r="EA9"/>
  <c r="DT10"/>
  <c r="DU10"/>
  <c r="DW10"/>
  <c r="DX10"/>
  <c r="DT40"/>
  <c r="DU40"/>
  <c r="DW40"/>
  <c r="DX40"/>
  <c r="DT11"/>
  <c r="DU11"/>
  <c r="DW11"/>
  <c r="DX11"/>
  <c r="DU38"/>
  <c r="DX38"/>
  <c r="DT13"/>
  <c r="DU13"/>
  <c r="DW13"/>
  <c r="DX13"/>
  <c r="CA9"/>
  <c r="CB9"/>
  <c r="CD9"/>
  <c r="CE9"/>
  <c r="CG9"/>
  <c r="CH9"/>
  <c r="CA10"/>
  <c r="CB10"/>
  <c r="CD10"/>
  <c r="CE10"/>
  <c r="CA40"/>
  <c r="CB40"/>
  <c r="CD40"/>
  <c r="CE40"/>
  <c r="CA11"/>
  <c r="CB11"/>
  <c r="CD11"/>
  <c r="CE11"/>
  <c r="CA38"/>
  <c r="CB38"/>
  <c r="CD38"/>
  <c r="CE38"/>
  <c r="CA13"/>
  <c r="CB13"/>
  <c r="CD13"/>
  <c r="CE13"/>
  <c r="CA14"/>
  <c r="CB14"/>
  <c r="CD14"/>
  <c r="CE14"/>
  <c r="CA16"/>
  <c r="CB16"/>
  <c r="CD16"/>
  <c r="CE16"/>
  <c r="CA18"/>
  <c r="CB18"/>
  <c r="CD18"/>
  <c r="CE18"/>
  <c r="CA19"/>
  <c r="CB19"/>
  <c r="CD19"/>
  <c r="CE19"/>
  <c r="CG19"/>
  <c r="CH19"/>
  <c r="CA20"/>
  <c r="CB20"/>
  <c r="CD20"/>
  <c r="CE20"/>
  <c r="CG20"/>
  <c r="CH20"/>
  <c r="CA21"/>
  <c r="CB21"/>
  <c r="CD21"/>
  <c r="CE21"/>
  <c r="CA22"/>
  <c r="CB22"/>
  <c r="CD22"/>
  <c r="CE22"/>
  <c r="CG22"/>
  <c r="CH22"/>
  <c r="CA24"/>
  <c r="CB24"/>
  <c r="CD24"/>
  <c r="CE24"/>
  <c r="CA25"/>
  <c r="CB25"/>
  <c r="CD25"/>
  <c r="CE25"/>
  <c r="CG25"/>
  <c r="CH25"/>
  <c r="CA26"/>
  <c r="CB26"/>
  <c r="CD26"/>
  <c r="CE26"/>
  <c r="CG26"/>
  <c r="CH26"/>
  <c r="CA29"/>
  <c r="CB29"/>
  <c r="CD29"/>
  <c r="CE29"/>
  <c r="CA27"/>
  <c r="CB27"/>
  <c r="CD27"/>
  <c r="CE27"/>
  <c r="CG27"/>
  <c r="CH27"/>
  <c r="CA30"/>
  <c r="CB30"/>
  <c r="CD30"/>
  <c r="CE30"/>
  <c r="CG30"/>
  <c r="CH30"/>
  <c r="CA31"/>
  <c r="CB31"/>
  <c r="CD31"/>
  <c r="CE31"/>
  <c r="CA32"/>
  <c r="CB32"/>
  <c r="CD32"/>
  <c r="CE32"/>
  <c r="CA33"/>
  <c r="CB33"/>
  <c r="CD33"/>
  <c r="CE33"/>
  <c r="CA35"/>
  <c r="CB35"/>
  <c r="CD35"/>
  <c r="CE35"/>
  <c r="CA36"/>
  <c r="CB36"/>
  <c r="CD36"/>
  <c r="CE36"/>
  <c r="CA37"/>
  <c r="CB37"/>
  <c r="CD37"/>
  <c r="CE37"/>
  <c r="CG37"/>
  <c r="CH37"/>
  <c r="CA39"/>
  <c r="CB39"/>
  <c r="CD39"/>
  <c r="CE39"/>
  <c r="CA41"/>
  <c r="CB41"/>
  <c r="CD41"/>
  <c r="CE41"/>
  <c r="CA46"/>
  <c r="CB46"/>
  <c r="CD46"/>
  <c r="CE46"/>
  <c r="CA48"/>
  <c r="CB48"/>
  <c r="CD48"/>
  <c r="CE48"/>
  <c r="CA49"/>
  <c r="CB49"/>
  <c r="CD49"/>
  <c r="CE49"/>
  <c r="CA45"/>
  <c r="CB45"/>
  <c r="CD45"/>
  <c r="CE45"/>
  <c r="CA28"/>
  <c r="CB28"/>
  <c r="CD28"/>
  <c r="CE28"/>
  <c r="CA34"/>
  <c r="CB34"/>
  <c r="CD34"/>
  <c r="CE34"/>
  <c r="CA43"/>
  <c r="CB43"/>
  <c r="CD43"/>
  <c r="CE43"/>
  <c r="CA44"/>
  <c r="CB44"/>
  <c r="CD44"/>
  <c r="CE44"/>
  <c r="CA47"/>
  <c r="CB47"/>
  <c r="CD47"/>
  <c r="CE47"/>
  <c r="AH9"/>
  <c r="AI9"/>
  <c r="AK9"/>
  <c r="AL9"/>
  <c r="AN9"/>
  <c r="AO9"/>
  <c r="AH10"/>
  <c r="AI10"/>
  <c r="AK10"/>
  <c r="AL10"/>
  <c r="AH40"/>
  <c r="AI40"/>
  <c r="AK40"/>
  <c r="AL40"/>
  <c r="AH11"/>
  <c r="AI11"/>
  <c r="AK11"/>
  <c r="AL11"/>
  <c r="AH38"/>
  <c r="AI38"/>
  <c r="AK38"/>
  <c r="AL38"/>
  <c r="AH13"/>
  <c r="AI13"/>
  <c r="AK13"/>
  <c r="AL13"/>
  <c r="AH14"/>
  <c r="AI14"/>
  <c r="AK14"/>
  <c r="AL14"/>
  <c r="AH15"/>
  <c r="AI15"/>
  <c r="AK15"/>
  <c r="AL15"/>
  <c r="AH16"/>
  <c r="AI16"/>
  <c r="AK16"/>
  <c r="AL16"/>
  <c r="AH17"/>
  <c r="AI17"/>
  <c r="AK17"/>
  <c r="AL17"/>
  <c r="AH18"/>
  <c r="AI18"/>
  <c r="AK18"/>
  <c r="AL18"/>
  <c r="AN18"/>
  <c r="AO18"/>
  <c r="AH19"/>
  <c r="AI19"/>
  <c r="AK19"/>
  <c r="AL19"/>
  <c r="AN19"/>
  <c r="AO19"/>
  <c r="AH20"/>
  <c r="AI20"/>
  <c r="AK20"/>
  <c r="AL20"/>
  <c r="AN20"/>
  <c r="AO20"/>
  <c r="AH21"/>
  <c r="AI21"/>
  <c r="AK21"/>
  <c r="AL21"/>
  <c r="AH22"/>
  <c r="AI22"/>
  <c r="AK22"/>
  <c r="AL22"/>
  <c r="AN22"/>
  <c r="AO22"/>
  <c r="AH23"/>
  <c r="AI23"/>
  <c r="AK23"/>
  <c r="AL23"/>
  <c r="AH24"/>
  <c r="AI24"/>
  <c r="AK24"/>
  <c r="AL24"/>
  <c r="AH25"/>
  <c r="AI25"/>
  <c r="AK25"/>
  <c r="AL25"/>
  <c r="AN25"/>
  <c r="AO25"/>
  <c r="AH26"/>
  <c r="AI26"/>
  <c r="AK26"/>
  <c r="AL26"/>
  <c r="AN26"/>
  <c r="AO26"/>
  <c r="AH29"/>
  <c r="AI29"/>
  <c r="AK29"/>
  <c r="AL29"/>
  <c r="AH27"/>
  <c r="AI27"/>
  <c r="AK27"/>
  <c r="AL27"/>
  <c r="AN27"/>
  <c r="AO27"/>
  <c r="AH30"/>
  <c r="AI30"/>
  <c r="AK30"/>
  <c r="AL30"/>
  <c r="AN30"/>
  <c r="AO30"/>
  <c r="AH31"/>
  <c r="AI31"/>
  <c r="AK31"/>
  <c r="AL31"/>
  <c r="AH32"/>
  <c r="AI32"/>
  <c r="AK32"/>
  <c r="AL32"/>
  <c r="AN32"/>
  <c r="AO32"/>
  <c r="AH33"/>
  <c r="AI33"/>
  <c r="AK33"/>
  <c r="AL33"/>
  <c r="AH35"/>
  <c r="AI35"/>
  <c r="AK35"/>
  <c r="AL35"/>
  <c r="AN35"/>
  <c r="AO35"/>
  <c r="AH36"/>
  <c r="AI36"/>
  <c r="AK36"/>
  <c r="AL36"/>
  <c r="AH37"/>
  <c r="AI37"/>
  <c r="AK37"/>
  <c r="AL37"/>
  <c r="AN37"/>
  <c r="AO37"/>
  <c r="AH39"/>
  <c r="AI39"/>
  <c r="AK39"/>
  <c r="AL39"/>
  <c r="AJ41"/>
  <c r="AM41"/>
  <c r="AP41"/>
  <c r="AH46"/>
  <c r="AI46"/>
  <c r="AK46"/>
  <c r="AL46"/>
  <c r="AH48"/>
  <c r="AI48"/>
  <c r="AK48"/>
  <c r="AL48"/>
  <c r="AH49"/>
  <c r="AI49"/>
  <c r="AK49"/>
  <c r="AL49"/>
  <c r="AH45"/>
  <c r="AI45"/>
  <c r="AK45"/>
  <c r="AL45"/>
  <c r="AN45"/>
  <c r="AO45"/>
  <c r="AH28"/>
  <c r="AI28"/>
  <c r="AK28"/>
  <c r="AL28"/>
  <c r="AH34"/>
  <c r="AI34"/>
  <c r="AK34"/>
  <c r="AL34"/>
  <c r="AH43"/>
  <c r="AI43"/>
  <c r="AK43"/>
  <c r="AL43"/>
  <c r="AO43"/>
  <c r="AP43"/>
  <c r="AH44"/>
  <c r="AI44"/>
  <c r="AK44"/>
  <c r="AL44"/>
  <c r="AH47"/>
  <c r="AI47"/>
  <c r="AK47"/>
  <c r="AL47"/>
  <c r="F38"/>
  <c r="FF44"/>
  <c r="EW44"/>
  <c r="EN44"/>
  <c r="DX44"/>
  <c r="DW44"/>
  <c r="DU44"/>
  <c r="DT44"/>
  <c r="AS12" i="24"/>
  <c r="AO12"/>
  <c r="AU12" s="1"/>
  <c r="AN12"/>
  <c r="AT12" s="1"/>
  <c r="AS10"/>
  <c r="AS13"/>
  <c r="AS11"/>
  <c r="AN14"/>
  <c r="AO14"/>
  <c r="AN10"/>
  <c r="AT10" s="1"/>
  <c r="AO10"/>
  <c r="AU10" s="1"/>
  <c r="AN13"/>
  <c r="AT13" s="1"/>
  <c r="AO13"/>
  <c r="AU13" s="1"/>
  <c r="AN11"/>
  <c r="AT11" s="1"/>
  <c r="AO11"/>
  <c r="AU11" s="1"/>
  <c r="AN8"/>
  <c r="AO8"/>
  <c r="AJ10"/>
  <c r="AJ13"/>
  <c r="AJ12"/>
  <c r="AJ15"/>
  <c r="AE14"/>
  <c r="AF14"/>
  <c r="AE10"/>
  <c r="AK10" s="1"/>
  <c r="AF10"/>
  <c r="AL10" s="1"/>
  <c r="AE13"/>
  <c r="AK13" s="1"/>
  <c r="AF13"/>
  <c r="AL13" s="1"/>
  <c r="AE11"/>
  <c r="AK11" s="1"/>
  <c r="AF11"/>
  <c r="AL11" s="1"/>
  <c r="AE12"/>
  <c r="AK12" s="1"/>
  <c r="AF12"/>
  <c r="AL12" s="1"/>
  <c r="AE15"/>
  <c r="AK15" s="1"/>
  <c r="AF15"/>
  <c r="AL15" s="1"/>
  <c r="AA10"/>
  <c r="AA13"/>
  <c r="AA11"/>
  <c r="AA12"/>
  <c r="AA15"/>
  <c r="V14"/>
  <c r="W14"/>
  <c r="V10"/>
  <c r="AB10" s="1"/>
  <c r="W10"/>
  <c r="AC10" s="1"/>
  <c r="V13"/>
  <c r="AB13" s="1"/>
  <c r="W13"/>
  <c r="AC13" s="1"/>
  <c r="V11"/>
  <c r="AB11" s="1"/>
  <c r="W11"/>
  <c r="AC11" s="1"/>
  <c r="V12"/>
  <c r="AB12" s="1"/>
  <c r="W12"/>
  <c r="AC12" s="1"/>
  <c r="V15"/>
  <c r="AB15" s="1"/>
  <c r="W15"/>
  <c r="AC15" s="1"/>
  <c r="U14"/>
  <c r="AP14" s="1"/>
  <c r="U10"/>
  <c r="AP10" s="1"/>
  <c r="U13"/>
  <c r="AP13" s="1"/>
  <c r="U11"/>
  <c r="AP11" s="1"/>
  <c r="U8"/>
  <c r="U12"/>
  <c r="AP12" s="1"/>
  <c r="R14"/>
  <c r="R10"/>
  <c r="R13"/>
  <c r="R11"/>
  <c r="R12"/>
  <c r="R15"/>
  <c r="O14"/>
  <c r="AG14" s="1"/>
  <c r="O10"/>
  <c r="AG10" s="1"/>
  <c r="O13"/>
  <c r="AG13" s="1"/>
  <c r="O11"/>
  <c r="AG11" s="1"/>
  <c r="O12"/>
  <c r="AG12" s="1"/>
  <c r="O15"/>
  <c r="AG15" s="1"/>
  <c r="L14"/>
  <c r="L10"/>
  <c r="L13"/>
  <c r="L12"/>
  <c r="L15"/>
  <c r="I14"/>
  <c r="X14" s="1"/>
  <c r="I10"/>
  <c r="X10" s="1"/>
  <c r="I13"/>
  <c r="X13" s="1"/>
  <c r="I11"/>
  <c r="X11" s="1"/>
  <c r="I12"/>
  <c r="X12" s="1"/>
  <c r="I15"/>
  <c r="X15" s="1"/>
  <c r="F15"/>
  <c r="F14"/>
  <c r="F10"/>
  <c r="F13"/>
  <c r="F11"/>
  <c r="F12"/>
  <c r="T9"/>
  <c r="T16" s="1"/>
  <c r="S9"/>
  <c r="S16" s="1"/>
  <c r="M9"/>
  <c r="EW47" i="23"/>
  <c r="EN47"/>
  <c r="EN43"/>
  <c r="DN47"/>
  <c r="I44"/>
  <c r="I47"/>
  <c r="F44"/>
  <c r="F47"/>
  <c r="FF34"/>
  <c r="FF43"/>
  <c r="EW43"/>
  <c r="DX43"/>
  <c r="DW43"/>
  <c r="DU43"/>
  <c r="DT43"/>
  <c r="I43"/>
  <c r="F43"/>
  <c r="FF41"/>
  <c r="EW41"/>
  <c r="EW36"/>
  <c r="EN36"/>
  <c r="I36"/>
  <c r="F36"/>
  <c r="FF33"/>
  <c r="EW33"/>
  <c r="EN33"/>
  <c r="I33"/>
  <c r="F33"/>
  <c r="FF29"/>
  <c r="EW29"/>
  <c r="EN29"/>
  <c r="DN29"/>
  <c r="DO29"/>
  <c r="I29"/>
  <c r="F29"/>
  <c r="CY40"/>
  <c r="I40"/>
  <c r="F40"/>
  <c r="F11"/>
  <c r="DW48"/>
  <c r="FF48"/>
  <c r="EW48"/>
  <c r="EN48"/>
  <c r="DX48"/>
  <c r="DU48"/>
  <c r="DT48"/>
  <c r="I48"/>
  <c r="F48"/>
  <c r="F49"/>
  <c r="FF30"/>
  <c r="EW30"/>
  <c r="EN30"/>
  <c r="L30"/>
  <c r="AP30" s="1"/>
  <c r="I30"/>
  <c r="F30"/>
  <c r="AM15" i="24" l="1"/>
  <c r="AM13"/>
  <c r="AP8"/>
  <c r="M16"/>
  <c r="AF8"/>
  <c r="AL8" s="1"/>
  <c r="N16"/>
  <c r="F8"/>
  <c r="E16"/>
  <c r="W8"/>
  <c r="AC8" s="1"/>
  <c r="H16"/>
  <c r="AT8"/>
  <c r="AM10"/>
  <c r="AV12"/>
  <c r="AD10"/>
  <c r="AD15"/>
  <c r="AV10"/>
  <c r="AJ30" i="23"/>
  <c r="AJ11"/>
  <c r="AM40"/>
  <c r="AM36"/>
  <c r="AJ43"/>
  <c r="AM30"/>
  <c r="AJ40"/>
  <c r="EC40"/>
  <c r="EF40" s="1"/>
  <c r="AJ36"/>
  <c r="AM43"/>
  <c r="AJ38"/>
  <c r="AS8" i="24"/>
  <c r="AJ8"/>
  <c r="R8"/>
  <c r="O8"/>
  <c r="AE8"/>
  <c r="L8"/>
  <c r="I8"/>
  <c r="V8"/>
  <c r="AM12"/>
  <c r="AD12"/>
  <c r="AU8"/>
  <c r="AA8"/>
  <c r="AV13"/>
  <c r="AD13"/>
  <c r="AV11"/>
  <c r="AM11"/>
  <c r="AD11"/>
  <c r="FF25" i="23"/>
  <c r="EW25"/>
  <c r="EN25"/>
  <c r="DO25"/>
  <c r="DN25"/>
  <c r="L25"/>
  <c r="I25"/>
  <c r="F25"/>
  <c r="FF13"/>
  <c r="EW13"/>
  <c r="EN13"/>
  <c r="DO44"/>
  <c r="DN44"/>
  <c r="DO48"/>
  <c r="DN48"/>
  <c r="DO33"/>
  <c r="DN33"/>
  <c r="DO13"/>
  <c r="DN13"/>
  <c r="I13"/>
  <c r="F13"/>
  <c r="FF11"/>
  <c r="DT25"/>
  <c r="DU25"/>
  <c r="DW25"/>
  <c r="DX25"/>
  <c r="DZ25"/>
  <c r="EA25"/>
  <c r="DT26"/>
  <c r="DU26"/>
  <c r="DW26"/>
  <c r="DX26"/>
  <c r="DZ26"/>
  <c r="EA26"/>
  <c r="DT29"/>
  <c r="DU29"/>
  <c r="DW29"/>
  <c r="DX29"/>
  <c r="DT27"/>
  <c r="DU27"/>
  <c r="DW27"/>
  <c r="DX27"/>
  <c r="DZ27"/>
  <c r="EA27"/>
  <c r="DT30"/>
  <c r="DU30"/>
  <c r="DW30"/>
  <c r="DX30"/>
  <c r="DZ30"/>
  <c r="EA30"/>
  <c r="DT31"/>
  <c r="DU31"/>
  <c r="DW31"/>
  <c r="DX31"/>
  <c r="DT32"/>
  <c r="DU32"/>
  <c r="DW32"/>
  <c r="DX32"/>
  <c r="DZ32"/>
  <c r="EA32"/>
  <c r="DT33"/>
  <c r="DU33"/>
  <c r="DW33"/>
  <c r="DX33"/>
  <c r="DT35"/>
  <c r="DU35"/>
  <c r="DW35"/>
  <c r="DX35"/>
  <c r="DZ35"/>
  <c r="EA35"/>
  <c r="DT36"/>
  <c r="DU36"/>
  <c r="DW36"/>
  <c r="DX36"/>
  <c r="DT37"/>
  <c r="DU37"/>
  <c r="DW37"/>
  <c r="DX37"/>
  <c r="DZ37"/>
  <c r="EA37"/>
  <c r="DT39"/>
  <c r="DU39"/>
  <c r="DW39"/>
  <c r="DX39"/>
  <c r="DT41"/>
  <c r="DU41"/>
  <c r="DW41"/>
  <c r="DX41"/>
  <c r="DT46"/>
  <c r="DU46"/>
  <c r="DW46"/>
  <c r="DX46"/>
  <c r="EW11"/>
  <c r="EN11"/>
  <c r="M40"/>
  <c r="N40"/>
  <c r="Q40" s="1"/>
  <c r="O40"/>
  <c r="M11"/>
  <c r="N11"/>
  <c r="I11"/>
  <c r="O11" s="1"/>
  <c r="DN10"/>
  <c r="DO10"/>
  <c r="F10"/>
  <c r="I10"/>
  <c r="I23"/>
  <c r="F23"/>
  <c r="AY24"/>
  <c r="FF24"/>
  <c r="EW24"/>
  <c r="EN24"/>
  <c r="DX24"/>
  <c r="DW24"/>
  <c r="DU24"/>
  <c r="DT24"/>
  <c r="DO24"/>
  <c r="DN24"/>
  <c r="DJ24"/>
  <c r="DG24"/>
  <c r="CZ24"/>
  <c r="CY24"/>
  <c r="CR24"/>
  <c r="BV24"/>
  <c r="BU24"/>
  <c r="BQ24"/>
  <c r="BN24"/>
  <c r="BG24"/>
  <c r="BF24"/>
  <c r="BB24"/>
  <c r="AC24"/>
  <c r="AB24"/>
  <c r="X24"/>
  <c r="N24"/>
  <c r="M24"/>
  <c r="I24"/>
  <c r="F24"/>
  <c r="FF16"/>
  <c r="EW16"/>
  <c r="EN16"/>
  <c r="DX16"/>
  <c r="DW16"/>
  <c r="DU16"/>
  <c r="DT16"/>
  <c r="DO16"/>
  <c r="DN16"/>
  <c r="DJ16"/>
  <c r="DG16"/>
  <c r="CZ16"/>
  <c r="DC16" s="1"/>
  <c r="CY16"/>
  <c r="CR16"/>
  <c r="BV16"/>
  <c r="BU16"/>
  <c r="BQ16"/>
  <c r="BN16"/>
  <c r="BG16"/>
  <c r="BF16"/>
  <c r="BB16"/>
  <c r="AY16"/>
  <c r="AC16"/>
  <c r="AB16"/>
  <c r="X16"/>
  <c r="U16"/>
  <c r="N16"/>
  <c r="M16"/>
  <c r="I16"/>
  <c r="F16"/>
  <c r="FF32"/>
  <c r="EW32"/>
  <c r="EN32"/>
  <c r="DO32"/>
  <c r="DN32"/>
  <c r="DJ32"/>
  <c r="DG32"/>
  <c r="CZ32"/>
  <c r="CY32"/>
  <c r="CX32"/>
  <c r="EB32" s="1"/>
  <c r="CU32"/>
  <c r="CR32"/>
  <c r="BV32"/>
  <c r="BU32"/>
  <c r="BQ32"/>
  <c r="BN32"/>
  <c r="BG32"/>
  <c r="BF32"/>
  <c r="BB32"/>
  <c r="AY32"/>
  <c r="AC32"/>
  <c r="AB32"/>
  <c r="X32"/>
  <c r="U32"/>
  <c r="N32"/>
  <c r="M32"/>
  <c r="L32"/>
  <c r="AP32" s="1"/>
  <c r="I32"/>
  <c r="F32"/>
  <c r="FF31"/>
  <c r="EW31"/>
  <c r="EN31"/>
  <c r="DO31"/>
  <c r="DN31"/>
  <c r="DJ31"/>
  <c r="DG31"/>
  <c r="CZ31"/>
  <c r="CY31"/>
  <c r="CU31"/>
  <c r="CR31"/>
  <c r="BV31"/>
  <c r="BU31"/>
  <c r="BQ31"/>
  <c r="BN31"/>
  <c r="BG31"/>
  <c r="BF31"/>
  <c r="BB31"/>
  <c r="AY31"/>
  <c r="AC31"/>
  <c r="AB31"/>
  <c r="X31"/>
  <c r="U31"/>
  <c r="N31"/>
  <c r="M31"/>
  <c r="I31"/>
  <c r="F31"/>
  <c r="FF27"/>
  <c r="EW27"/>
  <c r="EN27"/>
  <c r="DO27"/>
  <c r="DN27"/>
  <c r="DM27"/>
  <c r="DJ27"/>
  <c r="DG27"/>
  <c r="CZ27"/>
  <c r="CY27"/>
  <c r="CX27"/>
  <c r="CU27"/>
  <c r="CR27"/>
  <c r="BV27"/>
  <c r="BU27"/>
  <c r="BT27"/>
  <c r="BQ27"/>
  <c r="BN27"/>
  <c r="BG27"/>
  <c r="BF27"/>
  <c r="BE27"/>
  <c r="BB27"/>
  <c r="AY27"/>
  <c r="AC27"/>
  <c r="AB27"/>
  <c r="AA27"/>
  <c r="X27"/>
  <c r="U27"/>
  <c r="N27"/>
  <c r="M27"/>
  <c r="L27"/>
  <c r="I27"/>
  <c r="F27"/>
  <c r="FF49"/>
  <c r="EW49"/>
  <c r="EN49"/>
  <c r="DX49"/>
  <c r="DW49"/>
  <c r="DU49"/>
  <c r="DT49"/>
  <c r="DO49"/>
  <c r="DN49"/>
  <c r="DJ49"/>
  <c r="DG49"/>
  <c r="CZ49"/>
  <c r="CY49"/>
  <c r="CU49"/>
  <c r="CR49"/>
  <c r="BV49"/>
  <c r="BU49"/>
  <c r="BQ49"/>
  <c r="BN49"/>
  <c r="BG49"/>
  <c r="BF49"/>
  <c r="BB49"/>
  <c r="AY49"/>
  <c r="AC49"/>
  <c r="AB49"/>
  <c r="X49"/>
  <c r="U49"/>
  <c r="N49"/>
  <c r="M49"/>
  <c r="I49"/>
  <c r="AK8" i="24" l="1"/>
  <c r="AG8"/>
  <c r="AM8" s="1"/>
  <c r="AB8"/>
  <c r="X8"/>
  <c r="AD8" s="1"/>
  <c r="AV8"/>
  <c r="EB27" i="23"/>
  <c r="AP27"/>
  <c r="CK24"/>
  <c r="CN24" s="1"/>
  <c r="CI27"/>
  <c r="CJ16"/>
  <c r="AS11"/>
  <c r="AV11" s="1"/>
  <c r="R11"/>
  <c r="AM49"/>
  <c r="AQ49"/>
  <c r="EI49" s="1"/>
  <c r="EO49" s="1"/>
  <c r="CC49"/>
  <c r="CJ49"/>
  <c r="CM49" s="1"/>
  <c r="O27"/>
  <c r="R27" s="1"/>
  <c r="AM27"/>
  <c r="P27"/>
  <c r="AQ27"/>
  <c r="AF27"/>
  <c r="CF27"/>
  <c r="CJ27"/>
  <c r="BY27"/>
  <c r="DB27"/>
  <c r="DR27"/>
  <c r="AM31"/>
  <c r="AR31"/>
  <c r="AF31"/>
  <c r="CF31"/>
  <c r="CK31"/>
  <c r="ES31" s="1"/>
  <c r="EY31" s="1"/>
  <c r="BW31"/>
  <c r="BZ31" s="1"/>
  <c r="BY31"/>
  <c r="EC31"/>
  <c r="EF31" s="1"/>
  <c r="DQ31"/>
  <c r="AM32"/>
  <c r="P32"/>
  <c r="AQ32"/>
  <c r="EI32" s="1"/>
  <c r="AE32"/>
  <c r="CC32"/>
  <c r="CJ32"/>
  <c r="BX32"/>
  <c r="DP32"/>
  <c r="DS32" s="1"/>
  <c r="DR32"/>
  <c r="AJ16"/>
  <c r="AR16"/>
  <c r="CF16"/>
  <c r="BW16"/>
  <c r="BX16"/>
  <c r="DY16"/>
  <c r="AM24"/>
  <c r="AR24"/>
  <c r="AF24"/>
  <c r="CJ24"/>
  <c r="CM24" s="1"/>
  <c r="DB24"/>
  <c r="DQ24"/>
  <c r="AM23"/>
  <c r="AQ11"/>
  <c r="AR40"/>
  <c r="CK16"/>
  <c r="BY16"/>
  <c r="P11"/>
  <c r="DV32"/>
  <c r="DV31"/>
  <c r="ED27"/>
  <c r="EG27" s="1"/>
  <c r="DV27"/>
  <c r="Q49"/>
  <c r="AR49"/>
  <c r="CF49"/>
  <c r="CK49"/>
  <c r="CN49" s="1"/>
  <c r="DY49"/>
  <c r="DP49"/>
  <c r="DS49" s="1"/>
  <c r="AJ27"/>
  <c r="AR27"/>
  <c r="AD27"/>
  <c r="AG27" s="1"/>
  <c r="AE27"/>
  <c r="CC27"/>
  <c r="BJ27"/>
  <c r="CK27"/>
  <c r="BW27"/>
  <c r="BZ27" s="1"/>
  <c r="BX27"/>
  <c r="DP27"/>
  <c r="DS27" s="1"/>
  <c r="DQ27"/>
  <c r="AJ31"/>
  <c r="AQ31"/>
  <c r="EI31" s="1"/>
  <c r="EO31" s="1"/>
  <c r="AE31"/>
  <c r="CC31"/>
  <c r="CJ31"/>
  <c r="ER31" s="1"/>
  <c r="EX31" s="1"/>
  <c r="BX31"/>
  <c r="ED31"/>
  <c r="EG31" s="1"/>
  <c r="DP31"/>
  <c r="DS31" s="1"/>
  <c r="DR31"/>
  <c r="AJ32"/>
  <c r="AR32"/>
  <c r="EJ32" s="1"/>
  <c r="EP32" s="1"/>
  <c r="AF32"/>
  <c r="CF32"/>
  <c r="CK32"/>
  <c r="ES32" s="1"/>
  <c r="EY32" s="1"/>
  <c r="BW32"/>
  <c r="BZ32" s="1"/>
  <c r="BY32"/>
  <c r="DQ32"/>
  <c r="O16"/>
  <c r="R16" s="1"/>
  <c r="AM16"/>
  <c r="P16"/>
  <c r="AQ16"/>
  <c r="CC16"/>
  <c r="DV16"/>
  <c r="AJ24"/>
  <c r="P24"/>
  <c r="AQ24"/>
  <c r="EI24" s="1"/>
  <c r="AE24"/>
  <c r="CF24"/>
  <c r="DR24"/>
  <c r="CC24"/>
  <c r="AJ23"/>
  <c r="AM11"/>
  <c r="AR11"/>
  <c r="R40"/>
  <c r="AS40"/>
  <c r="P40"/>
  <c r="AQ40"/>
  <c r="Q11"/>
  <c r="DY32"/>
  <c r="DY31"/>
  <c r="EC27"/>
  <c r="DY27"/>
  <c r="AJ49"/>
  <c r="DR16"/>
  <c r="DQ16"/>
  <c r="DP16"/>
  <c r="DR49"/>
  <c r="DQ49"/>
  <c r="EC49"/>
  <c r="ED16"/>
  <c r="DB16"/>
  <c r="ER49"/>
  <c r="EX49" s="1"/>
  <c r="BY49"/>
  <c r="BX49"/>
  <c r="BW49"/>
  <c r="BY24"/>
  <c r="BX24"/>
  <c r="BW24"/>
  <c r="BJ24"/>
  <c r="BJ16"/>
  <c r="AF49"/>
  <c r="AE49"/>
  <c r="AD49"/>
  <c r="AG49" s="1"/>
  <c r="AF16"/>
  <c r="AE16"/>
  <c r="ED32"/>
  <c r="EG32" s="1"/>
  <c r="EC32"/>
  <c r="EF32" s="1"/>
  <c r="AD31"/>
  <c r="AD32"/>
  <c r="DP24"/>
  <c r="AD24"/>
  <c r="ED24"/>
  <c r="DY24"/>
  <c r="DV24"/>
  <c r="DC24"/>
  <c r="BI24"/>
  <c r="Q24"/>
  <c r="O24"/>
  <c r="DA24"/>
  <c r="EC24"/>
  <c r="BH24"/>
  <c r="BI16"/>
  <c r="AD16"/>
  <c r="DA16"/>
  <c r="EC16"/>
  <c r="Q16"/>
  <c r="BH16"/>
  <c r="DB32"/>
  <c r="BJ32"/>
  <c r="O32"/>
  <c r="Q32"/>
  <c r="BI32"/>
  <c r="DA32"/>
  <c r="DC32"/>
  <c r="BH32"/>
  <c r="DB31"/>
  <c r="BJ31"/>
  <c r="P31"/>
  <c r="O31"/>
  <c r="Q31"/>
  <c r="BI31"/>
  <c r="DA31"/>
  <c r="DC31"/>
  <c r="BH31"/>
  <c r="DC27"/>
  <c r="BI27"/>
  <c r="Q27"/>
  <c r="DA27"/>
  <c r="BH27"/>
  <c r="ED49"/>
  <c r="EG49" s="1"/>
  <c r="DV49"/>
  <c r="DB49"/>
  <c r="BJ49"/>
  <c r="P49"/>
  <c r="BH49"/>
  <c r="O49"/>
  <c r="BI49"/>
  <c r="DA49"/>
  <c r="DC49"/>
  <c r="FF26"/>
  <c r="EW26"/>
  <c r="EN26"/>
  <c r="DO26"/>
  <c r="DN26"/>
  <c r="DJ26"/>
  <c r="DG26"/>
  <c r="CZ26"/>
  <c r="CY26"/>
  <c r="CX26"/>
  <c r="CU26"/>
  <c r="CR26"/>
  <c r="BV26"/>
  <c r="BU26"/>
  <c r="BQ26"/>
  <c r="BN26"/>
  <c r="BG26"/>
  <c r="BJ26" s="1"/>
  <c r="BF26"/>
  <c r="BE26"/>
  <c r="CI26" s="1"/>
  <c r="BB26"/>
  <c r="AY26"/>
  <c r="AC26"/>
  <c r="AB26"/>
  <c r="X26"/>
  <c r="U26"/>
  <c r="N26"/>
  <c r="M26"/>
  <c r="L26"/>
  <c r="AP26" s="1"/>
  <c r="I26"/>
  <c r="F26"/>
  <c r="L45"/>
  <c r="AP45" s="1"/>
  <c r="EW45"/>
  <c r="EN45"/>
  <c r="BG45"/>
  <c r="BF45"/>
  <c r="BB45"/>
  <c r="AY45"/>
  <c r="N45"/>
  <c r="M45"/>
  <c r="I45"/>
  <c r="F45"/>
  <c r="FF9"/>
  <c r="EW9"/>
  <c r="EN9"/>
  <c r="DO9"/>
  <c r="DR9" s="1"/>
  <c r="DN9"/>
  <c r="DJ9"/>
  <c r="DG9"/>
  <c r="CZ9"/>
  <c r="CY9"/>
  <c r="CX9"/>
  <c r="EB9" s="1"/>
  <c r="CU9"/>
  <c r="CR9"/>
  <c r="BV9"/>
  <c r="BU9"/>
  <c r="BQ9"/>
  <c r="BN9"/>
  <c r="BG9"/>
  <c r="BF9"/>
  <c r="BE9"/>
  <c r="CI9" s="1"/>
  <c r="BB9"/>
  <c r="AY9"/>
  <c r="AC9"/>
  <c r="AB9"/>
  <c r="X9"/>
  <c r="U9"/>
  <c r="N9"/>
  <c r="M9"/>
  <c r="L9"/>
  <c r="AP9" s="1"/>
  <c r="I9"/>
  <c r="F9"/>
  <c r="EW21"/>
  <c r="EN21"/>
  <c r="BG21"/>
  <c r="BF21"/>
  <c r="BB21"/>
  <c r="AY21"/>
  <c r="N21"/>
  <c r="M21"/>
  <c r="I21"/>
  <c r="F21"/>
  <c r="FF39"/>
  <c r="EW39"/>
  <c r="EN39"/>
  <c r="DO39"/>
  <c r="DN39"/>
  <c r="DJ39"/>
  <c r="DG39"/>
  <c r="CZ39"/>
  <c r="CY39"/>
  <c r="CU39"/>
  <c r="CR39"/>
  <c r="BV39"/>
  <c r="BU39"/>
  <c r="BQ39"/>
  <c r="BN39"/>
  <c r="BG39"/>
  <c r="BF39"/>
  <c r="BB39"/>
  <c r="AY39"/>
  <c r="AC39"/>
  <c r="AB39"/>
  <c r="X39"/>
  <c r="U39"/>
  <c r="N39"/>
  <c r="M39"/>
  <c r="I39"/>
  <c r="F39"/>
  <c r="FF22"/>
  <c r="EW22"/>
  <c r="EN22"/>
  <c r="EA22"/>
  <c r="DZ22"/>
  <c r="DX22"/>
  <c r="DW22"/>
  <c r="DU22"/>
  <c r="DT22"/>
  <c r="CZ22"/>
  <c r="CY22"/>
  <c r="CX22"/>
  <c r="CU22"/>
  <c r="CR22"/>
  <c r="BG22"/>
  <c r="BF22"/>
  <c r="BE22"/>
  <c r="CI22" s="1"/>
  <c r="BB22"/>
  <c r="AY22"/>
  <c r="N22"/>
  <c r="M22"/>
  <c r="L22"/>
  <c r="AP22" s="1"/>
  <c r="I22"/>
  <c r="F22"/>
  <c r="FF19"/>
  <c r="EW19"/>
  <c r="EN19"/>
  <c r="EA19"/>
  <c r="DZ19"/>
  <c r="DX19"/>
  <c r="DW19"/>
  <c r="DU19"/>
  <c r="DT19"/>
  <c r="DO19"/>
  <c r="DN19"/>
  <c r="DM19"/>
  <c r="DJ19"/>
  <c r="DG19"/>
  <c r="CZ19"/>
  <c r="CY19"/>
  <c r="CX19"/>
  <c r="CU19"/>
  <c r="CR19"/>
  <c r="BV19"/>
  <c r="BU19"/>
  <c r="BT19"/>
  <c r="BQ19"/>
  <c r="BN19"/>
  <c r="BG19"/>
  <c r="BF19"/>
  <c r="BE19"/>
  <c r="BB19"/>
  <c r="AY19"/>
  <c r="AC19"/>
  <c r="AB19"/>
  <c r="AA19"/>
  <c r="X19"/>
  <c r="U19"/>
  <c r="N19"/>
  <c r="M19"/>
  <c r="L19"/>
  <c r="I19"/>
  <c r="F19"/>
  <c r="EW14"/>
  <c r="EN14"/>
  <c r="BG14"/>
  <c r="CK14" s="1"/>
  <c r="CN14" s="1"/>
  <c r="BF14"/>
  <c r="BB14"/>
  <c r="AY14"/>
  <c r="AC14"/>
  <c r="AB14"/>
  <c r="X14"/>
  <c r="U14"/>
  <c r="N14"/>
  <c r="M14"/>
  <c r="I14"/>
  <c r="F14"/>
  <c r="M17"/>
  <c r="P17" s="1"/>
  <c r="I17"/>
  <c r="O17" s="1"/>
  <c r="F17"/>
  <c r="DX34"/>
  <c r="DW34"/>
  <c r="DU34"/>
  <c r="DT34"/>
  <c r="FF28"/>
  <c r="DX28"/>
  <c r="DW28"/>
  <c r="DU28"/>
  <c r="DT28"/>
  <c r="EW28"/>
  <c r="EN28"/>
  <c r="CZ28"/>
  <c r="CY28"/>
  <c r="CU28"/>
  <c r="CR28"/>
  <c r="BG28"/>
  <c r="BF28"/>
  <c r="BB28"/>
  <c r="AY28"/>
  <c r="N28"/>
  <c r="M28"/>
  <c r="I28"/>
  <c r="F28"/>
  <c r="M46"/>
  <c r="FF46"/>
  <c r="EW46"/>
  <c r="EN46"/>
  <c r="DO46"/>
  <c r="DN46"/>
  <c r="DJ46"/>
  <c r="DG46"/>
  <c r="CZ46"/>
  <c r="CY46"/>
  <c r="CU46"/>
  <c r="CR46"/>
  <c r="BV46"/>
  <c r="BU46"/>
  <c r="BQ46"/>
  <c r="BN46"/>
  <c r="BG46"/>
  <c r="BF46"/>
  <c r="BB46"/>
  <c r="AY46"/>
  <c r="AC46"/>
  <c r="AB46"/>
  <c r="X46"/>
  <c r="U46"/>
  <c r="N46"/>
  <c r="I46"/>
  <c r="F46"/>
  <c r="EW34"/>
  <c r="EN34"/>
  <c r="DQ10"/>
  <c r="DR10"/>
  <c r="DQ13"/>
  <c r="DR13"/>
  <c r="DQ25"/>
  <c r="DR25"/>
  <c r="DQ29"/>
  <c r="DR29"/>
  <c r="DQ33"/>
  <c r="DR33"/>
  <c r="DQ48"/>
  <c r="DR48"/>
  <c r="DQ44"/>
  <c r="DR44"/>
  <c r="DQ47"/>
  <c r="DM20"/>
  <c r="DM25"/>
  <c r="DM37"/>
  <c r="DJ10"/>
  <c r="DJ13"/>
  <c r="DJ18"/>
  <c r="DJ20"/>
  <c r="DJ25"/>
  <c r="DJ29"/>
  <c r="DJ33"/>
  <c r="DJ37"/>
  <c r="DJ48"/>
  <c r="DJ44"/>
  <c r="DJ47"/>
  <c r="DP47" s="1"/>
  <c r="DG10"/>
  <c r="DG13"/>
  <c r="DG18"/>
  <c r="DG20"/>
  <c r="DG25"/>
  <c r="DG29"/>
  <c r="DG33"/>
  <c r="DG37"/>
  <c r="DG48"/>
  <c r="DG44"/>
  <c r="DG47"/>
  <c r="CY10"/>
  <c r="CZ10"/>
  <c r="CZ40"/>
  <c r="CY11"/>
  <c r="CZ11"/>
  <c r="CZ38"/>
  <c r="DC38" s="1"/>
  <c r="CY13"/>
  <c r="CZ13"/>
  <c r="CX18"/>
  <c r="CY18"/>
  <c r="CZ18"/>
  <c r="CX20"/>
  <c r="CY20"/>
  <c r="CZ20"/>
  <c r="CX25"/>
  <c r="CY25"/>
  <c r="CZ25"/>
  <c r="CY29"/>
  <c r="CZ29"/>
  <c r="EB30"/>
  <c r="CY30"/>
  <c r="CZ30"/>
  <c r="CY33"/>
  <c r="CZ33"/>
  <c r="CX35"/>
  <c r="EB35" s="1"/>
  <c r="CY35"/>
  <c r="CZ35"/>
  <c r="CY36"/>
  <c r="CZ36"/>
  <c r="CX37"/>
  <c r="CY37"/>
  <c r="CZ37"/>
  <c r="CY41"/>
  <c r="CZ41"/>
  <c r="CY48"/>
  <c r="CZ48"/>
  <c r="CY34"/>
  <c r="CZ34"/>
  <c r="CY43"/>
  <c r="EC43" s="1"/>
  <c r="FA43" s="1"/>
  <c r="FG43" s="1"/>
  <c r="CZ43"/>
  <c r="ED43" s="1"/>
  <c r="FB43" s="1"/>
  <c r="FH43" s="1"/>
  <c r="CY44"/>
  <c r="EC44" s="1"/>
  <c r="FA44" s="1"/>
  <c r="FG44" s="1"/>
  <c r="CZ44"/>
  <c r="ED44" s="1"/>
  <c r="FB44" s="1"/>
  <c r="FH44" s="1"/>
  <c r="CY47"/>
  <c r="EC47" s="1"/>
  <c r="FA47" s="1"/>
  <c r="CU10"/>
  <c r="CU40"/>
  <c r="CU11"/>
  <c r="CU38"/>
  <c r="CU13"/>
  <c r="CU18"/>
  <c r="CU20"/>
  <c r="CU25"/>
  <c r="CU29"/>
  <c r="CU30"/>
  <c r="CU33"/>
  <c r="CU35"/>
  <c r="CU36"/>
  <c r="CU37"/>
  <c r="CU41"/>
  <c r="CU48"/>
  <c r="CU34"/>
  <c r="CU43"/>
  <c r="CU44"/>
  <c r="CU47"/>
  <c r="CR10"/>
  <c r="CR40"/>
  <c r="CR11"/>
  <c r="CR38"/>
  <c r="CR13"/>
  <c r="CR18"/>
  <c r="CR20"/>
  <c r="CR25"/>
  <c r="CR29"/>
  <c r="CR30"/>
  <c r="CR33"/>
  <c r="CR35"/>
  <c r="CR36"/>
  <c r="CR37"/>
  <c r="CR41"/>
  <c r="CR48"/>
  <c r="CR34"/>
  <c r="CR43"/>
  <c r="CR44"/>
  <c r="CR47"/>
  <c r="CR8"/>
  <c r="BU10"/>
  <c r="BV10"/>
  <c r="BU13"/>
  <c r="BV13"/>
  <c r="BU18"/>
  <c r="BU20"/>
  <c r="BV20"/>
  <c r="BU25"/>
  <c r="BV25"/>
  <c r="BU29"/>
  <c r="BV29"/>
  <c r="BU33"/>
  <c r="BV33"/>
  <c r="BU37"/>
  <c r="BV37"/>
  <c r="BU48"/>
  <c r="BV48"/>
  <c r="BU44"/>
  <c r="BV44"/>
  <c r="BU47"/>
  <c r="BT20"/>
  <c r="CI20" s="1"/>
  <c r="BT25"/>
  <c r="BT37"/>
  <c r="CI37" s="1"/>
  <c r="BQ10"/>
  <c r="BQ13"/>
  <c r="BQ18"/>
  <c r="BW18" s="1"/>
  <c r="BQ20"/>
  <c r="BQ25"/>
  <c r="BQ29"/>
  <c r="BQ33"/>
  <c r="BQ37"/>
  <c r="BQ48"/>
  <c r="BQ44"/>
  <c r="BQ47"/>
  <c r="BN10"/>
  <c r="BN13"/>
  <c r="BN18"/>
  <c r="BN20"/>
  <c r="BN25"/>
  <c r="BN29"/>
  <c r="BN33"/>
  <c r="BN37"/>
  <c r="BN48"/>
  <c r="BN44"/>
  <c r="BN47"/>
  <c r="BN8"/>
  <c r="BF10"/>
  <c r="BG10"/>
  <c r="BF40"/>
  <c r="BG40"/>
  <c r="BF11"/>
  <c r="CJ11" s="1"/>
  <c r="CM11" s="1"/>
  <c r="BG11"/>
  <c r="CK11" s="1"/>
  <c r="CN11" s="1"/>
  <c r="BF38"/>
  <c r="CJ38" s="1"/>
  <c r="CM38" s="1"/>
  <c r="BG38"/>
  <c r="CK38" s="1"/>
  <c r="CN38" s="1"/>
  <c r="BF13"/>
  <c r="BG13"/>
  <c r="BF18"/>
  <c r="BG18"/>
  <c r="CK18" s="1"/>
  <c r="CN18" s="1"/>
  <c r="BF20"/>
  <c r="BG20"/>
  <c r="BE25"/>
  <c r="BF25"/>
  <c r="BG25"/>
  <c r="BF29"/>
  <c r="BG29"/>
  <c r="BE30"/>
  <c r="CI30" s="1"/>
  <c r="BF30"/>
  <c r="BG30"/>
  <c r="BF33"/>
  <c r="BG33"/>
  <c r="BF35"/>
  <c r="BG35"/>
  <c r="BF36"/>
  <c r="BG36"/>
  <c r="BF37"/>
  <c r="BG37"/>
  <c r="BF41"/>
  <c r="BG41"/>
  <c r="BF48"/>
  <c r="BG48"/>
  <c r="BF34"/>
  <c r="BG34"/>
  <c r="BF43"/>
  <c r="BG43"/>
  <c r="BF44"/>
  <c r="BG44"/>
  <c r="BF47"/>
  <c r="BG47"/>
  <c r="BB10"/>
  <c r="BB40"/>
  <c r="BB11"/>
  <c r="BB38"/>
  <c r="BB13"/>
  <c r="BB18"/>
  <c r="BB20"/>
  <c r="BB25"/>
  <c r="BB29"/>
  <c r="BB30"/>
  <c r="BB33"/>
  <c r="BB35"/>
  <c r="BB36"/>
  <c r="BB37"/>
  <c r="BB41"/>
  <c r="BB48"/>
  <c r="BB34"/>
  <c r="BB43"/>
  <c r="BB44"/>
  <c r="BB47"/>
  <c r="AY10"/>
  <c r="AY40"/>
  <c r="AY11"/>
  <c r="AY38"/>
  <c r="AY13"/>
  <c r="AY18"/>
  <c r="AY20"/>
  <c r="AY25"/>
  <c r="AY29"/>
  <c r="AY30"/>
  <c r="AY33"/>
  <c r="AY35"/>
  <c r="AY36"/>
  <c r="AY37"/>
  <c r="AY41"/>
  <c r="AY48"/>
  <c r="AY34"/>
  <c r="AY43"/>
  <c r="AY44"/>
  <c r="AY47"/>
  <c r="AB10"/>
  <c r="AC10"/>
  <c r="AB13"/>
  <c r="AC13"/>
  <c r="AB18"/>
  <c r="AC18"/>
  <c r="AB20"/>
  <c r="AC20"/>
  <c r="AB25"/>
  <c r="AC25"/>
  <c r="AB29"/>
  <c r="AC29"/>
  <c r="AB33"/>
  <c r="AC33"/>
  <c r="AB37"/>
  <c r="AE37" s="1"/>
  <c r="AC37"/>
  <c r="AB48"/>
  <c r="AC48"/>
  <c r="AB44"/>
  <c r="AC44"/>
  <c r="AB47"/>
  <c r="AC47"/>
  <c r="AA20"/>
  <c r="AA25"/>
  <c r="AP25" s="1"/>
  <c r="AA37"/>
  <c r="X10"/>
  <c r="X13"/>
  <c r="X18"/>
  <c r="X20"/>
  <c r="X25"/>
  <c r="X29"/>
  <c r="X33"/>
  <c r="X37"/>
  <c r="X48"/>
  <c r="X44"/>
  <c r="X47"/>
  <c r="U10"/>
  <c r="U13"/>
  <c r="U18"/>
  <c r="U20"/>
  <c r="U25"/>
  <c r="U29"/>
  <c r="U33"/>
  <c r="U37"/>
  <c r="U48"/>
  <c r="U44"/>
  <c r="U47"/>
  <c r="M10"/>
  <c r="N10"/>
  <c r="O10"/>
  <c r="M38"/>
  <c r="N38"/>
  <c r="M13"/>
  <c r="N13"/>
  <c r="O13"/>
  <c r="M15"/>
  <c r="N15"/>
  <c r="O15"/>
  <c r="N17"/>
  <c r="M18"/>
  <c r="N18"/>
  <c r="M20"/>
  <c r="N20"/>
  <c r="M23"/>
  <c r="N23"/>
  <c r="O23"/>
  <c r="M25"/>
  <c r="N25"/>
  <c r="O25"/>
  <c r="M29"/>
  <c r="N29"/>
  <c r="O29"/>
  <c r="M30"/>
  <c r="N30"/>
  <c r="O30"/>
  <c r="M33"/>
  <c r="N33"/>
  <c r="O33"/>
  <c r="M35"/>
  <c r="N35"/>
  <c r="M36"/>
  <c r="N36"/>
  <c r="O36"/>
  <c r="M37"/>
  <c r="N37"/>
  <c r="M48"/>
  <c r="N48"/>
  <c r="M34"/>
  <c r="N34"/>
  <c r="M43"/>
  <c r="N43"/>
  <c r="O43"/>
  <c r="M44"/>
  <c r="N44"/>
  <c r="O44"/>
  <c r="M47"/>
  <c r="N47"/>
  <c r="O47"/>
  <c r="F8"/>
  <c r="I34"/>
  <c r="F34"/>
  <c r="F37"/>
  <c r="O48"/>
  <c r="EF43" l="1"/>
  <c r="CJ18"/>
  <c r="CM18" s="1"/>
  <c r="EB37"/>
  <c r="CJ20"/>
  <c r="CM20" s="1"/>
  <c r="CK20"/>
  <c r="CN20" s="1"/>
  <c r="AP19"/>
  <c r="CI25"/>
  <c r="EG43"/>
  <c r="EG44"/>
  <c r="EF47"/>
  <c r="EF44"/>
  <c r="CI19"/>
  <c r="CM16"/>
  <c r="CN16"/>
  <c r="AT16"/>
  <c r="AU16"/>
  <c r="BJ45"/>
  <c r="AU49"/>
  <c r="AT49"/>
  <c r="AR47"/>
  <c r="EJ47" s="1"/>
  <c r="EP47" s="1"/>
  <c r="R44"/>
  <c r="AQ44"/>
  <c r="Q43"/>
  <c r="AR43"/>
  <c r="AU43" s="1"/>
  <c r="Q34"/>
  <c r="AR34"/>
  <c r="AR48"/>
  <c r="EJ48" s="1"/>
  <c r="EP48" s="1"/>
  <c r="Q37"/>
  <c r="AR37"/>
  <c r="AS36"/>
  <c r="P36"/>
  <c r="AQ36"/>
  <c r="P35"/>
  <c r="AQ35"/>
  <c r="EI35" s="1"/>
  <c r="AR33"/>
  <c r="EJ33" s="1"/>
  <c r="EP33" s="1"/>
  <c r="R30"/>
  <c r="AS30"/>
  <c r="AQ30"/>
  <c r="Q29"/>
  <c r="AR29"/>
  <c r="P25"/>
  <c r="AQ25"/>
  <c r="AR23"/>
  <c r="EJ23" s="1"/>
  <c r="AR20"/>
  <c r="Q18"/>
  <c r="AR18"/>
  <c r="AU18" s="1"/>
  <c r="AS17"/>
  <c r="AR15"/>
  <c r="R13"/>
  <c r="AQ13"/>
  <c r="AQ38"/>
  <c r="Q10"/>
  <c r="AR10"/>
  <c r="AU10" s="1"/>
  <c r="AJ47"/>
  <c r="AJ48"/>
  <c r="AJ33"/>
  <c r="AM47"/>
  <c r="AM48"/>
  <c r="AM33"/>
  <c r="AD18"/>
  <c r="AG18" s="1"/>
  <c r="AE47"/>
  <c r="AE44"/>
  <c r="AF37"/>
  <c r="AF33"/>
  <c r="AF29"/>
  <c r="AF25"/>
  <c r="AF20"/>
  <c r="AF13"/>
  <c r="CC47"/>
  <c r="CC43"/>
  <c r="CC41"/>
  <c r="CC36"/>
  <c r="CC33"/>
  <c r="CC29"/>
  <c r="CC20"/>
  <c r="CC38"/>
  <c r="CC40"/>
  <c r="CF47"/>
  <c r="CF43"/>
  <c r="CF41"/>
  <c r="CF36"/>
  <c r="CF33"/>
  <c r="CF29"/>
  <c r="CF20"/>
  <c r="CF38"/>
  <c r="CF40"/>
  <c r="BJ47"/>
  <c r="CK47"/>
  <c r="BJ44"/>
  <c r="CK44"/>
  <c r="BJ43"/>
  <c r="CK43"/>
  <c r="CK34"/>
  <c r="BJ48"/>
  <c r="CK48"/>
  <c r="CN48" s="1"/>
  <c r="BJ41"/>
  <c r="CK41"/>
  <c r="CN41" s="1"/>
  <c r="BJ37"/>
  <c r="CK37"/>
  <c r="ES37" s="1"/>
  <c r="CK36"/>
  <c r="CK35"/>
  <c r="ES35" s="1"/>
  <c r="CK33"/>
  <c r="CK30"/>
  <c r="CJ29"/>
  <c r="CJ25"/>
  <c r="CK13"/>
  <c r="CN13" s="1"/>
  <c r="CK40"/>
  <c r="CN40" s="1"/>
  <c r="CK10"/>
  <c r="CN10" s="1"/>
  <c r="BW44"/>
  <c r="BZ44" s="1"/>
  <c r="BW48"/>
  <c r="BZ48" s="1"/>
  <c r="BW37"/>
  <c r="BW10"/>
  <c r="BZ10" s="1"/>
  <c r="BY44"/>
  <c r="BY37"/>
  <c r="BY33"/>
  <c r="BY29"/>
  <c r="BY25"/>
  <c r="BY20"/>
  <c r="BX18"/>
  <c r="BY13"/>
  <c r="BY10"/>
  <c r="DV34"/>
  <c r="DV48"/>
  <c r="DV37"/>
  <c r="DV35"/>
  <c r="DV30"/>
  <c r="DV25"/>
  <c r="DV18"/>
  <c r="DV13"/>
  <c r="DV11"/>
  <c r="DV10"/>
  <c r="DA48"/>
  <c r="DY37"/>
  <c r="DY35"/>
  <c r="DY30"/>
  <c r="DY25"/>
  <c r="DY18"/>
  <c r="DY13"/>
  <c r="DY11"/>
  <c r="DY10"/>
  <c r="DB47"/>
  <c r="DB43"/>
  <c r="EC35"/>
  <c r="DC33"/>
  <c r="DB20"/>
  <c r="DC18"/>
  <c r="ED13"/>
  <c r="ED38"/>
  <c r="EC11"/>
  <c r="DC10"/>
  <c r="ED10"/>
  <c r="DP48"/>
  <c r="DS48" s="1"/>
  <c r="DP37"/>
  <c r="DP29"/>
  <c r="DP20"/>
  <c r="DS20" s="1"/>
  <c r="DP10"/>
  <c r="DS10" s="1"/>
  <c r="AM46"/>
  <c r="Q46"/>
  <c r="AR46"/>
  <c r="CF46"/>
  <c r="BJ46"/>
  <c r="CK46"/>
  <c r="CN46" s="1"/>
  <c r="DY46"/>
  <c r="O28"/>
  <c r="R28" s="1"/>
  <c r="AM28"/>
  <c r="AR28"/>
  <c r="CF28"/>
  <c r="BJ28"/>
  <c r="CK28"/>
  <c r="DY28"/>
  <c r="ED28"/>
  <c r="EG28" s="1"/>
  <c r="AM17"/>
  <c r="AJ14"/>
  <c r="AR14"/>
  <c r="CF14"/>
  <c r="AJ19"/>
  <c r="AR19"/>
  <c r="AE19"/>
  <c r="CC19"/>
  <c r="CK19"/>
  <c r="DQ19"/>
  <c r="AJ22"/>
  <c r="AR22"/>
  <c r="CF22"/>
  <c r="CJ22"/>
  <c r="DC22"/>
  <c r="AJ39"/>
  <c r="AR39"/>
  <c r="CF39"/>
  <c r="BJ39"/>
  <c r="CK39"/>
  <c r="CN39" s="1"/>
  <c r="DY39"/>
  <c r="AM21"/>
  <c r="Q21"/>
  <c r="AR21"/>
  <c r="EJ21" s="1"/>
  <c r="CF21"/>
  <c r="CK21"/>
  <c r="CN21" s="1"/>
  <c r="AJ9"/>
  <c r="Q9"/>
  <c r="AR9"/>
  <c r="AU9" s="1"/>
  <c r="CF9"/>
  <c r="BI9"/>
  <c r="CJ9"/>
  <c r="BX9"/>
  <c r="DV9"/>
  <c r="ED9"/>
  <c r="FB9" s="1"/>
  <c r="FH9" s="1"/>
  <c r="AJ45"/>
  <c r="AQ45"/>
  <c r="CC45"/>
  <c r="CK45"/>
  <c r="AJ26"/>
  <c r="AR26"/>
  <c r="AD26"/>
  <c r="AF26"/>
  <c r="CF26"/>
  <c r="BI26"/>
  <c r="CJ26"/>
  <c r="ER26" s="1"/>
  <c r="EX26" s="1"/>
  <c r="BY26"/>
  <c r="DY26"/>
  <c r="DQ26"/>
  <c r="CL49"/>
  <c r="CO49" s="1"/>
  <c r="CL27"/>
  <c r="EE31"/>
  <c r="AS32"/>
  <c r="EK32" s="1"/>
  <c r="CL24"/>
  <c r="CO24" s="1"/>
  <c r="FA24"/>
  <c r="FG24" s="1"/>
  <c r="FB24"/>
  <c r="FH24" s="1"/>
  <c r="AG24"/>
  <c r="AG32"/>
  <c r="FB32"/>
  <c r="FH32" s="1"/>
  <c r="AT40"/>
  <c r="AT24"/>
  <c r="AU32"/>
  <c r="FB31"/>
  <c r="FH31" s="1"/>
  <c r="CM31"/>
  <c r="AT31"/>
  <c r="CN27"/>
  <c r="ES27"/>
  <c r="EY27" s="1"/>
  <c r="FB27"/>
  <c r="FH27" s="1"/>
  <c r="FA31"/>
  <c r="FG31" s="1"/>
  <c r="CN31"/>
  <c r="AU31"/>
  <c r="CM27"/>
  <c r="ER27"/>
  <c r="EX27" s="1"/>
  <c r="AT27"/>
  <c r="EI27"/>
  <c r="EO27" s="1"/>
  <c r="AS27"/>
  <c r="AE26"/>
  <c r="AM25"/>
  <c r="AM13"/>
  <c r="AJ10"/>
  <c r="AS41"/>
  <c r="AV41" s="1"/>
  <c r="AJ34"/>
  <c r="AJ37"/>
  <c r="AM34"/>
  <c r="R47"/>
  <c r="AQ47"/>
  <c r="AR44"/>
  <c r="R43"/>
  <c r="AS43"/>
  <c r="AV43" s="1"/>
  <c r="AQ43"/>
  <c r="P34"/>
  <c r="AQ34"/>
  <c r="AQ48"/>
  <c r="AQ37"/>
  <c r="AR36"/>
  <c r="AR35"/>
  <c r="R33"/>
  <c r="AQ33"/>
  <c r="AR30"/>
  <c r="P29"/>
  <c r="AQ29"/>
  <c r="AR25"/>
  <c r="EJ25" s="1"/>
  <c r="EP25" s="1"/>
  <c r="R23"/>
  <c r="AS23"/>
  <c r="AQ23"/>
  <c r="EI23" s="1"/>
  <c r="P20"/>
  <c r="AQ20"/>
  <c r="P18"/>
  <c r="AQ18"/>
  <c r="AT18" s="1"/>
  <c r="AR17"/>
  <c r="R15"/>
  <c r="AQ15"/>
  <c r="EI15" s="1"/>
  <c r="EO15" s="1"/>
  <c r="AR13"/>
  <c r="AR38"/>
  <c r="P10"/>
  <c r="AQ10"/>
  <c r="AT10" s="1"/>
  <c r="AJ44"/>
  <c r="AJ29"/>
  <c r="AJ15"/>
  <c r="AM44"/>
  <c r="AM29"/>
  <c r="AD20"/>
  <c r="AG20" s="1"/>
  <c r="AM15"/>
  <c r="AF47"/>
  <c r="AF44"/>
  <c r="AE33"/>
  <c r="AE29"/>
  <c r="AE20"/>
  <c r="AE13"/>
  <c r="CC44"/>
  <c r="CC34"/>
  <c r="CC48"/>
  <c r="CC37"/>
  <c r="CC35"/>
  <c r="CC30"/>
  <c r="CC25"/>
  <c r="CC18"/>
  <c r="CC13"/>
  <c r="CC11"/>
  <c r="CC10"/>
  <c r="CF44"/>
  <c r="CF34"/>
  <c r="CF48"/>
  <c r="CF37"/>
  <c r="CF35"/>
  <c r="CF30"/>
  <c r="CF25"/>
  <c r="CF18"/>
  <c r="CF13"/>
  <c r="CF11"/>
  <c r="CF10"/>
  <c r="BI47"/>
  <c r="CJ47"/>
  <c r="BI44"/>
  <c r="CJ44"/>
  <c r="BI43"/>
  <c r="CJ43"/>
  <c r="CJ34"/>
  <c r="BI48"/>
  <c r="CJ48"/>
  <c r="CM48" s="1"/>
  <c r="BI41"/>
  <c r="CJ41"/>
  <c r="CM41" s="1"/>
  <c r="CJ37"/>
  <c r="ER37" s="1"/>
  <c r="CJ36"/>
  <c r="ER36" s="1"/>
  <c r="EX36" s="1"/>
  <c r="CJ35"/>
  <c r="ER35" s="1"/>
  <c r="CJ33"/>
  <c r="CJ30"/>
  <c r="CK29"/>
  <c r="CK25"/>
  <c r="CJ13"/>
  <c r="CM13" s="1"/>
  <c r="CJ40"/>
  <c r="CM40" s="1"/>
  <c r="CJ10"/>
  <c r="CM10" s="1"/>
  <c r="BW33"/>
  <c r="BZ33" s="1"/>
  <c r="BW13"/>
  <c r="BZ13" s="1"/>
  <c r="BX47"/>
  <c r="BX44"/>
  <c r="BX37"/>
  <c r="BX33"/>
  <c r="BX29"/>
  <c r="BX25"/>
  <c r="BX20"/>
  <c r="BX13"/>
  <c r="BX10"/>
  <c r="DV43"/>
  <c r="DV41"/>
  <c r="DV36"/>
  <c r="DV33"/>
  <c r="DV20"/>
  <c r="DV38"/>
  <c r="DV40"/>
  <c r="DY36"/>
  <c r="DY33"/>
  <c r="DY29"/>
  <c r="DY20"/>
  <c r="DY38"/>
  <c r="DY40"/>
  <c r="DB44"/>
  <c r="DC37"/>
  <c r="DC35"/>
  <c r="ED35"/>
  <c r="ED25"/>
  <c r="EG25" s="1"/>
  <c r="DC20"/>
  <c r="DB18"/>
  <c r="EC13"/>
  <c r="ED11"/>
  <c r="ED40"/>
  <c r="EC10"/>
  <c r="DP44"/>
  <c r="DS44" s="1"/>
  <c r="DP33"/>
  <c r="DS33" s="1"/>
  <c r="DP18"/>
  <c r="DS18" s="1"/>
  <c r="DP13"/>
  <c r="DS13" s="1"/>
  <c r="AJ46"/>
  <c r="CC46"/>
  <c r="BI46"/>
  <c r="CJ46"/>
  <c r="CM46" s="1"/>
  <c r="DV46"/>
  <c r="AQ46"/>
  <c r="AJ28"/>
  <c r="P28"/>
  <c r="AQ28"/>
  <c r="CC28"/>
  <c r="CJ28"/>
  <c r="ER28" s="1"/>
  <c r="EX28" s="1"/>
  <c r="DV28"/>
  <c r="EC28"/>
  <c r="FA28" s="1"/>
  <c r="FG28" s="1"/>
  <c r="AJ17"/>
  <c r="AQ17"/>
  <c r="AM14"/>
  <c r="AQ14"/>
  <c r="CC14"/>
  <c r="CJ14"/>
  <c r="CM14" s="1"/>
  <c r="AM19"/>
  <c r="AQ19"/>
  <c r="AF19"/>
  <c r="CF19"/>
  <c r="CJ19"/>
  <c r="CM19" s="1"/>
  <c r="BY19"/>
  <c r="DR19"/>
  <c r="AM22"/>
  <c r="P22"/>
  <c r="AQ22"/>
  <c r="CC22"/>
  <c r="BJ22"/>
  <c r="CK22"/>
  <c r="ES22" s="1"/>
  <c r="DY22"/>
  <c r="DB22"/>
  <c r="AM39"/>
  <c r="AQ39"/>
  <c r="CC39"/>
  <c r="CJ39"/>
  <c r="CM39" s="1"/>
  <c r="DV39"/>
  <c r="AJ21"/>
  <c r="P21"/>
  <c r="AQ21"/>
  <c r="CC21"/>
  <c r="CJ21"/>
  <c r="CM21" s="1"/>
  <c r="AM9"/>
  <c r="AQ9"/>
  <c r="AT9" s="1"/>
  <c r="CC9"/>
  <c r="CK9"/>
  <c r="ES9" s="1"/>
  <c r="EY9" s="1"/>
  <c r="BW9"/>
  <c r="BY9"/>
  <c r="DY9"/>
  <c r="EC9"/>
  <c r="FA9" s="1"/>
  <c r="FG9" s="1"/>
  <c r="AM45"/>
  <c r="AR45"/>
  <c r="CF45"/>
  <c r="CJ45"/>
  <c r="AM26"/>
  <c r="AQ26"/>
  <c r="EI26" s="1"/>
  <c r="EO26" s="1"/>
  <c r="CC26"/>
  <c r="CK26"/>
  <c r="ES26" s="1"/>
  <c r="EY26" s="1"/>
  <c r="BX26"/>
  <c r="DV26"/>
  <c r="AS49"/>
  <c r="EE27"/>
  <c r="CL31"/>
  <c r="ET31" s="1"/>
  <c r="AS31"/>
  <c r="EK31" s="1"/>
  <c r="CL32"/>
  <c r="ET32" s="1"/>
  <c r="CL16"/>
  <c r="AS24"/>
  <c r="EK24" s="1"/>
  <c r="DS24"/>
  <c r="AG31"/>
  <c r="FA32"/>
  <c r="FG32" s="1"/>
  <c r="FA27"/>
  <c r="FG27" s="1"/>
  <c r="AV40"/>
  <c r="AU11"/>
  <c r="AS16"/>
  <c r="CN32"/>
  <c r="AU27"/>
  <c r="EJ27"/>
  <c r="EP27" s="1"/>
  <c r="AU40"/>
  <c r="AT11"/>
  <c r="AU24"/>
  <c r="BZ16"/>
  <c r="EE32"/>
  <c r="CM32"/>
  <c r="AT32"/>
  <c r="AJ25"/>
  <c r="AJ13"/>
  <c r="AM10"/>
  <c r="DS16"/>
  <c r="DR46"/>
  <c r="DQ46"/>
  <c r="DR39"/>
  <c r="DQ39"/>
  <c r="DC44"/>
  <c r="DC43"/>
  <c r="FA49"/>
  <c r="FG49" s="1"/>
  <c r="EF49"/>
  <c r="FB49"/>
  <c r="ED46"/>
  <c r="DC48"/>
  <c r="ED48"/>
  <c r="DC41"/>
  <c r="ED41"/>
  <c r="ED39"/>
  <c r="DB39"/>
  <c r="EC39"/>
  <c r="FB16"/>
  <c r="FH16" s="1"/>
  <c r="FA16"/>
  <c r="FG16" s="1"/>
  <c r="EG16"/>
  <c r="BY46"/>
  <c r="ES49"/>
  <c r="EY49" s="1"/>
  <c r="BX46"/>
  <c r="BX48"/>
  <c r="BY48"/>
  <c r="BZ49"/>
  <c r="BY39"/>
  <c r="BX39"/>
  <c r="BZ24"/>
  <c r="BX19"/>
  <c r="ES24"/>
  <c r="EY24" s="1"/>
  <c r="ER24"/>
  <c r="EX24" s="1"/>
  <c r="BI21"/>
  <c r="ER16"/>
  <c r="EX16" s="1"/>
  <c r="ES16"/>
  <c r="EY16" s="1"/>
  <c r="BJ14"/>
  <c r="BJ38"/>
  <c r="BI38"/>
  <c r="AE10"/>
  <c r="AF10"/>
  <c r="AF9"/>
  <c r="AE9"/>
  <c r="AE46"/>
  <c r="AF46"/>
  <c r="AE48"/>
  <c r="AF48"/>
  <c r="EJ49"/>
  <c r="EP49" s="1"/>
  <c r="AF39"/>
  <c r="AE39"/>
  <c r="AG16"/>
  <c r="EJ16"/>
  <c r="EP16" s="1"/>
  <c r="AF14"/>
  <c r="AE14"/>
  <c r="EI16"/>
  <c r="EO16" s="1"/>
  <c r="AE18"/>
  <c r="AD14"/>
  <c r="AF18"/>
  <c r="DY43"/>
  <c r="DY44"/>
  <c r="DV44"/>
  <c r="DY47"/>
  <c r="DV47"/>
  <c r="DA41"/>
  <c r="DY41"/>
  <c r="DC36"/>
  <c r="ED36"/>
  <c r="ED33"/>
  <c r="ER32"/>
  <c r="EX32" s="1"/>
  <c r="EJ31"/>
  <c r="EP31" s="1"/>
  <c r="DR26"/>
  <c r="ED26"/>
  <c r="EC26"/>
  <c r="EB26"/>
  <c r="DV29"/>
  <c r="EG24"/>
  <c r="DC29"/>
  <c r="ED29"/>
  <c r="BW29"/>
  <c r="EJ24"/>
  <c r="EP24" s="1"/>
  <c r="DQ9"/>
  <c r="DP9"/>
  <c r="DB33"/>
  <c r="EC33"/>
  <c r="DB48"/>
  <c r="EC48"/>
  <c r="DB11"/>
  <c r="DB36"/>
  <c r="EC36"/>
  <c r="DB46"/>
  <c r="EC46"/>
  <c r="DB29"/>
  <c r="EC29"/>
  <c r="DB41"/>
  <c r="EC41"/>
  <c r="DB37"/>
  <c r="DB10"/>
  <c r="DC11"/>
  <c r="DC40"/>
  <c r="DB40"/>
  <c r="DC30"/>
  <c r="ED30"/>
  <c r="DB30"/>
  <c r="EC30"/>
  <c r="EB25"/>
  <c r="DP25"/>
  <c r="DC25"/>
  <c r="DB25"/>
  <c r="EC25"/>
  <c r="BW25"/>
  <c r="DC13"/>
  <c r="DB13"/>
  <c r="ES11"/>
  <c r="EY11" s="1"/>
  <c r="BI11"/>
  <c r="P37"/>
  <c r="BK24"/>
  <c r="EF24"/>
  <c r="R24"/>
  <c r="DD24"/>
  <c r="EE24"/>
  <c r="EO24"/>
  <c r="BK16"/>
  <c r="DD16"/>
  <c r="EE16"/>
  <c r="EF16"/>
  <c r="DD32"/>
  <c r="EO32"/>
  <c r="R32"/>
  <c r="BK32"/>
  <c r="BK31"/>
  <c r="R31"/>
  <c r="DD31"/>
  <c r="BK27"/>
  <c r="DD27"/>
  <c r="EF27"/>
  <c r="DD49"/>
  <c r="EE49"/>
  <c r="R49"/>
  <c r="BK49"/>
  <c r="DP19"/>
  <c r="DS19" s="1"/>
  <c r="BW26"/>
  <c r="DP26"/>
  <c r="DS26" s="1"/>
  <c r="O26"/>
  <c r="DB35"/>
  <c r="DA26"/>
  <c r="DB26"/>
  <c r="BH26"/>
  <c r="BK26" s="1"/>
  <c r="Q26"/>
  <c r="P26"/>
  <c r="DC26"/>
  <c r="O45"/>
  <c r="Q45"/>
  <c r="BH45"/>
  <c r="P45"/>
  <c r="BI45"/>
  <c r="DA9"/>
  <c r="DD9" s="1"/>
  <c r="BH9"/>
  <c r="BK9" s="1"/>
  <c r="BJ9"/>
  <c r="BZ37"/>
  <c r="BW20"/>
  <c r="DS37"/>
  <c r="DS29"/>
  <c r="DB9"/>
  <c r="P48"/>
  <c r="BW47"/>
  <c r="EC19"/>
  <c r="EF19" s="1"/>
  <c r="Q35"/>
  <c r="Q25"/>
  <c r="Q20"/>
  <c r="P38"/>
  <c r="AD47"/>
  <c r="AD33"/>
  <c r="AD44"/>
  <c r="AD37"/>
  <c r="BZ18"/>
  <c r="DS47"/>
  <c r="Q28"/>
  <c r="AD19"/>
  <c r="BH43"/>
  <c r="BH33"/>
  <c r="BK33" s="1"/>
  <c r="BH44"/>
  <c r="BI37"/>
  <c r="BI36"/>
  <c r="BI20"/>
  <c r="BJ18"/>
  <c r="BI18"/>
  <c r="BJ11"/>
  <c r="AD9"/>
  <c r="P9"/>
  <c r="O9"/>
  <c r="DC9"/>
  <c r="BH21"/>
  <c r="CL21" s="1"/>
  <c r="O21"/>
  <c r="BJ21"/>
  <c r="R48"/>
  <c r="R25"/>
  <c r="AD25"/>
  <c r="AS25" s="1"/>
  <c r="P33"/>
  <c r="R29"/>
  <c r="Q23"/>
  <c r="P15"/>
  <c r="O34"/>
  <c r="P47"/>
  <c r="R36"/>
  <c r="Q33"/>
  <c r="Q30"/>
  <c r="P23"/>
  <c r="AD29"/>
  <c r="Q13"/>
  <c r="AD48"/>
  <c r="AS48" s="1"/>
  <c r="AE25"/>
  <c r="Q44"/>
  <c r="P13"/>
  <c r="P43"/>
  <c r="Q36"/>
  <c r="P30"/>
  <c r="P44"/>
  <c r="AS15"/>
  <c r="Q47"/>
  <c r="R10"/>
  <c r="AD10"/>
  <c r="AS10" s="1"/>
  <c r="Q48"/>
  <c r="Q15"/>
  <c r="Q38"/>
  <c r="AD13"/>
  <c r="BH47"/>
  <c r="BI34"/>
  <c r="ER34"/>
  <c r="BH41"/>
  <c r="BJ36"/>
  <c r="BI35"/>
  <c r="BI33"/>
  <c r="BJ30"/>
  <c r="BH29"/>
  <c r="BJ25"/>
  <c r="BI13"/>
  <c r="BH11"/>
  <c r="BH40"/>
  <c r="BI10"/>
  <c r="BH37"/>
  <c r="BH35"/>
  <c r="BI30"/>
  <c r="BJ29"/>
  <c r="BI25"/>
  <c r="BJ20"/>
  <c r="BH20"/>
  <c r="BH13"/>
  <c r="BH38"/>
  <c r="CL38" s="1"/>
  <c r="BJ40"/>
  <c r="BJ10"/>
  <c r="BH48"/>
  <c r="BH30"/>
  <c r="BI29"/>
  <c r="BH25"/>
  <c r="BH18"/>
  <c r="BJ13"/>
  <c r="BI40"/>
  <c r="BH36"/>
  <c r="BJ35"/>
  <c r="BJ33"/>
  <c r="BH10"/>
  <c r="DA44"/>
  <c r="DC34"/>
  <c r="ED34"/>
  <c r="DA33"/>
  <c r="DA20"/>
  <c r="EB20"/>
  <c r="DA40"/>
  <c r="DY48"/>
  <c r="DB34"/>
  <c r="EC34"/>
  <c r="EF34" s="1"/>
  <c r="DA30"/>
  <c r="DA18"/>
  <c r="DA13"/>
  <c r="DA34"/>
  <c r="DD34" s="1"/>
  <c r="DY34"/>
  <c r="DA37"/>
  <c r="DA35"/>
  <c r="DA47"/>
  <c r="DA43"/>
  <c r="EE43" s="1"/>
  <c r="FC43" s="1"/>
  <c r="DA36"/>
  <c r="DA29"/>
  <c r="DA25"/>
  <c r="DA38"/>
  <c r="DD38" s="1"/>
  <c r="DA11"/>
  <c r="DA10"/>
  <c r="EB18"/>
  <c r="AD46"/>
  <c r="P14"/>
  <c r="DP39"/>
  <c r="DC39"/>
  <c r="BW39"/>
  <c r="AD39"/>
  <c r="O39"/>
  <c r="Q39"/>
  <c r="BI39"/>
  <c r="DA39"/>
  <c r="P39"/>
  <c r="BH39"/>
  <c r="EB22"/>
  <c r="DV22"/>
  <c r="BH22"/>
  <c r="O22"/>
  <c r="Q22"/>
  <c r="BI22"/>
  <c r="DA22"/>
  <c r="ED22"/>
  <c r="EC22"/>
  <c r="EB19"/>
  <c r="ED19"/>
  <c r="DV19"/>
  <c r="DB19"/>
  <c r="DA19"/>
  <c r="DC19"/>
  <c r="DY19"/>
  <c r="BW19"/>
  <c r="BH19"/>
  <c r="BJ19"/>
  <c r="O19"/>
  <c r="Q19"/>
  <c r="BI19"/>
  <c r="P19"/>
  <c r="O14"/>
  <c r="Q14"/>
  <c r="BI14"/>
  <c r="BH14"/>
  <c r="Q17"/>
  <c r="R17"/>
  <c r="DA28"/>
  <c r="DC28"/>
  <c r="DB28"/>
  <c r="BI28"/>
  <c r="BH28"/>
  <c r="DP46"/>
  <c r="DA46"/>
  <c r="DC46"/>
  <c r="BW46"/>
  <c r="O46"/>
  <c r="P46"/>
  <c r="BH46"/>
  <c r="BJ34"/>
  <c r="BH34"/>
  <c r="FF38"/>
  <c r="EW38"/>
  <c r="EN38"/>
  <c r="I38"/>
  <c r="EE48" l="1"/>
  <c r="DD48"/>
  <c r="EE44"/>
  <c r="FC44" s="1"/>
  <c r="AV10"/>
  <c r="CO38"/>
  <c r="EF28"/>
  <c r="CO21"/>
  <c r="CO16"/>
  <c r="AT43"/>
  <c r="AV16"/>
  <c r="AU14"/>
  <c r="AT14"/>
  <c r="AV15"/>
  <c r="AU15"/>
  <c r="AT15"/>
  <c r="AT48"/>
  <c r="AV48"/>
  <c r="AT46"/>
  <c r="AU46"/>
  <c r="AU48"/>
  <c r="AV49"/>
  <c r="AU39"/>
  <c r="AT39"/>
  <c r="AV25"/>
  <c r="CL34"/>
  <c r="R19"/>
  <c r="AS19"/>
  <c r="FA22"/>
  <c r="FG22" s="1"/>
  <c r="AS22"/>
  <c r="CL39"/>
  <c r="CO39" s="1"/>
  <c r="R39"/>
  <c r="AS39"/>
  <c r="EE11"/>
  <c r="FC11" s="1"/>
  <c r="FI11" s="1"/>
  <c r="EE25"/>
  <c r="EH25" s="1"/>
  <c r="EE36"/>
  <c r="EE37"/>
  <c r="EH37" s="1"/>
  <c r="EE13"/>
  <c r="FC13" s="1"/>
  <c r="FI13" s="1"/>
  <c r="FA34"/>
  <c r="FG34" s="1"/>
  <c r="EE33"/>
  <c r="EH33" s="1"/>
  <c r="CL10"/>
  <c r="CO10" s="1"/>
  <c r="CL18"/>
  <c r="CO18" s="1"/>
  <c r="CL35"/>
  <c r="CL40"/>
  <c r="CO40" s="1"/>
  <c r="CL29"/>
  <c r="CL41"/>
  <c r="CO41" s="1"/>
  <c r="AG29"/>
  <c r="CL33"/>
  <c r="CO33" s="1"/>
  <c r="CL43"/>
  <c r="ET43" s="1"/>
  <c r="EZ43" s="1"/>
  <c r="AG19"/>
  <c r="AG44"/>
  <c r="AG47"/>
  <c r="BZ20"/>
  <c r="CL9"/>
  <c r="ET9" s="1"/>
  <c r="EZ9" s="1"/>
  <c r="CL26"/>
  <c r="ET26" s="1"/>
  <c r="EZ26" s="1"/>
  <c r="R26"/>
  <c r="AS26"/>
  <c r="BZ26"/>
  <c r="DS25"/>
  <c r="BZ29"/>
  <c r="FB26"/>
  <c r="FH26" s="1"/>
  <c r="FB33"/>
  <c r="FH33" s="1"/>
  <c r="FC27"/>
  <c r="FI27" s="1"/>
  <c r="EF9"/>
  <c r="BZ9"/>
  <c r="CN9"/>
  <c r="AT21"/>
  <c r="AT22"/>
  <c r="AT28"/>
  <c r="EI28"/>
  <c r="EO28" s="1"/>
  <c r="EF10"/>
  <c r="EG40"/>
  <c r="EG11"/>
  <c r="EF13"/>
  <c r="FB35"/>
  <c r="CM44"/>
  <c r="AU38"/>
  <c r="EJ38"/>
  <c r="EP38" s="1"/>
  <c r="AU13"/>
  <c r="AT20"/>
  <c r="EI20"/>
  <c r="AU25"/>
  <c r="AT29"/>
  <c r="AU35"/>
  <c r="AT34"/>
  <c r="EI34"/>
  <c r="EO34" s="1"/>
  <c r="AU44"/>
  <c r="AT47"/>
  <c r="AV27"/>
  <c r="EK27"/>
  <c r="EQ27" s="1"/>
  <c r="AV32"/>
  <c r="FC31"/>
  <c r="FI31" s="1"/>
  <c r="CO27"/>
  <c r="ET27"/>
  <c r="EZ27" s="1"/>
  <c r="CM26"/>
  <c r="AU28"/>
  <c r="EJ28"/>
  <c r="EP28" s="1"/>
  <c r="EF11"/>
  <c r="EG38"/>
  <c r="FB38"/>
  <c r="FH38" s="1"/>
  <c r="EG13"/>
  <c r="FA35"/>
  <c r="CM25"/>
  <c r="CM29"/>
  <c r="CN30"/>
  <c r="CN33"/>
  <c r="CN35"/>
  <c r="CN36"/>
  <c r="CN37"/>
  <c r="CN34"/>
  <c r="CN44"/>
  <c r="AV17"/>
  <c r="EK17"/>
  <c r="AU29"/>
  <c r="AU33"/>
  <c r="AT35"/>
  <c r="AV36"/>
  <c r="AU37"/>
  <c r="EJ37"/>
  <c r="AU47"/>
  <c r="AS47"/>
  <c r="CL46"/>
  <c r="CO46" s="1"/>
  <c r="CL28"/>
  <c r="ET28" s="1"/>
  <c r="R14"/>
  <c r="AS14"/>
  <c r="EE19"/>
  <c r="FB19"/>
  <c r="FH19" s="1"/>
  <c r="AM38"/>
  <c r="R46"/>
  <c r="AS46"/>
  <c r="CL14"/>
  <c r="CO14" s="1"/>
  <c r="BK19"/>
  <c r="CL19"/>
  <c r="CO19" s="1"/>
  <c r="FB22"/>
  <c r="FH22" s="1"/>
  <c r="CL22"/>
  <c r="ET22" s="1"/>
  <c r="EZ22" s="1"/>
  <c r="EE10"/>
  <c r="EE38"/>
  <c r="FC38" s="1"/>
  <c r="FI38" s="1"/>
  <c r="EE29"/>
  <c r="EH29" s="1"/>
  <c r="EE35"/>
  <c r="EH35" s="1"/>
  <c r="EE30"/>
  <c r="EH30" s="1"/>
  <c r="EE40"/>
  <c r="FC40" s="1"/>
  <c r="FB34"/>
  <c r="FH34" s="1"/>
  <c r="CL36"/>
  <c r="CL25"/>
  <c r="CL30"/>
  <c r="CL48"/>
  <c r="CO48" s="1"/>
  <c r="CL13"/>
  <c r="CO13" s="1"/>
  <c r="CL20"/>
  <c r="CO20" s="1"/>
  <c r="CL37"/>
  <c r="ET37" s="1"/>
  <c r="CL11"/>
  <c r="CO11" s="1"/>
  <c r="CL47"/>
  <c r="AG13"/>
  <c r="R34"/>
  <c r="AS34"/>
  <c r="AG25"/>
  <c r="R21"/>
  <c r="AS21"/>
  <c r="AS9"/>
  <c r="AV9" s="1"/>
  <c r="CL44"/>
  <c r="ET44" s="1"/>
  <c r="EZ44" s="1"/>
  <c r="AG37"/>
  <c r="AG33"/>
  <c r="FA19"/>
  <c r="FG19" s="1"/>
  <c r="BZ47"/>
  <c r="EE9"/>
  <c r="CL45"/>
  <c r="AS45"/>
  <c r="FC24"/>
  <c r="FI24" s="1"/>
  <c r="BZ25"/>
  <c r="FA26"/>
  <c r="FG26" s="1"/>
  <c r="FC32"/>
  <c r="FI32" s="1"/>
  <c r="AV24"/>
  <c r="CO32"/>
  <c r="AV31"/>
  <c r="CO31"/>
  <c r="CN26"/>
  <c r="AT26"/>
  <c r="CM45"/>
  <c r="ER45"/>
  <c r="EX45" s="1"/>
  <c r="AU45"/>
  <c r="EJ45"/>
  <c r="EP45" s="1"/>
  <c r="CN22"/>
  <c r="EI19"/>
  <c r="EO19" s="1"/>
  <c r="AT19"/>
  <c r="AT17"/>
  <c r="EI17"/>
  <c r="CM28"/>
  <c r="FB25"/>
  <c r="FH25" s="1"/>
  <c r="CN25"/>
  <c r="CN29"/>
  <c r="CM30"/>
  <c r="CM33"/>
  <c r="CM35"/>
  <c r="CM36"/>
  <c r="CM37"/>
  <c r="CM34"/>
  <c r="CM43"/>
  <c r="CM47"/>
  <c r="AU17"/>
  <c r="EJ17"/>
  <c r="AT23"/>
  <c r="AV23"/>
  <c r="AU30"/>
  <c r="AT33"/>
  <c r="AU36"/>
  <c r="AT37"/>
  <c r="EI37"/>
  <c r="AG26"/>
  <c r="AU26"/>
  <c r="CN45"/>
  <c r="ES45"/>
  <c r="EY45" s="1"/>
  <c r="AT45"/>
  <c r="EI45"/>
  <c r="EO45" s="1"/>
  <c r="EG9"/>
  <c r="CM9"/>
  <c r="AU21"/>
  <c r="CM22"/>
  <c r="AU22"/>
  <c r="CN19"/>
  <c r="ES19"/>
  <c r="EY19" s="1"/>
  <c r="AU19"/>
  <c r="EJ19"/>
  <c r="EP19" s="1"/>
  <c r="FB28"/>
  <c r="FH28" s="1"/>
  <c r="CN28"/>
  <c r="AS28"/>
  <c r="EG10"/>
  <c r="FB10"/>
  <c r="CN43"/>
  <c r="CN47"/>
  <c r="AT38"/>
  <c r="EI38"/>
  <c r="EO38" s="1"/>
  <c r="AT13"/>
  <c r="AU20"/>
  <c r="EJ20"/>
  <c r="AU23"/>
  <c r="AT25"/>
  <c r="AT30"/>
  <c r="AV30"/>
  <c r="AT36"/>
  <c r="AU34"/>
  <c r="EJ34"/>
  <c r="EP34" s="1"/>
  <c r="AT44"/>
  <c r="AS29"/>
  <c r="AV29" s="1"/>
  <c r="AS33"/>
  <c r="EJ35"/>
  <c r="ES34"/>
  <c r="EY34" s="1"/>
  <c r="AS13"/>
  <c r="AS44"/>
  <c r="DS46"/>
  <c r="DS39"/>
  <c r="FA46"/>
  <c r="FG46" s="1"/>
  <c r="FC49"/>
  <c r="FI49" s="1"/>
  <c r="FB46"/>
  <c r="FH46" s="1"/>
  <c r="FB48"/>
  <c r="FH48" s="1"/>
  <c r="EG48"/>
  <c r="EE41"/>
  <c r="EE39"/>
  <c r="FB41"/>
  <c r="FH41" s="1"/>
  <c r="EG41"/>
  <c r="FA39"/>
  <c r="FG39" s="1"/>
  <c r="FB39"/>
  <c r="FH39" s="1"/>
  <c r="FC16"/>
  <c r="FI16" s="1"/>
  <c r="BZ46"/>
  <c r="ET49"/>
  <c r="EZ49" s="1"/>
  <c r="ES46"/>
  <c r="EY46" s="1"/>
  <c r="BZ39"/>
  <c r="ES39"/>
  <c r="EY39" s="1"/>
  <c r="BZ19"/>
  <c r="ER19"/>
  <c r="EX19" s="1"/>
  <c r="ET24"/>
  <c r="EZ24" s="1"/>
  <c r="ER20"/>
  <c r="ES20"/>
  <c r="BK21"/>
  <c r="ER18"/>
  <c r="ES18"/>
  <c r="ET16"/>
  <c r="EZ16" s="1"/>
  <c r="ER38"/>
  <c r="EX38" s="1"/>
  <c r="ES13"/>
  <c r="EY13" s="1"/>
  <c r="ER11"/>
  <c r="EX11" s="1"/>
  <c r="ES14"/>
  <c r="ES38"/>
  <c r="EY38" s="1"/>
  <c r="BK38"/>
  <c r="EI10"/>
  <c r="EJ10"/>
  <c r="AG9"/>
  <c r="AG10"/>
  <c r="EJ46"/>
  <c r="EP46" s="1"/>
  <c r="EI48"/>
  <c r="EO48" s="1"/>
  <c r="EK49"/>
  <c r="EQ49" s="1"/>
  <c r="EI46"/>
  <c r="EO46" s="1"/>
  <c r="AG48"/>
  <c r="AG46"/>
  <c r="AG39"/>
  <c r="EJ39"/>
  <c r="EP39" s="1"/>
  <c r="EI39"/>
  <c r="EO39" s="1"/>
  <c r="EK16"/>
  <c r="EQ16" s="1"/>
  <c r="EJ18"/>
  <c r="EJ14"/>
  <c r="EP14" s="1"/>
  <c r="EI14"/>
  <c r="EO14" s="1"/>
  <c r="EI18"/>
  <c r="EJ15"/>
  <c r="EP15" s="1"/>
  <c r="AG14"/>
  <c r="EG34"/>
  <c r="ES28"/>
  <c r="EY28" s="1"/>
  <c r="ES44"/>
  <c r="EY44" s="1"/>
  <c r="ER44"/>
  <c r="EX44" s="1"/>
  <c r="EJ44"/>
  <c r="EP44" s="1"/>
  <c r="EI44"/>
  <c r="EO44" s="1"/>
  <c r="ES47"/>
  <c r="EY47" s="1"/>
  <c r="ER47"/>
  <c r="EX47" s="1"/>
  <c r="EI47"/>
  <c r="EO47" s="1"/>
  <c r="ES43"/>
  <c r="EY43" s="1"/>
  <c r="ER43"/>
  <c r="EX43" s="1"/>
  <c r="EJ43"/>
  <c r="EP43" s="1"/>
  <c r="EI43"/>
  <c r="EO43" s="1"/>
  <c r="DD41"/>
  <c r="FB36"/>
  <c r="EG36"/>
  <c r="EJ36"/>
  <c r="EP36" s="1"/>
  <c r="EI36"/>
  <c r="EO36" s="1"/>
  <c r="EG33"/>
  <c r="ES36"/>
  <c r="EY36" s="1"/>
  <c r="ER46"/>
  <c r="EX46" s="1"/>
  <c r="ER41"/>
  <c r="EX41" s="1"/>
  <c r="ER39"/>
  <c r="EX39" s="1"/>
  <c r="ES41"/>
  <c r="EY41" s="1"/>
  <c r="ES33"/>
  <c r="EY33" s="1"/>
  <c r="ER33"/>
  <c r="EX33" s="1"/>
  <c r="EI33"/>
  <c r="EO33" s="1"/>
  <c r="EF26"/>
  <c r="EG26"/>
  <c r="EE26"/>
  <c r="FB29"/>
  <c r="FH29" s="1"/>
  <c r="EG29"/>
  <c r="ER22"/>
  <c r="EX22" s="1"/>
  <c r="ER21"/>
  <c r="EX21" s="1"/>
  <c r="ES21"/>
  <c r="EY21" s="1"/>
  <c r="ES29"/>
  <c r="EY29" s="1"/>
  <c r="ER29"/>
  <c r="EX29" s="1"/>
  <c r="EJ26"/>
  <c r="EP26" s="1"/>
  <c r="EI22"/>
  <c r="EO22" s="1"/>
  <c r="EJ22"/>
  <c r="EP22" s="1"/>
  <c r="EI21"/>
  <c r="EO21" s="1"/>
  <c r="EJ29"/>
  <c r="EP29" s="1"/>
  <c r="EI29"/>
  <c r="EO29" s="1"/>
  <c r="DS9"/>
  <c r="FA41"/>
  <c r="FG41" s="1"/>
  <c r="EF41"/>
  <c r="DD26"/>
  <c r="FA33"/>
  <c r="FG33" s="1"/>
  <c r="EF33"/>
  <c r="FA48"/>
  <c r="FG48" s="1"/>
  <c r="EF48"/>
  <c r="FA10"/>
  <c r="FA11"/>
  <c r="FG11" s="1"/>
  <c r="DD46"/>
  <c r="EE46"/>
  <c r="EH46" s="1"/>
  <c r="FA36"/>
  <c r="EF36"/>
  <c r="FA29"/>
  <c r="FG29" s="1"/>
  <c r="EF29"/>
  <c r="FB11"/>
  <c r="FH11" s="1"/>
  <c r="FB40"/>
  <c r="FA40"/>
  <c r="EI11"/>
  <c r="EO11" s="1"/>
  <c r="EJ11"/>
  <c r="EP11" s="1"/>
  <c r="EJ40"/>
  <c r="EI40"/>
  <c r="ES48"/>
  <c r="EY48" s="1"/>
  <c r="ER48"/>
  <c r="EX48" s="1"/>
  <c r="FB30"/>
  <c r="FH30" s="1"/>
  <c r="EG30"/>
  <c r="FA30"/>
  <c r="FG30" s="1"/>
  <c r="EF30"/>
  <c r="ES30"/>
  <c r="EY30" s="1"/>
  <c r="ER30"/>
  <c r="EX30" s="1"/>
  <c r="EI30"/>
  <c r="EO30" s="1"/>
  <c r="FA25"/>
  <c r="FG25" s="1"/>
  <c r="EF25"/>
  <c r="ES25"/>
  <c r="EY25" s="1"/>
  <c r="ER25"/>
  <c r="EX25" s="1"/>
  <c r="EI25"/>
  <c r="EO25" s="1"/>
  <c r="EH48"/>
  <c r="FC48"/>
  <c r="FI48" s="1"/>
  <c r="FB13"/>
  <c r="FH13" s="1"/>
  <c r="FA13"/>
  <c r="FG13" s="1"/>
  <c r="ES40"/>
  <c r="ET38"/>
  <c r="EZ38" s="1"/>
  <c r="ER40"/>
  <c r="ER14"/>
  <c r="EX14" s="1"/>
  <c r="ES10"/>
  <c r="ER10"/>
  <c r="ER13"/>
  <c r="EX13" s="1"/>
  <c r="EJ13"/>
  <c r="EP13" s="1"/>
  <c r="EI13"/>
  <c r="EO13" s="1"/>
  <c r="EH24"/>
  <c r="EQ24"/>
  <c r="EH16"/>
  <c r="EZ32"/>
  <c r="EQ32"/>
  <c r="EH32"/>
  <c r="EQ31"/>
  <c r="EZ31"/>
  <c r="EH31"/>
  <c r="EH27"/>
  <c r="EH49"/>
  <c r="EK23"/>
  <c r="R45"/>
  <c r="BK45"/>
  <c r="BK44"/>
  <c r="BK43"/>
  <c r="EI9"/>
  <c r="EO9" s="1"/>
  <c r="R9"/>
  <c r="ER9"/>
  <c r="EX9" s="1"/>
  <c r="EJ9"/>
  <c r="EP9" s="1"/>
  <c r="EP21"/>
  <c r="R22"/>
  <c r="DD10"/>
  <c r="DD25"/>
  <c r="DD36"/>
  <c r="EH36"/>
  <c r="DD35"/>
  <c r="DD13"/>
  <c r="DD40"/>
  <c r="BK10"/>
  <c r="BK36"/>
  <c r="BK18"/>
  <c r="BK30"/>
  <c r="BK13"/>
  <c r="BK41"/>
  <c r="BK47"/>
  <c r="DD43"/>
  <c r="BK20"/>
  <c r="BK35"/>
  <c r="BK40"/>
  <c r="BK29"/>
  <c r="O38"/>
  <c r="DD11"/>
  <c r="DD29"/>
  <c r="EE47"/>
  <c r="FC47" s="1"/>
  <c r="DD47"/>
  <c r="DD37"/>
  <c r="DD18"/>
  <c r="EE18"/>
  <c r="DD33"/>
  <c r="DD44"/>
  <c r="BK37"/>
  <c r="BK11"/>
  <c r="DD28"/>
  <c r="EE28"/>
  <c r="EE34"/>
  <c r="DD30"/>
  <c r="DD20"/>
  <c r="EE20"/>
  <c r="BK25"/>
  <c r="BK48"/>
  <c r="EG39"/>
  <c r="BK39"/>
  <c r="DD39"/>
  <c r="EF39"/>
  <c r="BK22"/>
  <c r="EF22"/>
  <c r="DD22"/>
  <c r="EE22"/>
  <c r="EG22"/>
  <c r="EY22"/>
  <c r="EG19"/>
  <c r="DD19"/>
  <c r="EH19"/>
  <c r="BK14"/>
  <c r="BK28"/>
  <c r="EG46"/>
  <c r="EF46"/>
  <c r="BK46"/>
  <c r="BK34"/>
  <c r="EX34"/>
  <c r="FF18"/>
  <c r="EW18"/>
  <c r="EN18"/>
  <c r="EA18"/>
  <c r="DZ18"/>
  <c r="DX18"/>
  <c r="DW18"/>
  <c r="DU18"/>
  <c r="DT18"/>
  <c r="DO18"/>
  <c r="DN18"/>
  <c r="ET33" l="1"/>
  <c r="EZ33" s="1"/>
  <c r="AV14"/>
  <c r="AV46"/>
  <c r="AV39"/>
  <c r="DR18"/>
  <c r="AS38"/>
  <c r="AV13"/>
  <c r="AV28"/>
  <c r="EK28"/>
  <c r="EQ28" s="1"/>
  <c r="AV45"/>
  <c r="EK45"/>
  <c r="EQ45" s="1"/>
  <c r="CO45"/>
  <c r="ET45"/>
  <c r="EZ45" s="1"/>
  <c r="EH9"/>
  <c r="AV34"/>
  <c r="EK34"/>
  <c r="EQ34" s="1"/>
  <c r="FC30"/>
  <c r="FI30" s="1"/>
  <c r="FC35"/>
  <c r="FC29"/>
  <c r="FI29" s="1"/>
  <c r="EH38"/>
  <c r="EH10"/>
  <c r="FC19"/>
  <c r="FI19" s="1"/>
  <c r="CO26"/>
  <c r="CO9"/>
  <c r="CO43"/>
  <c r="CO29"/>
  <c r="CO35"/>
  <c r="FC33"/>
  <c r="FI33" s="1"/>
  <c r="EH13"/>
  <c r="CO34"/>
  <c r="CO47"/>
  <c r="DQ18"/>
  <c r="FC22"/>
  <c r="FI22" s="1"/>
  <c r="FC34"/>
  <c r="FI34" s="1"/>
  <c r="FC26"/>
  <c r="FI26" s="1"/>
  <c r="AV44"/>
  <c r="AV33"/>
  <c r="CO44"/>
  <c r="AV21"/>
  <c r="CO37"/>
  <c r="CO30"/>
  <c r="CO25"/>
  <c r="CO36"/>
  <c r="EH40"/>
  <c r="CO22"/>
  <c r="CO28"/>
  <c r="AV47"/>
  <c r="AV26"/>
  <c r="EK26"/>
  <c r="EQ26" s="1"/>
  <c r="FC37"/>
  <c r="FC36"/>
  <c r="FC25"/>
  <c r="FI25" s="1"/>
  <c r="EH11"/>
  <c r="AV22"/>
  <c r="AV19"/>
  <c r="EK19"/>
  <c r="EQ19" s="1"/>
  <c r="FC10"/>
  <c r="FI44"/>
  <c r="FI43"/>
  <c r="FC46"/>
  <c r="FI46" s="1"/>
  <c r="FC41"/>
  <c r="FI41" s="1"/>
  <c r="FC39"/>
  <c r="FI39" s="1"/>
  <c r="EH41"/>
  <c r="ET46"/>
  <c r="EZ46" s="1"/>
  <c r="ET39"/>
  <c r="EZ39" s="1"/>
  <c r="ET19"/>
  <c r="EZ19" s="1"/>
  <c r="ET20"/>
  <c r="ET18"/>
  <c r="ET14"/>
  <c r="EZ14" s="1"/>
  <c r="EK10"/>
  <c r="EK46"/>
  <c r="EQ46" s="1"/>
  <c r="EK41"/>
  <c r="EQ41" s="1"/>
  <c r="EK39"/>
  <c r="EQ39" s="1"/>
  <c r="EK15"/>
  <c r="EQ15" s="1"/>
  <c r="EK14"/>
  <c r="EQ14" s="1"/>
  <c r="EH28"/>
  <c r="FC28"/>
  <c r="FI28" s="1"/>
  <c r="EH34"/>
  <c r="ET34"/>
  <c r="EZ34" s="1"/>
  <c r="ET47"/>
  <c r="EZ47" s="1"/>
  <c r="EK47"/>
  <c r="EQ47" s="1"/>
  <c r="EK44"/>
  <c r="EQ44" s="1"/>
  <c r="EK43"/>
  <c r="EQ43" s="1"/>
  <c r="EK36"/>
  <c r="EQ36" s="1"/>
  <c r="ET41"/>
  <c r="EZ41" s="1"/>
  <c r="ET35"/>
  <c r="ET36"/>
  <c r="EZ36" s="1"/>
  <c r="EK33"/>
  <c r="EQ33" s="1"/>
  <c r="EH26"/>
  <c r="ET21"/>
  <c r="EZ21" s="1"/>
  <c r="ET29"/>
  <c r="EZ29" s="1"/>
  <c r="EK22"/>
  <c r="EQ22" s="1"/>
  <c r="EK21"/>
  <c r="EQ21" s="1"/>
  <c r="EK29"/>
  <c r="EQ29" s="1"/>
  <c r="FC9"/>
  <c r="FI9" s="1"/>
  <c r="EH47"/>
  <c r="EH18"/>
  <c r="FC18"/>
  <c r="FI18" s="1"/>
  <c r="EH43"/>
  <c r="EH20"/>
  <c r="FC20"/>
  <c r="EK11"/>
  <c r="EQ11" s="1"/>
  <c r="EK40"/>
  <c r="ET48"/>
  <c r="EZ48" s="1"/>
  <c r="EK48"/>
  <c r="EQ48" s="1"/>
  <c r="ET30"/>
  <c r="EZ30" s="1"/>
  <c r="ET25"/>
  <c r="EZ25" s="1"/>
  <c r="EK25"/>
  <c r="EQ25" s="1"/>
  <c r="EH44"/>
  <c r="ET11"/>
  <c r="EZ11" s="1"/>
  <c r="ET40"/>
  <c r="ET10"/>
  <c r="ET13"/>
  <c r="EZ13" s="1"/>
  <c r="EK13"/>
  <c r="EQ13" s="1"/>
  <c r="EK9"/>
  <c r="EQ9" s="1"/>
  <c r="EC18"/>
  <c r="R38"/>
  <c r="ED18"/>
  <c r="EH39"/>
  <c r="EH22"/>
  <c r="EZ28"/>
  <c r="L18"/>
  <c r="AP18" s="1"/>
  <c r="I18"/>
  <c r="F18"/>
  <c r="AJ18" l="1"/>
  <c r="AM18"/>
  <c r="FB18"/>
  <c r="FH18" s="1"/>
  <c r="AV38"/>
  <c r="EK38"/>
  <c r="EQ38" s="1"/>
  <c r="EF18"/>
  <c r="FA18"/>
  <c r="FG18" s="1"/>
  <c r="EK30"/>
  <c r="EQ30" s="1"/>
  <c r="EJ30"/>
  <c r="EP30" s="1"/>
  <c r="O18"/>
  <c r="EG18"/>
  <c r="EY18"/>
  <c r="EX18"/>
  <c r="EO18"/>
  <c r="EP18"/>
  <c r="FF37"/>
  <c r="EW37"/>
  <c r="EN37"/>
  <c r="AS18" l="1"/>
  <c r="AV18" s="1"/>
  <c r="R18"/>
  <c r="EZ18"/>
  <c r="DO37"/>
  <c r="DN37"/>
  <c r="EX37"/>
  <c r="EP37"/>
  <c r="EO37"/>
  <c r="L37"/>
  <c r="AP37" s="1"/>
  <c r="I37"/>
  <c r="AM37" l="1"/>
  <c r="DQ37"/>
  <c r="EC37"/>
  <c r="DR37"/>
  <c r="ED37"/>
  <c r="EK18"/>
  <c r="EQ18" s="1"/>
  <c r="O37"/>
  <c r="FI37"/>
  <c r="EY37"/>
  <c r="FF35"/>
  <c r="EW35"/>
  <c r="EN35"/>
  <c r="EF35"/>
  <c r="AS37" l="1"/>
  <c r="FA37"/>
  <c r="FG37" s="1"/>
  <c r="FB37"/>
  <c r="FH37" s="1"/>
  <c r="EG35"/>
  <c r="EG37"/>
  <c r="EF37"/>
  <c r="R37"/>
  <c r="FH35"/>
  <c r="FG35"/>
  <c r="FI35"/>
  <c r="EY35"/>
  <c r="EX35"/>
  <c r="EZ37"/>
  <c r="EZ35"/>
  <c r="L35"/>
  <c r="AP35" s="1"/>
  <c r="I35"/>
  <c r="AV37" l="1"/>
  <c r="EK37"/>
  <c r="EQ37" s="1"/>
  <c r="AM35"/>
  <c r="O35"/>
  <c r="EP35"/>
  <c r="EO35"/>
  <c r="FF20"/>
  <c r="EW20"/>
  <c r="EN20"/>
  <c r="AS35" l="1"/>
  <c r="EK35" s="1"/>
  <c r="EA20"/>
  <c r="DZ20"/>
  <c r="DO20"/>
  <c r="DN20"/>
  <c r="DX20"/>
  <c r="DW20"/>
  <c r="DU20"/>
  <c r="DT20"/>
  <c r="DQ20" l="1"/>
  <c r="DR20"/>
  <c r="EC20"/>
  <c r="ED20"/>
  <c r="EQ35"/>
  <c r="FI20"/>
  <c r="FA20" l="1"/>
  <c r="FG20" s="1"/>
  <c r="FB20"/>
  <c r="FH20" s="1"/>
  <c r="EG20"/>
  <c r="EF20"/>
  <c r="EY20"/>
  <c r="EX20"/>
  <c r="EP20"/>
  <c r="EO20"/>
  <c r="L20" l="1"/>
  <c r="AP20" s="1"/>
  <c r="I20"/>
  <c r="F20"/>
  <c r="AJ20" l="1"/>
  <c r="AM20"/>
  <c r="O20"/>
  <c r="EZ20"/>
  <c r="F35"/>
  <c r="AJ35" l="1"/>
  <c r="AS20"/>
  <c r="AV20" s="1"/>
  <c r="R35"/>
  <c r="R20"/>
  <c r="C52" i="27"/>
  <c r="D52"/>
  <c r="E52"/>
  <c r="F52"/>
  <c r="G52"/>
  <c r="H52"/>
  <c r="I52"/>
  <c r="J52"/>
  <c r="K52"/>
  <c r="L52"/>
  <c r="M52"/>
  <c r="N52"/>
  <c r="O52"/>
  <c r="P52"/>
  <c r="Q52"/>
  <c r="R52"/>
  <c r="S52"/>
  <c r="T52"/>
  <c r="B52"/>
  <c r="B51"/>
  <c r="B50"/>
  <c r="B49"/>
  <c r="B48"/>
  <c r="B47"/>
  <c r="B46"/>
  <c r="B45"/>
  <c r="B44"/>
  <c r="B43"/>
  <c r="AV35" i="23" l="1"/>
  <c r="EK20"/>
  <c r="EQ20" s="1"/>
  <c r="FD50" l="1"/>
  <c r="FE50"/>
  <c r="EU50"/>
  <c r="EV50"/>
  <c r="DZ8"/>
  <c r="EA8"/>
  <c r="CH8"/>
  <c r="CG8"/>
  <c r="AO8" l="1"/>
  <c r="AN8"/>
  <c r="EM50"/>
  <c r="EL50"/>
  <c r="EA50"/>
  <c r="DZ50"/>
  <c r="DL50"/>
  <c r="DK50"/>
  <c r="DI50"/>
  <c r="DH50"/>
  <c r="DF50"/>
  <c r="DE50"/>
  <c r="CW50"/>
  <c r="CV50"/>
  <c r="CT50"/>
  <c r="CS50"/>
  <c r="CQ50"/>
  <c r="CP50"/>
  <c r="CH50"/>
  <c r="CG50"/>
  <c r="BS50"/>
  <c r="BR50"/>
  <c r="BP50"/>
  <c r="BO50"/>
  <c r="BM50"/>
  <c r="BL50"/>
  <c r="BD50"/>
  <c r="BC50"/>
  <c r="BA50"/>
  <c r="AZ50"/>
  <c r="AX50"/>
  <c r="AW50"/>
  <c r="V50"/>
  <c r="W50"/>
  <c r="Y50"/>
  <c r="Z50"/>
  <c r="S50"/>
  <c r="T50"/>
  <c r="G50"/>
  <c r="H50"/>
  <c r="J50"/>
  <c r="K50"/>
  <c r="D50"/>
  <c r="E50"/>
  <c r="AO50" l="1"/>
  <c r="AE1" i="24"/>
  <c r="AN50" i="23" l="1"/>
  <c r="AO9" i="24"/>
  <c r="AO16" s="1"/>
  <c r="AN9"/>
  <c r="AN16" s="1"/>
  <c r="V9"/>
  <c r="V16" s="1"/>
  <c r="AE9" l="1"/>
  <c r="AE16" s="1"/>
  <c r="AF9"/>
  <c r="AF16" s="1"/>
  <c r="R9" l="1"/>
  <c r="R16" s="1"/>
  <c r="U9"/>
  <c r="U16" s="1"/>
  <c r="T9" i="11"/>
  <c r="Q9"/>
  <c r="N9"/>
  <c r="K9"/>
  <c r="H9"/>
  <c r="E9"/>
  <c r="AP9" i="24" l="1"/>
  <c r="AP16" s="1"/>
  <c r="O9" l="1"/>
  <c r="O16" s="1"/>
  <c r="L9"/>
  <c r="L16" s="1"/>
  <c r="AS9"/>
  <c r="AS16" s="1"/>
  <c r="AT9"/>
  <c r="AJ9"/>
  <c r="AJ16" s="1"/>
  <c r="AL9"/>
  <c r="AK9"/>
  <c r="AA9"/>
  <c r="AA16" s="1"/>
  <c r="W9"/>
  <c r="AB9"/>
  <c r="I9"/>
  <c r="I16" s="1"/>
  <c r="F9"/>
  <c r="F16" s="1"/>
  <c r="V1"/>
  <c r="DO8" i="23"/>
  <c r="DN8"/>
  <c r="DM8"/>
  <c r="DJ8"/>
  <c r="DG8"/>
  <c r="CZ8"/>
  <c r="CY8"/>
  <c r="CU8"/>
  <c r="BV8"/>
  <c r="BU8"/>
  <c r="BT8"/>
  <c r="BQ8"/>
  <c r="BG8"/>
  <c r="BF8"/>
  <c r="BE8"/>
  <c r="BB8"/>
  <c r="AY8"/>
  <c r="AC8"/>
  <c r="AB8"/>
  <c r="AA8"/>
  <c r="X8"/>
  <c r="U8"/>
  <c r="S53"/>
  <c r="AH53" s="1"/>
  <c r="AW53" s="1"/>
  <c r="BL53" s="1"/>
  <c r="CA53" s="1"/>
  <c r="CP53" s="1"/>
  <c r="DE53" s="1"/>
  <c r="DT53" s="1"/>
  <c r="S52"/>
  <c r="AH52" s="1"/>
  <c r="AW52" s="1"/>
  <c r="BL52" s="1"/>
  <c r="CA52" s="1"/>
  <c r="CP52" s="1"/>
  <c r="DE52" s="1"/>
  <c r="DT52" s="1"/>
  <c r="S51"/>
  <c r="AH51" s="1"/>
  <c r="AW51" s="1"/>
  <c r="BL51" s="1"/>
  <c r="CA51" s="1"/>
  <c r="CP51" s="1"/>
  <c r="DE51" s="1"/>
  <c r="DT51" s="1"/>
  <c r="FF8"/>
  <c r="EW8"/>
  <c r="EN8"/>
  <c r="DX8"/>
  <c r="DW8"/>
  <c r="DU8"/>
  <c r="DT8"/>
  <c r="CE8"/>
  <c r="CD8"/>
  <c r="CB8"/>
  <c r="CA8"/>
  <c r="AL8"/>
  <c r="AK8"/>
  <c r="AI8"/>
  <c r="AH8"/>
  <c r="N8"/>
  <c r="M8"/>
  <c r="L8"/>
  <c r="I8"/>
  <c r="FA1"/>
  <c r="ER1"/>
  <c r="EI1"/>
  <c r="S1"/>
  <c r="AH1" s="1"/>
  <c r="DK51" i="5"/>
  <c r="DJ51"/>
  <c r="DH51"/>
  <c r="DG51"/>
  <c r="DE51"/>
  <c r="DD51"/>
  <c r="CV51"/>
  <c r="CU51"/>
  <c r="CS51"/>
  <c r="CR51"/>
  <c r="CP51"/>
  <c r="CO51"/>
  <c r="BR51"/>
  <c r="BQ51"/>
  <c r="BO51"/>
  <c r="BN51"/>
  <c r="BL51"/>
  <c r="BK51"/>
  <c r="BC51"/>
  <c r="BB51"/>
  <c r="AZ51"/>
  <c r="AY51"/>
  <c r="AW51"/>
  <c r="AV51"/>
  <c r="Y51"/>
  <c r="X51"/>
  <c r="V51"/>
  <c r="U51"/>
  <c r="S51"/>
  <c r="R51"/>
  <c r="D51"/>
  <c r="F51"/>
  <c r="G51"/>
  <c r="I51"/>
  <c r="J51"/>
  <c r="C51"/>
  <c r="EV45"/>
  <c r="EM45"/>
  <c r="E41"/>
  <c r="AC9" i="24" l="1"/>
  <c r="W16"/>
  <c r="CI8" i="23"/>
  <c r="DP8"/>
  <c r="AG9" i="24"/>
  <c r="CB50" i="23"/>
  <c r="FF50"/>
  <c r="BG50"/>
  <c r="BT50"/>
  <c r="CR50"/>
  <c r="DG50"/>
  <c r="CD50"/>
  <c r="CE50"/>
  <c r="CZ50"/>
  <c r="BN50"/>
  <c r="CA50"/>
  <c r="EN50"/>
  <c r="AA50"/>
  <c r="BF50"/>
  <c r="DO50"/>
  <c r="DX50"/>
  <c r="DW50"/>
  <c r="N50"/>
  <c r="X50"/>
  <c r="BE50"/>
  <c r="M50"/>
  <c r="BB50"/>
  <c r="BV50"/>
  <c r="CX50"/>
  <c r="DM50"/>
  <c r="DU50"/>
  <c r="AP8"/>
  <c r="DT50"/>
  <c r="AY50"/>
  <c r="BU50"/>
  <c r="CU50"/>
  <c r="DJ50"/>
  <c r="CY50"/>
  <c r="BQ50"/>
  <c r="AC50"/>
  <c r="AB50"/>
  <c r="AH50"/>
  <c r="AK50"/>
  <c r="AI50"/>
  <c r="I50"/>
  <c r="AL50"/>
  <c r="L50"/>
  <c r="BX8"/>
  <c r="AE8"/>
  <c r="BI8"/>
  <c r="BJ8"/>
  <c r="DB8"/>
  <c r="P8"/>
  <c r="DY8"/>
  <c r="AU16" i="24"/>
  <c r="AW1" i="23"/>
  <c r="BL1" s="1"/>
  <c r="CA1" s="1"/>
  <c r="CP1"/>
  <c r="DE1" s="1"/>
  <c r="DT1" s="1"/>
  <c r="U50"/>
  <c r="AU9" i="24"/>
  <c r="AL16"/>
  <c r="AC16"/>
  <c r="AB16"/>
  <c r="AV9"/>
  <c r="AT16"/>
  <c r="AK16"/>
  <c r="X9"/>
  <c r="DR8" i="23"/>
  <c r="DQ8"/>
  <c r="DC8"/>
  <c r="DA8"/>
  <c r="BY8"/>
  <c r="BW8"/>
  <c r="BH8"/>
  <c r="AF8"/>
  <c r="AD8"/>
  <c r="EI53"/>
  <c r="ER53"/>
  <c r="FA53" s="1"/>
  <c r="EI52"/>
  <c r="ER52"/>
  <c r="FA52" s="1"/>
  <c r="F50"/>
  <c r="DV8"/>
  <c r="CF8"/>
  <c r="Q8"/>
  <c r="AM8"/>
  <c r="ED8"/>
  <c r="O8"/>
  <c r="CC8"/>
  <c r="CK8"/>
  <c r="EC8"/>
  <c r="EI51"/>
  <c r="ER51"/>
  <c r="FA51" s="1"/>
  <c r="AJ8"/>
  <c r="CJ8"/>
  <c r="EB8"/>
  <c r="AR8"/>
  <c r="AQ8"/>
  <c r="EW50"/>
  <c r="FE28" i="5"/>
  <c r="AD9" i="24" l="1"/>
  <c r="X16"/>
  <c r="AD16" s="1"/>
  <c r="AM9"/>
  <c r="AG16"/>
  <c r="AM16" s="1"/>
  <c r="BJ50" i="23"/>
  <c r="BY50"/>
  <c r="DB50"/>
  <c r="P50"/>
  <c r="BX50"/>
  <c r="AF50"/>
  <c r="DR50"/>
  <c r="AE50"/>
  <c r="BI50"/>
  <c r="DC50"/>
  <c r="Q50"/>
  <c r="DV50"/>
  <c r="DA50"/>
  <c r="BH50"/>
  <c r="DP50"/>
  <c r="CI50"/>
  <c r="CF50"/>
  <c r="DY50"/>
  <c r="DN50"/>
  <c r="EB50"/>
  <c r="CC50"/>
  <c r="AP50"/>
  <c r="ED50"/>
  <c r="BW50"/>
  <c r="CJ50"/>
  <c r="CK50"/>
  <c r="AD50"/>
  <c r="AM50"/>
  <c r="AJ50"/>
  <c r="O50"/>
  <c r="AQ50"/>
  <c r="AR50"/>
  <c r="AV16" i="24"/>
  <c r="DS8" i="23"/>
  <c r="DD8"/>
  <c r="BZ8"/>
  <c r="BK8"/>
  <c r="AG8"/>
  <c r="EJ8"/>
  <c r="AU8"/>
  <c r="EI8"/>
  <c r="AT8"/>
  <c r="EE8"/>
  <c r="ER8"/>
  <c r="CM8"/>
  <c r="ES8"/>
  <c r="CN8"/>
  <c r="CL8"/>
  <c r="FB8"/>
  <c r="EG8"/>
  <c r="AS8"/>
  <c r="R8"/>
  <c r="EF8"/>
  <c r="FA8"/>
  <c r="FE12" i="5"/>
  <c r="EV12"/>
  <c r="EM12"/>
  <c r="DD50" i="23" l="1"/>
  <c r="EC50"/>
  <c r="EG50"/>
  <c r="DQ50"/>
  <c r="DS50"/>
  <c r="CN50"/>
  <c r="BK50"/>
  <c r="CM50"/>
  <c r="AU50"/>
  <c r="BZ50"/>
  <c r="R50"/>
  <c r="AG50"/>
  <c r="CL50"/>
  <c r="EE50"/>
  <c r="AT50"/>
  <c r="ER50"/>
  <c r="EX50" s="1"/>
  <c r="ES50"/>
  <c r="EY50" s="1"/>
  <c r="EJ50"/>
  <c r="EP50" s="1"/>
  <c r="AS50"/>
  <c r="EI50"/>
  <c r="EO50" s="1"/>
  <c r="FB50"/>
  <c r="FH50" s="1"/>
  <c r="FH8"/>
  <c r="EO8"/>
  <c r="FG8"/>
  <c r="EP8"/>
  <c r="EX8"/>
  <c r="EK8"/>
  <c r="AV8"/>
  <c r="EH8"/>
  <c r="FC8"/>
  <c r="EY8"/>
  <c r="ET8"/>
  <c r="CO8"/>
  <c r="B44" i="20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B42"/>
  <c r="B41"/>
  <c r="B40"/>
  <c r="B39"/>
  <c r="B38"/>
  <c r="B37"/>
  <c r="O31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T25"/>
  <c r="T10" s="1"/>
  <c r="S25"/>
  <c r="S10" s="1"/>
  <c r="R25"/>
  <c r="R10" s="1"/>
  <c r="Q25"/>
  <c r="Q10" s="1"/>
  <c r="P25"/>
  <c r="P10" s="1"/>
  <c r="O25"/>
  <c r="O10" s="1"/>
  <c r="N25"/>
  <c r="N10" s="1"/>
  <c r="M25"/>
  <c r="M10" s="1"/>
  <c r="L25"/>
  <c r="L10" s="1"/>
  <c r="K25"/>
  <c r="K10" s="1"/>
  <c r="J25"/>
  <c r="J10" s="1"/>
  <c r="I25"/>
  <c r="I10" s="1"/>
  <c r="H25"/>
  <c r="H10" s="1"/>
  <c r="G25"/>
  <c r="G10" s="1"/>
  <c r="F25"/>
  <c r="F10" s="1"/>
  <c r="E25"/>
  <c r="E10" s="1"/>
  <c r="D25"/>
  <c r="D10" s="1"/>
  <c r="C25"/>
  <c r="C10" s="1"/>
  <c r="T39" s="1"/>
  <c r="S39" s="1"/>
  <c r="R39" s="1"/>
  <c r="Q39" s="1"/>
  <c r="P39" s="1"/>
  <c r="O39" s="1"/>
  <c r="N39" s="1"/>
  <c r="M39" s="1"/>
  <c r="L39" s="1"/>
  <c r="K39" s="1"/>
  <c r="J39" s="1"/>
  <c r="I39" s="1"/>
  <c r="H39" s="1"/>
  <c r="G39" s="1"/>
  <c r="F39" s="1"/>
  <c r="E39" s="1"/>
  <c r="D39" s="1"/>
  <c r="C39" s="1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O16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T7"/>
  <c r="S7"/>
  <c r="R7"/>
  <c r="Q7"/>
  <c r="P7"/>
  <c r="O7"/>
  <c r="N7"/>
  <c r="M7"/>
  <c r="L7"/>
  <c r="K7"/>
  <c r="J7"/>
  <c r="I7"/>
  <c r="H7"/>
  <c r="G7"/>
  <c r="F7"/>
  <c r="E7"/>
  <c r="D7"/>
  <c r="C7"/>
  <c r="O1"/>
  <c r="EF50" i="23" l="1"/>
  <c r="AV50"/>
  <c r="EH50"/>
  <c r="CO50"/>
  <c r="ET50"/>
  <c r="EZ50" s="1"/>
  <c r="EK50"/>
  <c r="EQ50" s="1"/>
  <c r="N37" i="20"/>
  <c r="FA50" i="23"/>
  <c r="FG50" s="1"/>
  <c r="H44" i="20"/>
  <c r="EZ8" i="23"/>
  <c r="FC50"/>
  <c r="FI50" s="1"/>
  <c r="FI8"/>
  <c r="EQ8"/>
  <c r="D38" i="20"/>
  <c r="L38"/>
  <c r="D44"/>
  <c r="L44"/>
  <c r="T44"/>
  <c r="I44"/>
  <c r="E37"/>
  <c r="S38"/>
  <c r="S44"/>
  <c r="O37"/>
  <c r="E44"/>
  <c r="H37"/>
  <c r="N38"/>
  <c r="I37"/>
  <c r="O38"/>
  <c r="O44"/>
  <c r="K44"/>
  <c r="E38"/>
  <c r="F38"/>
  <c r="F44"/>
  <c r="Q37"/>
  <c r="R37"/>
  <c r="P38"/>
  <c r="K38"/>
  <c r="C44"/>
  <c r="G37"/>
  <c r="M44"/>
  <c r="C38"/>
  <c r="N44"/>
  <c r="T38"/>
  <c r="G38"/>
  <c r="J37"/>
  <c r="H38"/>
  <c r="C37"/>
  <c r="K37"/>
  <c r="S37"/>
  <c r="I38"/>
  <c r="Q38"/>
  <c r="M37"/>
  <c r="M38"/>
  <c r="P37"/>
  <c r="J38"/>
  <c r="R38"/>
  <c r="F37"/>
  <c r="P44"/>
  <c r="Q44"/>
  <c r="J44"/>
  <c r="R44"/>
  <c r="G44"/>
  <c r="D37"/>
  <c r="L37"/>
  <c r="T37"/>
  <c r="R1" i="13"/>
  <c r="C1" i="11" l="1"/>
  <c r="R55" i="5"/>
  <c r="AG55" s="1"/>
  <c r="AV55" s="1"/>
  <c r="BK55" s="1"/>
  <c r="BZ55" s="1"/>
  <c r="CO55" s="1"/>
  <c r="DD55" s="1"/>
  <c r="DS55" s="1"/>
  <c r="EQ55" l="1"/>
  <c r="EZ55" s="1"/>
  <c r="EH55"/>
  <c r="R54"/>
  <c r="AG54" s="1"/>
  <c r="AV54" s="1"/>
  <c r="BK54" s="1"/>
  <c r="BZ54" s="1"/>
  <c r="CO54" s="1"/>
  <c r="DD54" s="1"/>
  <c r="DS54" s="1"/>
  <c r="R53"/>
  <c r="AG53" s="1"/>
  <c r="AV53" s="1"/>
  <c r="BK53" s="1"/>
  <c r="BZ53" s="1"/>
  <c r="CO53" s="1"/>
  <c r="DD53" s="1"/>
  <c r="DS53" s="1"/>
  <c r="R52"/>
  <c r="AG52" s="1"/>
  <c r="AV52" s="1"/>
  <c r="BK52" s="1"/>
  <c r="BZ52" s="1"/>
  <c r="CO52" s="1"/>
  <c r="DD52" s="1"/>
  <c r="DS52" s="1"/>
  <c r="EH54" l="1"/>
  <c r="EQ54"/>
  <c r="EZ54" s="1"/>
  <c r="EH53"/>
  <c r="EQ53"/>
  <c r="EZ53" s="1"/>
  <c r="EH52"/>
  <c r="EQ52"/>
  <c r="EZ52" s="1"/>
  <c r="Z44" i="13"/>
  <c r="W44"/>
  <c r="DS18" i="5"/>
  <c r="DT18"/>
  <c r="AG18"/>
  <c r="AH18"/>
  <c r="AJ18"/>
  <c r="AK18"/>
  <c r="AM18"/>
  <c r="AN18"/>
  <c r="BZ18"/>
  <c r="CA18"/>
  <c r="CC18"/>
  <c r="CD18"/>
  <c r="CF18"/>
  <c r="CG18"/>
  <c r="AS14" i="11"/>
  <c r="AT14"/>
  <c r="AR14"/>
  <c r="AJ14"/>
  <c r="AK14"/>
  <c r="AI14"/>
  <c r="Y14"/>
  <c r="X14"/>
  <c r="S14"/>
  <c r="R14"/>
  <c r="P14"/>
  <c r="O14"/>
  <c r="M14"/>
  <c r="L14"/>
  <c r="H14"/>
  <c r="Y59" i="13"/>
  <c r="X59"/>
  <c r="M59"/>
  <c r="L59"/>
  <c r="G59"/>
  <c r="S59" s="1"/>
  <c r="F59"/>
  <c r="R59" s="1"/>
  <c r="D59"/>
  <c r="C59"/>
  <c r="Y51" i="14"/>
  <c r="X51"/>
  <c r="I52"/>
  <c r="J52"/>
  <c r="K52"/>
  <c r="P46"/>
  <c r="O46"/>
  <c r="M51"/>
  <c r="L51"/>
  <c r="G51"/>
  <c r="S51" s="1"/>
  <c r="F51"/>
  <c r="R51" s="1"/>
  <c r="D51"/>
  <c r="D52" s="1"/>
  <c r="C51"/>
  <c r="M51" i="15"/>
  <c r="L51"/>
  <c r="G51"/>
  <c r="S51" s="1"/>
  <c r="F51"/>
  <c r="D51"/>
  <c r="Y51"/>
  <c r="X51"/>
  <c r="C51"/>
  <c r="CY9" i="5"/>
  <c r="CY37"/>
  <c r="CY12"/>
  <c r="CY23"/>
  <c r="CY21"/>
  <c r="CY26"/>
  <c r="CY38"/>
  <c r="CY39"/>
  <c r="CY48"/>
  <c r="CY49"/>
  <c r="CY40"/>
  <c r="CY41"/>
  <c r="CY50"/>
  <c r="CY43"/>
  <c r="CY42"/>
  <c r="CY27"/>
  <c r="CY28"/>
  <c r="CY30"/>
  <c r="CY29"/>
  <c r="CY46"/>
  <c r="CY32"/>
  <c r="CY33"/>
  <c r="CY34"/>
  <c r="CY47"/>
  <c r="CY36"/>
  <c r="CY22"/>
  <c r="CY24"/>
  <c r="CY31"/>
  <c r="CY35"/>
  <c r="CY20"/>
  <c r="CY18"/>
  <c r="CY14"/>
  <c r="CY15"/>
  <c r="CY16"/>
  <c r="CY13"/>
  <c r="CY10"/>
  <c r="E51" i="15" l="1"/>
  <c r="Q14" i="11"/>
  <c r="N51" i="15"/>
  <c r="AD51" i="14"/>
  <c r="Z51"/>
  <c r="N51"/>
  <c r="CY51" i="5"/>
  <c r="T14" i="11"/>
  <c r="E59" i="13"/>
  <c r="Z59"/>
  <c r="E14" i="11"/>
  <c r="Z14"/>
  <c r="AE59" i="13"/>
  <c r="Z51" i="15"/>
  <c r="E51" i="14"/>
  <c r="P51"/>
  <c r="AE51"/>
  <c r="O51"/>
  <c r="H51"/>
  <c r="T51" s="1"/>
  <c r="AD59" i="13"/>
  <c r="N59"/>
  <c r="H59"/>
  <c r="T59" s="1"/>
  <c r="AE51" i="15"/>
  <c r="H51"/>
  <c r="T51" s="1"/>
  <c r="R51"/>
  <c r="AD51" s="1"/>
  <c r="U9" i="11"/>
  <c r="V9"/>
  <c r="U10"/>
  <c r="V10"/>
  <c r="U11"/>
  <c r="V11"/>
  <c r="U12"/>
  <c r="V12"/>
  <c r="U13"/>
  <c r="V13"/>
  <c r="U14"/>
  <c r="AA14" s="1"/>
  <c r="V14"/>
  <c r="AB14" s="1"/>
  <c r="W14"/>
  <c r="V8"/>
  <c r="FE15" i="5"/>
  <c r="FE16"/>
  <c r="FE23"/>
  <c r="FE31"/>
  <c r="FE35"/>
  <c r="FE20"/>
  <c r="FE18"/>
  <c r="FE21"/>
  <c r="FE22"/>
  <c r="FE24"/>
  <c r="FE26"/>
  <c r="FE27"/>
  <c r="FE30"/>
  <c r="FE29"/>
  <c r="FE33"/>
  <c r="FE34"/>
  <c r="FE47"/>
  <c r="FE36"/>
  <c r="FE38"/>
  <c r="FE39"/>
  <c r="FE48"/>
  <c r="FE49"/>
  <c r="FE40"/>
  <c r="FE41"/>
  <c r="FE43"/>
  <c r="FE10"/>
  <c r="DV34"/>
  <c r="DW34"/>
  <c r="DY34"/>
  <c r="DZ34"/>
  <c r="EA34"/>
  <c r="DS30"/>
  <c r="DT30"/>
  <c r="DV30"/>
  <c r="DW30"/>
  <c r="DY30"/>
  <c r="DZ30"/>
  <c r="CX34"/>
  <c r="BZ10"/>
  <c r="CA10"/>
  <c r="T17"/>
  <c r="Y51" i="18"/>
  <c r="X51"/>
  <c r="V51"/>
  <c r="U51"/>
  <c r="N51"/>
  <c r="M51"/>
  <c r="L51"/>
  <c r="K51"/>
  <c r="J51"/>
  <c r="I51"/>
  <c r="H51"/>
  <c r="G51"/>
  <c r="F51"/>
  <c r="E51"/>
  <c r="D51"/>
  <c r="C51"/>
  <c r="O46"/>
  <c r="P46"/>
  <c r="Q46"/>
  <c r="O47"/>
  <c r="P47"/>
  <c r="Q47"/>
  <c r="O48"/>
  <c r="P48"/>
  <c r="Q48"/>
  <c r="O49"/>
  <c r="P49"/>
  <c r="Q49"/>
  <c r="O50"/>
  <c r="P50"/>
  <c r="Q50"/>
  <c r="P45"/>
  <c r="Q45"/>
  <c r="O45"/>
  <c r="S38"/>
  <c r="Z31"/>
  <c r="W31"/>
  <c r="Z29"/>
  <c r="W29"/>
  <c r="S29"/>
  <c r="R29"/>
  <c r="N51" i="17"/>
  <c r="M51"/>
  <c r="L51"/>
  <c r="K51"/>
  <c r="J51"/>
  <c r="I51"/>
  <c r="H51"/>
  <c r="G51"/>
  <c r="F51"/>
  <c r="E51"/>
  <c r="D51"/>
  <c r="C51"/>
  <c r="O46"/>
  <c r="P46"/>
  <c r="Q46"/>
  <c r="O47"/>
  <c r="P47"/>
  <c r="Q47"/>
  <c r="O48"/>
  <c r="P48"/>
  <c r="Q48"/>
  <c r="O49"/>
  <c r="P49"/>
  <c r="Q49"/>
  <c r="O50"/>
  <c r="P50"/>
  <c r="Q50"/>
  <c r="P45"/>
  <c r="Q45"/>
  <c r="O45"/>
  <c r="Y43"/>
  <c r="Y51" s="1"/>
  <c r="X43"/>
  <c r="X51" s="1"/>
  <c r="V43"/>
  <c r="V51" s="1"/>
  <c r="U43"/>
  <c r="U51" s="1"/>
  <c r="Z42"/>
  <c r="W42"/>
  <c r="Z41"/>
  <c r="W41"/>
  <c r="Z40"/>
  <c r="W40"/>
  <c r="Z39"/>
  <c r="W39"/>
  <c r="Z37"/>
  <c r="W37"/>
  <c r="Z36"/>
  <c r="W36"/>
  <c r="Z35"/>
  <c r="W35"/>
  <c r="Z34"/>
  <c r="W34"/>
  <c r="Z33"/>
  <c r="W33"/>
  <c r="Z32"/>
  <c r="W32"/>
  <c r="Z30"/>
  <c r="W30"/>
  <c r="Z28"/>
  <c r="W28"/>
  <c r="Z27"/>
  <c r="W27"/>
  <c r="Z26"/>
  <c r="W26"/>
  <c r="Z25"/>
  <c r="W25"/>
  <c r="Z24"/>
  <c r="W24"/>
  <c r="Z22"/>
  <c r="W22"/>
  <c r="Z21"/>
  <c r="W21"/>
  <c r="Z20"/>
  <c r="W20"/>
  <c r="Z17"/>
  <c r="W17"/>
  <c r="Z16"/>
  <c r="W16"/>
  <c r="Z15"/>
  <c r="W15"/>
  <c r="Z14"/>
  <c r="W14"/>
  <c r="Z13"/>
  <c r="W13"/>
  <c r="Z12"/>
  <c r="W12"/>
  <c r="Z10"/>
  <c r="W10"/>
  <c r="Z9"/>
  <c r="W9"/>
  <c r="Z52" i="16"/>
  <c r="Y52"/>
  <c r="X52"/>
  <c r="W52"/>
  <c r="V52"/>
  <c r="U52"/>
  <c r="N52"/>
  <c r="M52"/>
  <c r="L52"/>
  <c r="K52"/>
  <c r="J52"/>
  <c r="I52"/>
  <c r="H52"/>
  <c r="G52"/>
  <c r="F52"/>
  <c r="E52"/>
  <c r="D52"/>
  <c r="C52"/>
  <c r="O47"/>
  <c r="P47"/>
  <c r="Q47"/>
  <c r="O48"/>
  <c r="P48"/>
  <c r="Q48"/>
  <c r="O49"/>
  <c r="P49"/>
  <c r="Q49"/>
  <c r="O50"/>
  <c r="P50"/>
  <c r="Q50"/>
  <c r="O51"/>
  <c r="P51"/>
  <c r="Q51"/>
  <c r="P46"/>
  <c r="Q46"/>
  <c r="O46"/>
  <c r="Y52" i="15"/>
  <c r="X52"/>
  <c r="V52"/>
  <c r="U52"/>
  <c r="K52"/>
  <c r="J52"/>
  <c r="I52"/>
  <c r="O47"/>
  <c r="P47"/>
  <c r="O48"/>
  <c r="P48"/>
  <c r="O51"/>
  <c r="P51"/>
  <c r="Q51"/>
  <c r="M50"/>
  <c r="L50"/>
  <c r="O50" s="1"/>
  <c r="M49"/>
  <c r="L49"/>
  <c r="N48"/>
  <c r="N47"/>
  <c r="N46"/>
  <c r="G50"/>
  <c r="S50" s="1"/>
  <c r="F50"/>
  <c r="E50"/>
  <c r="Z49"/>
  <c r="W49"/>
  <c r="G49"/>
  <c r="S49" s="1"/>
  <c r="F49"/>
  <c r="E49"/>
  <c r="Z48"/>
  <c r="W48"/>
  <c r="S48"/>
  <c r="AB48" s="1"/>
  <c r="R48"/>
  <c r="AA48" s="1"/>
  <c r="H48"/>
  <c r="T48" s="1"/>
  <c r="E48"/>
  <c r="S47"/>
  <c r="R47"/>
  <c r="H47"/>
  <c r="T47" s="1"/>
  <c r="E47"/>
  <c r="Z46"/>
  <c r="W46"/>
  <c r="S46"/>
  <c r="R46"/>
  <c r="AD46" s="1"/>
  <c r="H46"/>
  <c r="T46" s="1"/>
  <c r="D46"/>
  <c r="D52" s="1"/>
  <c r="C46"/>
  <c r="C52" s="1"/>
  <c r="Z34"/>
  <c r="W34"/>
  <c r="Z32"/>
  <c r="W32"/>
  <c r="S30"/>
  <c r="Z28"/>
  <c r="W28"/>
  <c r="R28"/>
  <c r="Z24"/>
  <c r="W24"/>
  <c r="Z10"/>
  <c r="W10"/>
  <c r="Z51" i="18" l="1"/>
  <c r="O52" i="16"/>
  <c r="O51" i="17"/>
  <c r="W51" i="18"/>
  <c r="AF51" i="14"/>
  <c r="Q51"/>
  <c r="F52" i="15"/>
  <c r="M52"/>
  <c r="P52" s="1"/>
  <c r="Q47"/>
  <c r="P51" i="17"/>
  <c r="O51" i="18"/>
  <c r="AF51" i="15"/>
  <c r="G52"/>
  <c r="P52" i="16"/>
  <c r="Q51" i="18"/>
  <c r="AF59" i="13"/>
  <c r="AC14" i="11"/>
  <c r="W52" i="15"/>
  <c r="N49"/>
  <c r="Q49" s="1"/>
  <c r="P51" i="18"/>
  <c r="Q52" i="16"/>
  <c r="Z52" i="15"/>
  <c r="N50"/>
  <c r="Q50" s="1"/>
  <c r="AC48"/>
  <c r="Q48"/>
  <c r="L52"/>
  <c r="O52" s="1"/>
  <c r="O49"/>
  <c r="Q51" i="17"/>
  <c r="S31" i="18"/>
  <c r="AE29"/>
  <c r="AB29"/>
  <c r="AD29"/>
  <c r="AA29"/>
  <c r="S9"/>
  <c r="R9"/>
  <c r="R38"/>
  <c r="T38"/>
  <c r="T29"/>
  <c r="AF29" s="1"/>
  <c r="Z43" i="17"/>
  <c r="Z51" s="1"/>
  <c r="T12"/>
  <c r="T25"/>
  <c r="S25"/>
  <c r="T28"/>
  <c r="R25"/>
  <c r="T26"/>
  <c r="S41"/>
  <c r="R40"/>
  <c r="S9"/>
  <c r="S12"/>
  <c r="R21"/>
  <c r="R24"/>
  <c r="S26"/>
  <c r="S28"/>
  <c r="R9"/>
  <c r="R12"/>
  <c r="S14"/>
  <c r="S16"/>
  <c r="R26"/>
  <c r="R28"/>
  <c r="S34"/>
  <c r="W43"/>
  <c r="W51" s="1"/>
  <c r="H49" i="15"/>
  <c r="T49" s="1"/>
  <c r="P46"/>
  <c r="P50"/>
  <c r="H50"/>
  <c r="T50" s="1"/>
  <c r="O46"/>
  <c r="P49"/>
  <c r="R49"/>
  <c r="AE46"/>
  <c r="AC46"/>
  <c r="E46"/>
  <c r="E52" s="1"/>
  <c r="AB46"/>
  <c r="AA46"/>
  <c r="AF48"/>
  <c r="AE48"/>
  <c r="R50"/>
  <c r="AF46"/>
  <c r="AD48"/>
  <c r="S24"/>
  <c r="S9"/>
  <c r="R32"/>
  <c r="AA28"/>
  <c r="AD28"/>
  <c r="S28"/>
  <c r="N52" l="1"/>
  <c r="Q52" s="1"/>
  <c r="S51" i="18"/>
  <c r="AC49" i="15"/>
  <c r="H52"/>
  <c r="AB31" i="18"/>
  <c r="AE31"/>
  <c r="AC29"/>
  <c r="R31"/>
  <c r="R51" s="1"/>
  <c r="AC25" i="17"/>
  <c r="AF25"/>
  <c r="T40"/>
  <c r="R42"/>
  <c r="R34"/>
  <c r="AB28"/>
  <c r="AE28"/>
  <c r="S24"/>
  <c r="S21"/>
  <c r="S35"/>
  <c r="R30"/>
  <c r="R10"/>
  <c r="R22"/>
  <c r="R20"/>
  <c r="AB25"/>
  <c r="AE25"/>
  <c r="R39"/>
  <c r="R16"/>
  <c r="S39"/>
  <c r="AE14"/>
  <c r="AB14"/>
  <c r="AA21"/>
  <c r="AD21"/>
  <c r="R35"/>
  <c r="AE41"/>
  <c r="AB41"/>
  <c r="S37"/>
  <c r="R43"/>
  <c r="S30"/>
  <c r="S27"/>
  <c r="T9"/>
  <c r="R41"/>
  <c r="S22"/>
  <c r="AD28"/>
  <c r="AA28"/>
  <c r="AB26"/>
  <c r="AE26"/>
  <c r="AA40"/>
  <c r="AD40"/>
  <c r="R32"/>
  <c r="R27"/>
  <c r="AC28"/>
  <c r="AF28"/>
  <c r="AE34"/>
  <c r="AB34"/>
  <c r="AD12"/>
  <c r="AA12"/>
  <c r="S10"/>
  <c r="R36"/>
  <c r="R14"/>
  <c r="AB12"/>
  <c r="AE12"/>
  <c r="R33"/>
  <c r="R17"/>
  <c r="R19"/>
  <c r="S32"/>
  <c r="S20"/>
  <c r="AA24"/>
  <c r="AD24"/>
  <c r="S15"/>
  <c r="S13"/>
  <c r="S40"/>
  <c r="AA25"/>
  <c r="AD25"/>
  <c r="AC12"/>
  <c r="AF12"/>
  <c r="S36"/>
  <c r="AD26"/>
  <c r="AA26"/>
  <c r="AB9"/>
  <c r="AE9"/>
  <c r="R15"/>
  <c r="S17"/>
  <c r="R13"/>
  <c r="S19"/>
  <c r="AE16"/>
  <c r="AB16"/>
  <c r="AD9"/>
  <c r="AA9"/>
  <c r="R37"/>
  <c r="S33"/>
  <c r="AC26"/>
  <c r="AF26"/>
  <c r="S9" i="16"/>
  <c r="S52" s="1"/>
  <c r="T9"/>
  <c r="T52" s="1"/>
  <c r="R9"/>
  <c r="R52" s="1"/>
  <c r="Q46" i="15"/>
  <c r="T32"/>
  <c r="T28"/>
  <c r="AE24"/>
  <c r="AB24"/>
  <c r="R34"/>
  <c r="AA32"/>
  <c r="AD32"/>
  <c r="R30"/>
  <c r="R9"/>
  <c r="R24"/>
  <c r="AB28"/>
  <c r="AE28"/>
  <c r="S34"/>
  <c r="S10"/>
  <c r="T10"/>
  <c r="S32"/>
  <c r="R10"/>
  <c r="AD51" i="18" l="1"/>
  <c r="AA51"/>
  <c r="S52" i="15"/>
  <c r="AB52" s="1"/>
  <c r="AC52" i="16"/>
  <c r="AF52"/>
  <c r="AB52"/>
  <c r="AE52"/>
  <c r="AB51" i="18"/>
  <c r="AE51"/>
  <c r="AD52" i="16"/>
  <c r="AA52"/>
  <c r="R52" i="15"/>
  <c r="T31" i="18"/>
  <c r="AA31"/>
  <c r="AD31"/>
  <c r="T9"/>
  <c r="T42" i="17"/>
  <c r="AA13"/>
  <c r="AD13"/>
  <c r="AA37"/>
  <c r="AD37"/>
  <c r="T33"/>
  <c r="AE39"/>
  <c r="AB39"/>
  <c r="AB17"/>
  <c r="AE17"/>
  <c r="S18"/>
  <c r="T37"/>
  <c r="T27"/>
  <c r="S42"/>
  <c r="AC9"/>
  <c r="AF9"/>
  <c r="AD39"/>
  <c r="AA39"/>
  <c r="AA20"/>
  <c r="AD20"/>
  <c r="AB24"/>
  <c r="AE24"/>
  <c r="AD34"/>
  <c r="AA34"/>
  <c r="T19"/>
  <c r="R18"/>
  <c r="R51" s="1"/>
  <c r="AB30"/>
  <c r="AE30"/>
  <c r="T39"/>
  <c r="T34"/>
  <c r="AA42"/>
  <c r="AD42"/>
  <c r="AF40"/>
  <c r="AC40"/>
  <c r="AA27"/>
  <c r="AD27"/>
  <c r="AE22"/>
  <c r="AB22"/>
  <c r="T41"/>
  <c r="T22"/>
  <c r="T30"/>
  <c r="AB21"/>
  <c r="AE21"/>
  <c r="S43"/>
  <c r="AA17"/>
  <c r="AD17"/>
  <c r="AD36"/>
  <c r="AA36"/>
  <c r="AA35"/>
  <c r="AD35"/>
  <c r="T10"/>
  <c r="AB33"/>
  <c r="AE33"/>
  <c r="T13"/>
  <c r="AA15"/>
  <c r="AD15"/>
  <c r="AE36"/>
  <c r="AB36"/>
  <c r="AB13"/>
  <c r="AE13"/>
  <c r="T17"/>
  <c r="T36"/>
  <c r="AD32"/>
  <c r="AA32"/>
  <c r="AA41"/>
  <c r="AD41"/>
  <c r="AB27"/>
  <c r="AE27"/>
  <c r="T35"/>
  <c r="AD16"/>
  <c r="AA16"/>
  <c r="AA22"/>
  <c r="AD22"/>
  <c r="AA10"/>
  <c r="AD10"/>
  <c r="AA30"/>
  <c r="AD30"/>
  <c r="AB35"/>
  <c r="AE35"/>
  <c r="T15"/>
  <c r="AE32"/>
  <c r="AB32"/>
  <c r="AD14"/>
  <c r="AA14"/>
  <c r="T21"/>
  <c r="T32"/>
  <c r="AA43"/>
  <c r="AD43"/>
  <c r="AB37"/>
  <c r="AE37"/>
  <c r="T16"/>
  <c r="AB40"/>
  <c r="AE40"/>
  <c r="AB15"/>
  <c r="AE15"/>
  <c r="AE20"/>
  <c r="AB20"/>
  <c r="AA33"/>
  <c r="AD33"/>
  <c r="T14"/>
  <c r="T24"/>
  <c r="AB10"/>
  <c r="AE10"/>
  <c r="T20"/>
  <c r="AF10" i="15"/>
  <c r="AC10"/>
  <c r="AA34"/>
  <c r="AD34"/>
  <c r="AB10"/>
  <c r="AE10"/>
  <c r="AF28"/>
  <c r="AC28"/>
  <c r="AA24"/>
  <c r="AD24"/>
  <c r="AA10"/>
  <c r="AD10"/>
  <c r="T30"/>
  <c r="T24"/>
  <c r="AB32"/>
  <c r="AE32"/>
  <c r="AC32"/>
  <c r="AF32"/>
  <c r="T9"/>
  <c r="AB34"/>
  <c r="AE34"/>
  <c r="T34"/>
  <c r="AE52" l="1"/>
  <c r="T51" i="18"/>
  <c r="AD52" i="15"/>
  <c r="AA52"/>
  <c r="T52"/>
  <c r="AA51" i="17"/>
  <c r="AD51"/>
  <c r="S51"/>
  <c r="AC31" i="18"/>
  <c r="AF31"/>
  <c r="AC24" i="17"/>
  <c r="AF24"/>
  <c r="AC13"/>
  <c r="AF13"/>
  <c r="AC20"/>
  <c r="AF20"/>
  <c r="T43"/>
  <c r="AF15"/>
  <c r="AC15"/>
  <c r="AF10"/>
  <c r="AC10"/>
  <c r="AF22"/>
  <c r="AC22"/>
  <c r="AF41"/>
  <c r="AC41"/>
  <c r="AC33"/>
  <c r="AF33"/>
  <c r="AF34"/>
  <c r="AC34"/>
  <c r="AC21"/>
  <c r="AF21"/>
  <c r="AC17"/>
  <c r="AF17"/>
  <c r="T18"/>
  <c r="AE42"/>
  <c r="AB42"/>
  <c r="AF27"/>
  <c r="AC27"/>
  <c r="AC14"/>
  <c r="AF14"/>
  <c r="AF30"/>
  <c r="AC30"/>
  <c r="AF39"/>
  <c r="AC39"/>
  <c r="AC42"/>
  <c r="AF42"/>
  <c r="AF32"/>
  <c r="AC32"/>
  <c r="AC35"/>
  <c r="AF35"/>
  <c r="AC37"/>
  <c r="AF37"/>
  <c r="AC16"/>
  <c r="AF16"/>
  <c r="AF36"/>
  <c r="AC36"/>
  <c r="AB43"/>
  <c r="AE43"/>
  <c r="AF34" i="15"/>
  <c r="AC34"/>
  <c r="AC24"/>
  <c r="AF24"/>
  <c r="AC51" i="18" l="1"/>
  <c r="AF51"/>
  <c r="AF52" i="15"/>
  <c r="AC52"/>
  <c r="T51" i="17"/>
  <c r="AF51" s="1"/>
  <c r="AE51"/>
  <c r="AB51"/>
  <c r="AF43"/>
  <c r="AC43"/>
  <c r="I60" i="13"/>
  <c r="J60"/>
  <c r="K60"/>
  <c r="Y52" i="14"/>
  <c r="X52"/>
  <c r="V52"/>
  <c r="U52"/>
  <c r="C52"/>
  <c r="M50"/>
  <c r="P50" s="1"/>
  <c r="L50"/>
  <c r="M48"/>
  <c r="P48" s="1"/>
  <c r="L48"/>
  <c r="O48" s="1"/>
  <c r="M47"/>
  <c r="P47" s="1"/>
  <c r="L47"/>
  <c r="N46"/>
  <c r="G50"/>
  <c r="S50" s="1"/>
  <c r="F50"/>
  <c r="E50"/>
  <c r="Z48"/>
  <c r="W48"/>
  <c r="G48"/>
  <c r="S48" s="1"/>
  <c r="AB48" s="1"/>
  <c r="F48"/>
  <c r="E48"/>
  <c r="G47"/>
  <c r="F47"/>
  <c r="E47"/>
  <c r="Z46"/>
  <c r="W46"/>
  <c r="S46"/>
  <c r="R46"/>
  <c r="AD46" s="1"/>
  <c r="H46"/>
  <c r="E46"/>
  <c r="Z32"/>
  <c r="S32"/>
  <c r="R32"/>
  <c r="Z28"/>
  <c r="W28"/>
  <c r="Z10"/>
  <c r="W10"/>
  <c r="T10"/>
  <c r="S10"/>
  <c r="R10"/>
  <c r="AC51" i="17" l="1"/>
  <c r="N47" i="14"/>
  <c r="Q47" s="1"/>
  <c r="M52"/>
  <c r="P52" s="1"/>
  <c r="W52"/>
  <c r="Q46"/>
  <c r="Z52"/>
  <c r="N50"/>
  <c r="Q50" s="1"/>
  <c r="O50"/>
  <c r="E52"/>
  <c r="G52"/>
  <c r="F52"/>
  <c r="N48"/>
  <c r="Q48" s="1"/>
  <c r="T46"/>
  <c r="AF46" s="1"/>
  <c r="O47"/>
  <c r="L52"/>
  <c r="O52" s="1"/>
  <c r="H48"/>
  <c r="T48" s="1"/>
  <c r="AC48" s="1"/>
  <c r="S47"/>
  <c r="H50"/>
  <c r="T50" s="1"/>
  <c r="AB46"/>
  <c r="H47"/>
  <c r="T47" s="1"/>
  <c r="AA46"/>
  <c r="R47"/>
  <c r="AE48"/>
  <c r="R48"/>
  <c r="AE46"/>
  <c r="R50"/>
  <c r="AF10"/>
  <c r="AE10"/>
  <c r="AB10"/>
  <c r="AD10"/>
  <c r="AA10"/>
  <c r="S30"/>
  <c r="AE32"/>
  <c r="AB32"/>
  <c r="S28"/>
  <c r="AA32"/>
  <c r="AD32"/>
  <c r="R34"/>
  <c r="AC10"/>
  <c r="N52" l="1"/>
  <c r="Q52" s="1"/>
  <c r="AC46"/>
  <c r="H52"/>
  <c r="AF48"/>
  <c r="AA48"/>
  <c r="AD48"/>
  <c r="S34"/>
  <c r="R9"/>
  <c r="T32"/>
  <c r="R28"/>
  <c r="S9"/>
  <c r="R30"/>
  <c r="AE28"/>
  <c r="AB28"/>
  <c r="S52" l="1"/>
  <c r="AB52" s="1"/>
  <c r="R52"/>
  <c r="T28"/>
  <c r="T30"/>
  <c r="AA28"/>
  <c r="AD28"/>
  <c r="T9"/>
  <c r="AC32"/>
  <c r="AF32"/>
  <c r="T34"/>
  <c r="AE52" l="1"/>
  <c r="AA52"/>
  <c r="AD52"/>
  <c r="T52"/>
  <c r="AC28"/>
  <c r="AF28"/>
  <c r="AC52" l="1"/>
  <c r="AF52"/>
  <c r="O54" i="13"/>
  <c r="P54"/>
  <c r="O59"/>
  <c r="P59"/>
  <c r="Q59"/>
  <c r="P53"/>
  <c r="O53"/>
  <c r="M58"/>
  <c r="L58"/>
  <c r="M57"/>
  <c r="P57" s="1"/>
  <c r="L57"/>
  <c r="O57" s="1"/>
  <c r="M56"/>
  <c r="L56"/>
  <c r="M55"/>
  <c r="L55"/>
  <c r="N54"/>
  <c r="N53"/>
  <c r="Y58"/>
  <c r="X58"/>
  <c r="U58"/>
  <c r="G58"/>
  <c r="S58" s="1"/>
  <c r="AB58" s="1"/>
  <c r="F58"/>
  <c r="R58" s="1"/>
  <c r="D58"/>
  <c r="C58"/>
  <c r="G57"/>
  <c r="F57"/>
  <c r="E57"/>
  <c r="Y56"/>
  <c r="X56"/>
  <c r="W56"/>
  <c r="G56"/>
  <c r="S56" s="1"/>
  <c r="AB56" s="1"/>
  <c r="F56"/>
  <c r="R56" s="1"/>
  <c r="D56"/>
  <c r="C56"/>
  <c r="Y55"/>
  <c r="X55"/>
  <c r="V55"/>
  <c r="V60" s="1"/>
  <c r="U55"/>
  <c r="G55"/>
  <c r="F55"/>
  <c r="D55"/>
  <c r="C55"/>
  <c r="S54"/>
  <c r="R54"/>
  <c r="H54"/>
  <c r="T54" s="1"/>
  <c r="E54"/>
  <c r="Z53"/>
  <c r="W53"/>
  <c r="S53"/>
  <c r="AE53" s="1"/>
  <c r="R53"/>
  <c r="H53"/>
  <c r="E53"/>
  <c r="Z43"/>
  <c r="W43"/>
  <c r="Z42"/>
  <c r="W42"/>
  <c r="Z51"/>
  <c r="W51"/>
  <c r="R51"/>
  <c r="AA51" s="1"/>
  <c r="Z50"/>
  <c r="W50"/>
  <c r="Z41"/>
  <c r="W41"/>
  <c r="Z40"/>
  <c r="W40"/>
  <c r="Z13"/>
  <c r="W13"/>
  <c r="Z39"/>
  <c r="W39"/>
  <c r="Z38"/>
  <c r="W38"/>
  <c r="Z35"/>
  <c r="W35"/>
  <c r="Z34"/>
  <c r="W34"/>
  <c r="Z33"/>
  <c r="W33"/>
  <c r="Z32"/>
  <c r="W32"/>
  <c r="Z31"/>
  <c r="W31"/>
  <c r="Z30"/>
  <c r="W30"/>
  <c r="Z28"/>
  <c r="W28"/>
  <c r="Z27"/>
  <c r="W27"/>
  <c r="Z25"/>
  <c r="W25"/>
  <c r="Z24"/>
  <c r="W24"/>
  <c r="Z23"/>
  <c r="W23"/>
  <c r="Z22"/>
  <c r="W22"/>
  <c r="Z21"/>
  <c r="W21"/>
  <c r="Z20"/>
  <c r="Z19"/>
  <c r="W19"/>
  <c r="Z18"/>
  <c r="Z17"/>
  <c r="W17"/>
  <c r="Z16"/>
  <c r="W16"/>
  <c r="Z45"/>
  <c r="W45"/>
  <c r="Z14"/>
  <c r="W14"/>
  <c r="Z47"/>
  <c r="W47"/>
  <c r="Z15"/>
  <c r="W15"/>
  <c r="Z12"/>
  <c r="W12"/>
  <c r="Z10"/>
  <c r="W10"/>
  <c r="D60" l="1"/>
  <c r="P58"/>
  <c r="O58"/>
  <c r="C60"/>
  <c r="X60"/>
  <c r="Q54"/>
  <c r="Y60"/>
  <c r="P56"/>
  <c r="U60"/>
  <c r="M60"/>
  <c r="O55"/>
  <c r="L60"/>
  <c r="O60" s="1"/>
  <c r="G60"/>
  <c r="F60"/>
  <c r="N57"/>
  <c r="Q57" s="1"/>
  <c r="T53"/>
  <c r="AF53" s="1"/>
  <c r="N56"/>
  <c r="Q53"/>
  <c r="P55"/>
  <c r="S55"/>
  <c r="AE55" s="1"/>
  <c r="N55"/>
  <c r="H55"/>
  <c r="T55" s="1"/>
  <c r="N58"/>
  <c r="O56"/>
  <c r="Z56"/>
  <c r="R55"/>
  <c r="AD55" s="1"/>
  <c r="Z58"/>
  <c r="AD58"/>
  <c r="AA58"/>
  <c r="AB53"/>
  <c r="E56"/>
  <c r="H56"/>
  <c r="T56" s="1"/>
  <c r="AC56" s="1"/>
  <c r="Z55"/>
  <c r="H57"/>
  <c r="T57" s="1"/>
  <c r="E58"/>
  <c r="AA56"/>
  <c r="AD56"/>
  <c r="AA53"/>
  <c r="S57"/>
  <c r="W58"/>
  <c r="AE58"/>
  <c r="E55"/>
  <c r="AE56"/>
  <c r="R57"/>
  <c r="H58"/>
  <c r="T58" s="1"/>
  <c r="W55"/>
  <c r="AD53"/>
  <c r="R14"/>
  <c r="AD14" s="1"/>
  <c r="R22"/>
  <c r="AA22" s="1"/>
  <c r="T21"/>
  <c r="AF21" s="1"/>
  <c r="R24"/>
  <c r="T27"/>
  <c r="AF27" s="1"/>
  <c r="S19"/>
  <c r="S47"/>
  <c r="S34"/>
  <c r="R15"/>
  <c r="S45"/>
  <c r="R18"/>
  <c r="AD18" s="1"/>
  <c r="S10"/>
  <c r="R45"/>
  <c r="R16"/>
  <c r="S20"/>
  <c r="R39"/>
  <c r="S28"/>
  <c r="R13"/>
  <c r="R28"/>
  <c r="S37"/>
  <c r="S17"/>
  <c r="T22"/>
  <c r="AF22" s="1"/>
  <c r="S21"/>
  <c r="S27"/>
  <c r="S14"/>
  <c r="S22"/>
  <c r="R21"/>
  <c r="R27"/>
  <c r="S29"/>
  <c r="S9"/>
  <c r="S15"/>
  <c r="S18"/>
  <c r="AE18" s="1"/>
  <c r="R33"/>
  <c r="AD51"/>
  <c r="S42"/>
  <c r="S30"/>
  <c r="R30"/>
  <c r="R34"/>
  <c r="R49"/>
  <c r="S48"/>
  <c r="R48"/>
  <c r="S33"/>
  <c r="S44"/>
  <c r="R44"/>
  <c r="AQ15" i="11"/>
  <c r="AP15"/>
  <c r="AH15"/>
  <c r="AG15"/>
  <c r="Y15"/>
  <c r="X15"/>
  <c r="S15"/>
  <c r="R15"/>
  <c r="P15"/>
  <c r="O15"/>
  <c r="M15"/>
  <c r="L15"/>
  <c r="J15"/>
  <c r="I15"/>
  <c r="G15"/>
  <c r="V15" s="1"/>
  <c r="F15"/>
  <c r="U15" s="1"/>
  <c r="D15"/>
  <c r="C15"/>
  <c r="AO14"/>
  <c r="AU14" s="1"/>
  <c r="N14"/>
  <c r="AF14" s="1"/>
  <c r="AL14" s="1"/>
  <c r="K14"/>
  <c r="AR13"/>
  <c r="AN13"/>
  <c r="AT13" s="1"/>
  <c r="AM13"/>
  <c r="AS13" s="1"/>
  <c r="AI13"/>
  <c r="AE13"/>
  <c r="AK13" s="1"/>
  <c r="AD13"/>
  <c r="AJ13" s="1"/>
  <c r="AB13"/>
  <c r="Z13"/>
  <c r="AA13"/>
  <c r="T13"/>
  <c r="AO13" s="1"/>
  <c r="Q13"/>
  <c r="N13"/>
  <c r="AF13" s="1"/>
  <c r="AL13" s="1"/>
  <c r="K13"/>
  <c r="H13"/>
  <c r="W13" s="1"/>
  <c r="E13"/>
  <c r="AR12"/>
  <c r="AN12"/>
  <c r="AT12" s="1"/>
  <c r="AM12"/>
  <c r="AI12"/>
  <c r="AE12"/>
  <c r="AK12" s="1"/>
  <c r="AD12"/>
  <c r="AJ12" s="1"/>
  <c r="AA12"/>
  <c r="Z12"/>
  <c r="AB12"/>
  <c r="T12"/>
  <c r="AO12" s="1"/>
  <c r="Q12"/>
  <c r="N12"/>
  <c r="AF12" s="1"/>
  <c r="K12"/>
  <c r="H12"/>
  <c r="W12" s="1"/>
  <c r="E12"/>
  <c r="AR11"/>
  <c r="AN11"/>
  <c r="AT11" s="1"/>
  <c r="AM11"/>
  <c r="AS11" s="1"/>
  <c r="AI11"/>
  <c r="AE11"/>
  <c r="AK11" s="1"/>
  <c r="AD11"/>
  <c r="AJ11" s="1"/>
  <c r="Z11"/>
  <c r="AB11"/>
  <c r="AA11"/>
  <c r="T11"/>
  <c r="AO11" s="1"/>
  <c r="Q11"/>
  <c r="N11"/>
  <c r="AF11" s="1"/>
  <c r="K11"/>
  <c r="H11"/>
  <c r="W11" s="1"/>
  <c r="E11"/>
  <c r="AR10"/>
  <c r="AN10"/>
  <c r="AT10" s="1"/>
  <c r="AM10"/>
  <c r="AS10" s="1"/>
  <c r="AI10"/>
  <c r="AE10"/>
  <c r="AK10" s="1"/>
  <c r="AD10"/>
  <c r="AJ10" s="1"/>
  <c r="AA10"/>
  <c r="Z10"/>
  <c r="AB10"/>
  <c r="T10"/>
  <c r="AO10" s="1"/>
  <c r="Q10"/>
  <c r="N10"/>
  <c r="AF10" s="1"/>
  <c r="AL10" s="1"/>
  <c r="K10"/>
  <c r="H10"/>
  <c r="E10"/>
  <c r="AR9"/>
  <c r="AN9"/>
  <c r="AM9"/>
  <c r="AS9" s="1"/>
  <c r="AI9"/>
  <c r="AE9"/>
  <c r="AK9" s="1"/>
  <c r="AD9"/>
  <c r="AJ9" s="1"/>
  <c r="AB9"/>
  <c r="AA9"/>
  <c r="Z9"/>
  <c r="AO9"/>
  <c r="AF9"/>
  <c r="W9"/>
  <c r="AR8"/>
  <c r="AN8"/>
  <c r="AT8" s="1"/>
  <c r="AM8"/>
  <c r="AI8"/>
  <c r="AE8"/>
  <c r="AK8" s="1"/>
  <c r="AD8"/>
  <c r="AJ8" s="1"/>
  <c r="AB8"/>
  <c r="Z8"/>
  <c r="U8"/>
  <c r="AA8" s="1"/>
  <c r="T8"/>
  <c r="AO8" s="1"/>
  <c r="Q8"/>
  <c r="N8"/>
  <c r="K8"/>
  <c r="H8"/>
  <c r="E8"/>
  <c r="U1"/>
  <c r="AC11" l="1"/>
  <c r="P60" i="13"/>
  <c r="AB55"/>
  <c r="AC55"/>
  <c r="K15" i="11"/>
  <c r="AA15"/>
  <c r="AU10"/>
  <c r="AR15"/>
  <c r="W60" i="13"/>
  <c r="E60"/>
  <c r="Q15" i="11"/>
  <c r="AB15"/>
  <c r="AC12"/>
  <c r="AC53" i="13"/>
  <c r="H60"/>
  <c r="AA55"/>
  <c r="N60"/>
  <c r="AF55"/>
  <c r="Z60"/>
  <c r="AB44"/>
  <c r="AE44"/>
  <c r="AA44"/>
  <c r="AD44"/>
  <c r="Q56"/>
  <c r="AL9" i="11"/>
  <c r="W10"/>
  <c r="AC10" s="1"/>
  <c r="AM15"/>
  <c r="AS15" s="1"/>
  <c r="AU11"/>
  <c r="AU12"/>
  <c r="T15"/>
  <c r="N15"/>
  <c r="AI15"/>
  <c r="E15"/>
  <c r="AL12"/>
  <c r="H15"/>
  <c r="W8"/>
  <c r="AC8" s="1"/>
  <c r="AD15"/>
  <c r="AJ15" s="1"/>
  <c r="AS8"/>
  <c r="AC9"/>
  <c r="AL11"/>
  <c r="AC13"/>
  <c r="Q55" i="13"/>
  <c r="Q58"/>
  <c r="AF58"/>
  <c r="AF56"/>
  <c r="AC58"/>
  <c r="AA14"/>
  <c r="AC27"/>
  <c r="AD22"/>
  <c r="T51"/>
  <c r="T13"/>
  <c r="S43"/>
  <c r="R41"/>
  <c r="R43"/>
  <c r="R38"/>
  <c r="AB30"/>
  <c r="AE30"/>
  <c r="R50"/>
  <c r="R31"/>
  <c r="R20"/>
  <c r="R29"/>
  <c r="AE21"/>
  <c r="AB21"/>
  <c r="R23"/>
  <c r="R12"/>
  <c r="AB28"/>
  <c r="AE28"/>
  <c r="AB10"/>
  <c r="AE10"/>
  <c r="S23"/>
  <c r="AC21"/>
  <c r="S36"/>
  <c r="R42"/>
  <c r="T33"/>
  <c r="S39"/>
  <c r="T34"/>
  <c r="AD27"/>
  <c r="AA27"/>
  <c r="R17"/>
  <c r="AB17"/>
  <c r="AE17"/>
  <c r="AA13"/>
  <c r="AD13"/>
  <c r="T14"/>
  <c r="AA39"/>
  <c r="AD39"/>
  <c r="AC22"/>
  <c r="S49"/>
  <c r="S40"/>
  <c r="S31"/>
  <c r="S38"/>
  <c r="AA30"/>
  <c r="AD30"/>
  <c r="R40"/>
  <c r="AE27"/>
  <c r="AB27"/>
  <c r="T18"/>
  <c r="AF18" s="1"/>
  <c r="R25"/>
  <c r="S12"/>
  <c r="AA45"/>
  <c r="AD45"/>
  <c r="AA15"/>
  <c r="AD15"/>
  <c r="S50"/>
  <c r="AA34"/>
  <c r="AD34"/>
  <c r="AB22"/>
  <c r="AE22"/>
  <c r="AE14"/>
  <c r="AB14"/>
  <c r="T28"/>
  <c r="S25"/>
  <c r="AE19"/>
  <c r="AB19"/>
  <c r="T10"/>
  <c r="T49"/>
  <c r="T48"/>
  <c r="AA33"/>
  <c r="AD33"/>
  <c r="R26"/>
  <c r="T45"/>
  <c r="T16"/>
  <c r="R47"/>
  <c r="AB47"/>
  <c r="AE47"/>
  <c r="AA24"/>
  <c r="AD24"/>
  <c r="S46"/>
  <c r="S51"/>
  <c r="AB42"/>
  <c r="AE42"/>
  <c r="S13"/>
  <c r="R9"/>
  <c r="S26"/>
  <c r="T9"/>
  <c r="T15"/>
  <c r="AB45"/>
  <c r="AE45"/>
  <c r="T30"/>
  <c r="S32"/>
  <c r="AE15"/>
  <c r="AB15"/>
  <c r="AD21"/>
  <c r="AA21"/>
  <c r="AA16"/>
  <c r="AD16"/>
  <c r="R10"/>
  <c r="AB34"/>
  <c r="AE34"/>
  <c r="AE33"/>
  <c r="AB33"/>
  <c r="T44"/>
  <c r="S35"/>
  <c r="R46"/>
  <c r="R36"/>
  <c r="S41"/>
  <c r="R37"/>
  <c r="R32"/>
  <c r="R35"/>
  <c r="S24"/>
  <c r="S16"/>
  <c r="AA28"/>
  <c r="AD28"/>
  <c r="AB20"/>
  <c r="AE20"/>
  <c r="AU9" i="11"/>
  <c r="Z15"/>
  <c r="AF8"/>
  <c r="AT9"/>
  <c r="AS12"/>
  <c r="AU13"/>
  <c r="AO15"/>
  <c r="AN15"/>
  <c r="AT15" s="1"/>
  <c r="AE15"/>
  <c r="AK15" s="1"/>
  <c r="AU8"/>
  <c r="Q60" i="13" l="1"/>
  <c r="AU15" i="11"/>
  <c r="S60" i="13"/>
  <c r="AE60" s="1"/>
  <c r="AC44"/>
  <c r="AF44"/>
  <c r="W15" i="11"/>
  <c r="AC15" s="1"/>
  <c r="AB16" i="13"/>
  <c r="AE16"/>
  <c r="AA47"/>
  <c r="AD47"/>
  <c r="AC10"/>
  <c r="AF10"/>
  <c r="T40"/>
  <c r="AC34"/>
  <c r="AF34"/>
  <c r="T12"/>
  <c r="T43"/>
  <c r="T26"/>
  <c r="R19"/>
  <c r="R60" s="1"/>
  <c r="AD60" s="1"/>
  <c r="AF33"/>
  <c r="AC33"/>
  <c r="AD20"/>
  <c r="AA20"/>
  <c r="AB43"/>
  <c r="AE43"/>
  <c r="AF51"/>
  <c r="AC51"/>
  <c r="AE24"/>
  <c r="AB24"/>
  <c r="T35"/>
  <c r="T32"/>
  <c r="AF15"/>
  <c r="AC15"/>
  <c r="AB51"/>
  <c r="AE51"/>
  <c r="AD25"/>
  <c r="AA25"/>
  <c r="AA40"/>
  <c r="AD40"/>
  <c r="AF14"/>
  <c r="AC14"/>
  <c r="AD23"/>
  <c r="AA23"/>
  <c r="AC45"/>
  <c r="AF45"/>
  <c r="AC28"/>
  <c r="AF28"/>
  <c r="AE50"/>
  <c r="AB50"/>
  <c r="T25"/>
  <c r="AE23"/>
  <c r="AB23"/>
  <c r="T23"/>
  <c r="T31"/>
  <c r="T41"/>
  <c r="AC13"/>
  <c r="AF13"/>
  <c r="AA32"/>
  <c r="AD32"/>
  <c r="AA10"/>
  <c r="AD10"/>
  <c r="AB13"/>
  <c r="AE13"/>
  <c r="AC48"/>
  <c r="AF48"/>
  <c r="T39"/>
  <c r="AE38"/>
  <c r="AB38"/>
  <c r="T29"/>
  <c r="AA35"/>
  <c r="AD35"/>
  <c r="T37"/>
  <c r="AE41"/>
  <c r="AB41"/>
  <c r="T36"/>
  <c r="AB35"/>
  <c r="AE35"/>
  <c r="AB32"/>
  <c r="AE32"/>
  <c r="AC16"/>
  <c r="AF16"/>
  <c r="T24"/>
  <c r="AB25"/>
  <c r="AE25"/>
  <c r="AB40"/>
  <c r="AE40"/>
  <c r="T42"/>
  <c r="AA31"/>
  <c r="AD31"/>
  <c r="AA41"/>
  <c r="AD41"/>
  <c r="T46"/>
  <c r="AC30"/>
  <c r="AF30"/>
  <c r="T47"/>
  <c r="AD17"/>
  <c r="AA17"/>
  <c r="AB39"/>
  <c r="AE39"/>
  <c r="AA42"/>
  <c r="AD42"/>
  <c r="AA50"/>
  <c r="AD50"/>
  <c r="AD38"/>
  <c r="AA38"/>
  <c r="AB12"/>
  <c r="AE12"/>
  <c r="AE31"/>
  <c r="AB31"/>
  <c r="T17"/>
  <c r="AD12"/>
  <c r="AA12"/>
  <c r="T20"/>
  <c r="T50"/>
  <c r="T38"/>
  <c r="AA43"/>
  <c r="AD43"/>
  <c r="AL8" i="11"/>
  <c r="AF15"/>
  <c r="AL15" s="1"/>
  <c r="AA60" i="13" l="1"/>
  <c r="AB60"/>
  <c r="AC20"/>
  <c r="AF20"/>
  <c r="AF50"/>
  <c r="AC50"/>
  <c r="AF38"/>
  <c r="AC38"/>
  <c r="AF32"/>
  <c r="AC32"/>
  <c r="AC12"/>
  <c r="AF12"/>
  <c r="AC17"/>
  <c r="AF17"/>
  <c r="AC39"/>
  <c r="AF39"/>
  <c r="AC42"/>
  <c r="AF42"/>
  <c r="AC40"/>
  <c r="AF40"/>
  <c r="AA19"/>
  <c r="AD19"/>
  <c r="AC43"/>
  <c r="AF43"/>
  <c r="AC24"/>
  <c r="AF24"/>
  <c r="AC23"/>
  <c r="AF23"/>
  <c r="T19"/>
  <c r="T60" s="1"/>
  <c r="AF60" s="1"/>
  <c r="AF41"/>
  <c r="AC41"/>
  <c r="AC47"/>
  <c r="AF47"/>
  <c r="AC35"/>
  <c r="AF35"/>
  <c r="AF31"/>
  <c r="AC31"/>
  <c r="AF25"/>
  <c r="AC25"/>
  <c r="FD32" i="5"/>
  <c r="FC32"/>
  <c r="EL32"/>
  <c r="EK32"/>
  <c r="FE32" l="1"/>
  <c r="AC60" i="13"/>
  <c r="AC19"/>
  <c r="AF19"/>
  <c r="EV28" i="5"/>
  <c r="EM28"/>
  <c r="FD42"/>
  <c r="FD51" s="1"/>
  <c r="FC42"/>
  <c r="FC51" s="1"/>
  <c r="EU42"/>
  <c r="EU51" s="1"/>
  <c r="ET42"/>
  <c r="ET51" s="1"/>
  <c r="EL42"/>
  <c r="EL51" s="1"/>
  <c r="EK42"/>
  <c r="EK51" s="1"/>
  <c r="FE42" l="1"/>
  <c r="BE45"/>
  <c r="BE13"/>
  <c r="BF37"/>
  <c r="BE37"/>
  <c r="BF9"/>
  <c r="L31"/>
  <c r="M31"/>
  <c r="L35"/>
  <c r="M35"/>
  <c r="L20"/>
  <c r="M20"/>
  <c r="L18"/>
  <c r="M18"/>
  <c r="L19"/>
  <c r="M19"/>
  <c r="N19"/>
  <c r="L21"/>
  <c r="M21"/>
  <c r="L22"/>
  <c r="M22"/>
  <c r="L24"/>
  <c r="M24"/>
  <c r="L25"/>
  <c r="M25"/>
  <c r="L26"/>
  <c r="M26"/>
  <c r="L27"/>
  <c r="M27"/>
  <c r="L28"/>
  <c r="M28"/>
  <c r="L30"/>
  <c r="M30"/>
  <c r="L29"/>
  <c r="M29"/>
  <c r="L46"/>
  <c r="M46"/>
  <c r="L32"/>
  <c r="M32"/>
  <c r="L33"/>
  <c r="M33"/>
  <c r="L34"/>
  <c r="M34"/>
  <c r="L47"/>
  <c r="M47"/>
  <c r="L36"/>
  <c r="M36"/>
  <c r="L44"/>
  <c r="M44"/>
  <c r="L38"/>
  <c r="M38"/>
  <c r="L39"/>
  <c r="M39"/>
  <c r="L48"/>
  <c r="M48"/>
  <c r="L49"/>
  <c r="M49"/>
  <c r="L40"/>
  <c r="M40"/>
  <c r="L41"/>
  <c r="M41"/>
  <c r="L50"/>
  <c r="M50"/>
  <c r="L43"/>
  <c r="M43"/>
  <c r="L42"/>
  <c r="M42"/>
  <c r="L13"/>
  <c r="M13"/>
  <c r="L45"/>
  <c r="M45"/>
  <c r="L12"/>
  <c r="M12"/>
  <c r="L14"/>
  <c r="M14"/>
  <c r="L15"/>
  <c r="M15"/>
  <c r="L16"/>
  <c r="M16"/>
  <c r="L10"/>
  <c r="M10"/>
  <c r="BZ39"/>
  <c r="CA39"/>
  <c r="BZ48"/>
  <c r="CA48"/>
  <c r="BZ49"/>
  <c r="CA49"/>
  <c r="BZ40"/>
  <c r="CA40"/>
  <c r="BZ41"/>
  <c r="CA41"/>
  <c r="BZ50"/>
  <c r="CA50"/>
  <c r="BZ43"/>
  <c r="CA43"/>
  <c r="BZ42"/>
  <c r="CA42"/>
  <c r="CA38"/>
  <c r="BZ38"/>
  <c r="BZ19"/>
  <c r="CA19"/>
  <c r="CB19"/>
  <c r="BZ21"/>
  <c r="CA21"/>
  <c r="BZ22"/>
  <c r="CA22"/>
  <c r="BZ24"/>
  <c r="CA24"/>
  <c r="BZ26"/>
  <c r="CA26"/>
  <c r="BZ27"/>
  <c r="CA27"/>
  <c r="BZ28"/>
  <c r="CA28"/>
  <c r="BZ30"/>
  <c r="CA30"/>
  <c r="BZ29"/>
  <c r="CA29"/>
  <c r="BZ46"/>
  <c r="CA46"/>
  <c r="BZ32"/>
  <c r="CA32"/>
  <c r="BZ33"/>
  <c r="CA33"/>
  <c r="BZ34"/>
  <c r="CA34"/>
  <c r="BZ47"/>
  <c r="CA47"/>
  <c r="BZ36"/>
  <c r="CA36"/>
  <c r="CX12" l="1"/>
  <c r="CX10"/>
  <c r="DA10" s="1"/>
  <c r="BT49"/>
  <c r="BT38"/>
  <c r="BT33"/>
  <c r="BU33"/>
  <c r="BT34"/>
  <c r="BU34"/>
  <c r="BT27"/>
  <c r="BU27"/>
  <c r="BT30"/>
  <c r="BU30"/>
  <c r="BT29"/>
  <c r="BU29"/>
  <c r="BT31"/>
  <c r="BT16"/>
  <c r="BT13"/>
  <c r="BU13"/>
  <c r="BT10"/>
  <c r="BW10" s="1"/>
  <c r="BU10"/>
  <c r="BX10" s="1"/>
  <c r="W9"/>
  <c r="AA17"/>
  <c r="AB17"/>
  <c r="AB12"/>
  <c r="AA12"/>
  <c r="AB45"/>
  <c r="AA45"/>
  <c r="AB13"/>
  <c r="AA13"/>
  <c r="AB10"/>
  <c r="AE10" s="1"/>
  <c r="AA10"/>
  <c r="AD10" s="1"/>
  <c r="AA9"/>
  <c r="O43"/>
  <c r="O35"/>
  <c r="M23"/>
  <c r="L23"/>
  <c r="P20"/>
  <c r="L37"/>
  <c r="O20"/>
  <c r="EV22"/>
  <c r="EM22"/>
  <c r="DZ22"/>
  <c r="DY22"/>
  <c r="DW22"/>
  <c r="DV22"/>
  <c r="DT22"/>
  <c r="DS22"/>
  <c r="DN22"/>
  <c r="DQ22" s="1"/>
  <c r="DM22"/>
  <c r="DP22" s="1"/>
  <c r="DL22"/>
  <c r="DI22"/>
  <c r="DF22"/>
  <c r="DB22"/>
  <c r="CX22"/>
  <c r="CW22"/>
  <c r="CT22"/>
  <c r="CQ22"/>
  <c r="CG22"/>
  <c r="CF22"/>
  <c r="CD22"/>
  <c r="CC22"/>
  <c r="BU22"/>
  <c r="BX22" s="1"/>
  <c r="BT22"/>
  <c r="BW22" s="1"/>
  <c r="BS22"/>
  <c r="BP22"/>
  <c r="BM22"/>
  <c r="BF22"/>
  <c r="BE22"/>
  <c r="BD22"/>
  <c r="BA22"/>
  <c r="AX22"/>
  <c r="AN22"/>
  <c r="AM22"/>
  <c r="AK22"/>
  <c r="AJ22"/>
  <c r="AH22"/>
  <c r="AG22"/>
  <c r="AB22"/>
  <c r="AE22" s="1"/>
  <c r="AA22"/>
  <c r="AD22" s="1"/>
  <c r="Z22"/>
  <c r="W22"/>
  <c r="T22"/>
  <c r="O22"/>
  <c r="K22"/>
  <c r="H22"/>
  <c r="E22"/>
  <c r="EV10"/>
  <c r="EM10"/>
  <c r="DW10"/>
  <c r="DV10"/>
  <c r="DT10"/>
  <c r="DS10"/>
  <c r="DN10"/>
  <c r="DQ10" s="1"/>
  <c r="DM10"/>
  <c r="DP10" s="1"/>
  <c r="DI10"/>
  <c r="DO10" s="1"/>
  <c r="DF10"/>
  <c r="DB10"/>
  <c r="CT10"/>
  <c r="CQ10"/>
  <c r="CD10"/>
  <c r="CC10"/>
  <c r="BP10"/>
  <c r="BM10"/>
  <c r="BF10"/>
  <c r="BE10"/>
  <c r="BH10" s="1"/>
  <c r="BA10"/>
  <c r="AX10"/>
  <c r="AK10"/>
  <c r="AJ10"/>
  <c r="AH10"/>
  <c r="AG10"/>
  <c r="W10"/>
  <c r="AC10" s="1"/>
  <c r="T10"/>
  <c r="O10"/>
  <c r="P10"/>
  <c r="H10"/>
  <c r="E10"/>
  <c r="FE9"/>
  <c r="EV9"/>
  <c r="EM9"/>
  <c r="DZ9"/>
  <c r="DY9"/>
  <c r="DW9"/>
  <c r="DV9"/>
  <c r="DT9"/>
  <c r="DS9"/>
  <c r="DN9"/>
  <c r="DM9"/>
  <c r="DL9"/>
  <c r="DI9"/>
  <c r="DF9"/>
  <c r="CX9"/>
  <c r="CW9"/>
  <c r="CT9"/>
  <c r="CQ9"/>
  <c r="CG9"/>
  <c r="CF9"/>
  <c r="CD9"/>
  <c r="CC9"/>
  <c r="CA9"/>
  <c r="BZ9"/>
  <c r="BU9"/>
  <c r="BT9"/>
  <c r="BS9"/>
  <c r="BP9"/>
  <c r="BM9"/>
  <c r="BI9"/>
  <c r="BE9"/>
  <c r="BD9"/>
  <c r="BA9"/>
  <c r="AX9"/>
  <c r="AN9"/>
  <c r="AM9"/>
  <c r="AK9"/>
  <c r="AJ9"/>
  <c r="AH9"/>
  <c r="AG9"/>
  <c r="AB9"/>
  <c r="Z9"/>
  <c r="T9"/>
  <c r="M9"/>
  <c r="L9"/>
  <c r="K9"/>
  <c r="H9"/>
  <c r="E9"/>
  <c r="L51" l="1"/>
  <c r="O51" s="1"/>
  <c r="DR10"/>
  <c r="CB10"/>
  <c r="CB22"/>
  <c r="AE9"/>
  <c r="BG9"/>
  <c r="BX9"/>
  <c r="DQ9"/>
  <c r="DX10"/>
  <c r="DA9"/>
  <c r="CE10"/>
  <c r="AD9"/>
  <c r="DB9"/>
  <c r="BW9"/>
  <c r="DP9"/>
  <c r="BI10"/>
  <c r="AC9"/>
  <c r="DU10"/>
  <c r="CI22"/>
  <c r="EQ22" s="1"/>
  <c r="CJ22"/>
  <c r="ER22" s="1"/>
  <c r="EX22" s="1"/>
  <c r="AI10"/>
  <c r="AP9"/>
  <c r="AL10"/>
  <c r="N10"/>
  <c r="Q10" s="1"/>
  <c r="N22"/>
  <c r="P9"/>
  <c r="DX9"/>
  <c r="AO9"/>
  <c r="BV10"/>
  <c r="BY10" s="1"/>
  <c r="AF10"/>
  <c r="EB22"/>
  <c r="EE22" s="1"/>
  <c r="CE22"/>
  <c r="BI22"/>
  <c r="EA22"/>
  <c r="DO22"/>
  <c r="DR22" s="1"/>
  <c r="DU22"/>
  <c r="CZ22"/>
  <c r="DC22" s="1"/>
  <c r="DA22"/>
  <c r="CH22"/>
  <c r="BV22"/>
  <c r="BY22" s="1"/>
  <c r="BH22"/>
  <c r="AC22"/>
  <c r="AF22" s="1"/>
  <c r="AO22"/>
  <c r="AQ22"/>
  <c r="AT22" s="1"/>
  <c r="AI22"/>
  <c r="P22"/>
  <c r="AL22"/>
  <c r="AP22"/>
  <c r="EC22"/>
  <c r="DX22"/>
  <c r="BG22"/>
  <c r="CZ10"/>
  <c r="DC10" s="1"/>
  <c r="CI9"/>
  <c r="AP10"/>
  <c r="EH10" s="1"/>
  <c r="EN10" s="1"/>
  <c r="CI10"/>
  <c r="CL10" s="1"/>
  <c r="EB10"/>
  <c r="EZ10" s="1"/>
  <c r="FF10" s="1"/>
  <c r="BG10"/>
  <c r="BJ10" s="1"/>
  <c r="AL9"/>
  <c r="CB9"/>
  <c r="AQ10"/>
  <c r="CJ10"/>
  <c r="EC10"/>
  <c r="BV9"/>
  <c r="EA9"/>
  <c r="CH9"/>
  <c r="AI9"/>
  <c r="AQ9"/>
  <c r="CE9"/>
  <c r="BH9"/>
  <c r="DU9"/>
  <c r="DO9"/>
  <c r="O9"/>
  <c r="CZ9"/>
  <c r="EC9"/>
  <c r="N9"/>
  <c r="CJ9"/>
  <c r="EB9"/>
  <c r="EH9" l="1"/>
  <c r="EN9" s="1"/>
  <c r="CM22"/>
  <c r="DC9"/>
  <c r="AS9"/>
  <c r="AT9"/>
  <c r="CK22"/>
  <c r="CL9"/>
  <c r="CK10"/>
  <c r="CN10" s="1"/>
  <c r="EZ22"/>
  <c r="FF22" s="1"/>
  <c r="AR10"/>
  <c r="CL22"/>
  <c r="BY9"/>
  <c r="AR9"/>
  <c r="DR9"/>
  <c r="AF9"/>
  <c r="EQ10"/>
  <c r="EW10" s="1"/>
  <c r="EI9"/>
  <c r="EE10"/>
  <c r="AS10"/>
  <c r="EI22"/>
  <c r="EO22" s="1"/>
  <c r="EW22"/>
  <c r="AR22"/>
  <c r="AU22" s="1"/>
  <c r="Q22"/>
  <c r="ED22"/>
  <c r="EG22" s="1"/>
  <c r="BJ22"/>
  <c r="AS22"/>
  <c r="EH22"/>
  <c r="EN22" s="1"/>
  <c r="FA22"/>
  <c r="FG22" s="1"/>
  <c r="EF22"/>
  <c r="ED10"/>
  <c r="FB10" s="1"/>
  <c r="FH10" s="1"/>
  <c r="EQ9"/>
  <c r="ER10"/>
  <c r="EX10" s="1"/>
  <c r="CM10"/>
  <c r="EF10"/>
  <c r="FA10"/>
  <c r="FG10" s="1"/>
  <c r="EI10"/>
  <c r="EO10" s="1"/>
  <c r="AT10"/>
  <c r="ED9"/>
  <c r="CM9"/>
  <c r="ER9"/>
  <c r="CK9"/>
  <c r="BJ9"/>
  <c r="EE9"/>
  <c r="EZ9"/>
  <c r="FA9"/>
  <c r="EF9"/>
  <c r="Q9"/>
  <c r="EX9" l="1"/>
  <c r="FB9"/>
  <c r="FH9" s="1"/>
  <c r="EO9"/>
  <c r="EW9"/>
  <c r="ES10"/>
  <c r="EY10" s="1"/>
  <c r="AU10"/>
  <c r="EJ10"/>
  <c r="EP10" s="1"/>
  <c r="FG9"/>
  <c r="EG9"/>
  <c r="EG10"/>
  <c r="FF9"/>
  <c r="FB22"/>
  <c r="FH22" s="1"/>
  <c r="EJ22"/>
  <c r="EP22" s="1"/>
  <c r="ES22"/>
  <c r="EY22" s="1"/>
  <c r="CN22"/>
  <c r="ES9"/>
  <c r="CN9"/>
  <c r="AU9"/>
  <c r="EJ9"/>
  <c r="EP9" l="1"/>
  <c r="EY9"/>
  <c r="E40"/>
  <c r="K21"/>
  <c r="EV21"/>
  <c r="EM21"/>
  <c r="DZ21"/>
  <c r="DY21"/>
  <c r="DW21"/>
  <c r="DV21"/>
  <c r="DT21"/>
  <c r="DS21"/>
  <c r="DN21"/>
  <c r="DQ21" s="1"/>
  <c r="DM21"/>
  <c r="DP21" s="1"/>
  <c r="DL21"/>
  <c r="DI21"/>
  <c r="DF21"/>
  <c r="DB21"/>
  <c r="CX21"/>
  <c r="DA21" s="1"/>
  <c r="CW21"/>
  <c r="CT21"/>
  <c r="CQ21"/>
  <c r="CG21"/>
  <c r="CF21"/>
  <c r="CD21"/>
  <c r="CC21"/>
  <c r="BU21"/>
  <c r="BX21" s="1"/>
  <c r="BT21"/>
  <c r="BW21" s="1"/>
  <c r="BS21"/>
  <c r="BP21"/>
  <c r="BM21"/>
  <c r="BF21"/>
  <c r="BI21" s="1"/>
  <c r="BE21"/>
  <c r="BD21"/>
  <c r="BA21"/>
  <c r="AX21"/>
  <c r="AN21"/>
  <c r="AM21"/>
  <c r="AK21"/>
  <c r="AJ21"/>
  <c r="AH21"/>
  <c r="AG21"/>
  <c r="AB21"/>
  <c r="AE21" s="1"/>
  <c r="AA21"/>
  <c r="AD21" s="1"/>
  <c r="Z21"/>
  <c r="W21"/>
  <c r="T21"/>
  <c r="P21"/>
  <c r="H21"/>
  <c r="E21"/>
  <c r="N21" l="1"/>
  <c r="Q21" s="1"/>
  <c r="AP21"/>
  <c r="AS21" s="1"/>
  <c r="AO21"/>
  <c r="CB21"/>
  <c r="AI21"/>
  <c r="CI21"/>
  <c r="CL21" s="1"/>
  <c r="AQ21"/>
  <c r="AT21" s="1"/>
  <c r="EA21"/>
  <c r="DO21"/>
  <c r="DR21" s="1"/>
  <c r="DU21"/>
  <c r="CZ21"/>
  <c r="DC21" s="1"/>
  <c r="CH21"/>
  <c r="BV21"/>
  <c r="BY21" s="1"/>
  <c r="CE21"/>
  <c r="BH21"/>
  <c r="AC21"/>
  <c r="AF21" s="1"/>
  <c r="AL21"/>
  <c r="O21"/>
  <c r="BG21"/>
  <c r="EC21"/>
  <c r="CJ21"/>
  <c r="DX21"/>
  <c r="EB21"/>
  <c r="EQ21" l="1"/>
  <c r="EW21" s="1"/>
  <c r="EH21"/>
  <c r="EN21" s="1"/>
  <c r="AR21"/>
  <c r="EJ21" s="1"/>
  <c r="EP21" s="1"/>
  <c r="EI21"/>
  <c r="EO21" s="1"/>
  <c r="ED21"/>
  <c r="EG21" s="1"/>
  <c r="EF21"/>
  <c r="FA21"/>
  <c r="FG21" s="1"/>
  <c r="CM21"/>
  <c r="ER21"/>
  <c r="EX21" s="1"/>
  <c r="EE21"/>
  <c r="EZ21"/>
  <c r="FF21" s="1"/>
  <c r="CK21"/>
  <c r="BJ21"/>
  <c r="CH33"/>
  <c r="BM33"/>
  <c r="BP33"/>
  <c r="BV33" s="1"/>
  <c r="CF33"/>
  <c r="CG33"/>
  <c r="AU21" l="1"/>
  <c r="FB21"/>
  <c r="FH21" s="1"/>
  <c r="ES21"/>
  <c r="EY21" s="1"/>
  <c r="CN21"/>
  <c r="DY29" l="1"/>
  <c r="DY46"/>
  <c r="DY33"/>
  <c r="DY47"/>
  <c r="DY36"/>
  <c r="CQ13" l="1"/>
  <c r="DM34" l="1"/>
  <c r="DP34" s="1"/>
  <c r="DN34"/>
  <c r="DQ34" s="1"/>
  <c r="CX30"/>
  <c r="CA20"/>
  <c r="BZ20"/>
  <c r="E14"/>
  <c r="DT13"/>
  <c r="DT12"/>
  <c r="DT14"/>
  <c r="DT15"/>
  <c r="DT16"/>
  <c r="DT23"/>
  <c r="DT31"/>
  <c r="DT35"/>
  <c r="DT20"/>
  <c r="DT24"/>
  <c r="DT26"/>
  <c r="DT27"/>
  <c r="DT28"/>
  <c r="DT29"/>
  <c r="DT46"/>
  <c r="DT32"/>
  <c r="DT33"/>
  <c r="DT34"/>
  <c r="DT47"/>
  <c r="DT36"/>
  <c r="DT38"/>
  <c r="DT39"/>
  <c r="DT48"/>
  <c r="DT49"/>
  <c r="DT40"/>
  <c r="DT41"/>
  <c r="DT50"/>
  <c r="DT43"/>
  <c r="DT42"/>
  <c r="DS12"/>
  <c r="DS14"/>
  <c r="DS15"/>
  <c r="DS16"/>
  <c r="DS23"/>
  <c r="DS31"/>
  <c r="DS35"/>
  <c r="DS20"/>
  <c r="DS24"/>
  <c r="DS26"/>
  <c r="DS27"/>
  <c r="DS28"/>
  <c r="DS29"/>
  <c r="DS46"/>
  <c r="DS32"/>
  <c r="DS33"/>
  <c r="DS34"/>
  <c r="DS47"/>
  <c r="DS36"/>
  <c r="DS38"/>
  <c r="DS39"/>
  <c r="DS48"/>
  <c r="DS49"/>
  <c r="DS40"/>
  <c r="DS41"/>
  <c r="DS50"/>
  <c r="DS43"/>
  <c r="DS42"/>
  <c r="DS37"/>
  <c r="AN16"/>
  <c r="AM16"/>
  <c r="AH16"/>
  <c r="AG16"/>
  <c r="FE14" l="1"/>
  <c r="FE37"/>
  <c r="EV14"/>
  <c r="EV15"/>
  <c r="EV16"/>
  <c r="EV23"/>
  <c r="EV31"/>
  <c r="EV35"/>
  <c r="EV20"/>
  <c r="EV18"/>
  <c r="EV24"/>
  <c r="EV26"/>
  <c r="EV27"/>
  <c r="EV30"/>
  <c r="EV29"/>
  <c r="EV32"/>
  <c r="EV33"/>
  <c r="EV34"/>
  <c r="EV47"/>
  <c r="EV36"/>
  <c r="EV38"/>
  <c r="EV39"/>
  <c r="EV48"/>
  <c r="EV49"/>
  <c r="EV40"/>
  <c r="EV41"/>
  <c r="EV43"/>
  <c r="EV42"/>
  <c r="EM14"/>
  <c r="EM15"/>
  <c r="EM16"/>
  <c r="EM17"/>
  <c r="EM23"/>
  <c r="EM31"/>
  <c r="EM35"/>
  <c r="EM20"/>
  <c r="EM18"/>
  <c r="EM19"/>
  <c r="EM24"/>
  <c r="EM26"/>
  <c r="EM27"/>
  <c r="EM30"/>
  <c r="EM29"/>
  <c r="EM32"/>
  <c r="EM33"/>
  <c r="EM34"/>
  <c r="EM47"/>
  <c r="EM36"/>
  <c r="EM38"/>
  <c r="EM39"/>
  <c r="EM48"/>
  <c r="EM49"/>
  <c r="EM40"/>
  <c r="EM41"/>
  <c r="EM50"/>
  <c r="EM43"/>
  <c r="EM42"/>
  <c r="DL31"/>
  <c r="DL35"/>
  <c r="DL18"/>
  <c r="DL27"/>
  <c r="DL30"/>
  <c r="DL29"/>
  <c r="DL40"/>
  <c r="DI13"/>
  <c r="DI12"/>
  <c r="DO12" s="1"/>
  <c r="DI16"/>
  <c r="DO16" s="1"/>
  <c r="DI31"/>
  <c r="DI35"/>
  <c r="DI18"/>
  <c r="DI26"/>
  <c r="DI27"/>
  <c r="DI30"/>
  <c r="DI29"/>
  <c r="DI32"/>
  <c r="DI33"/>
  <c r="DO33" s="1"/>
  <c r="DI34"/>
  <c r="DI38"/>
  <c r="DI39"/>
  <c r="DO39" s="1"/>
  <c r="DI40"/>
  <c r="DI41"/>
  <c r="DO41" s="1"/>
  <c r="DI43"/>
  <c r="DO43" s="1"/>
  <c r="DI42"/>
  <c r="DF13"/>
  <c r="DU13" s="1"/>
  <c r="DF12"/>
  <c r="DF16"/>
  <c r="DF31"/>
  <c r="DF35"/>
  <c r="DF18"/>
  <c r="DF26"/>
  <c r="DF27"/>
  <c r="DF30"/>
  <c r="DF29"/>
  <c r="DF32"/>
  <c r="DF33"/>
  <c r="DF34"/>
  <c r="DF38"/>
  <c r="DF39"/>
  <c r="DF40"/>
  <c r="DF41"/>
  <c r="DF43"/>
  <c r="DF42"/>
  <c r="CW13"/>
  <c r="CW14"/>
  <c r="CW23"/>
  <c r="CW31"/>
  <c r="CW35"/>
  <c r="CW20"/>
  <c r="CW18"/>
  <c r="CW24"/>
  <c r="EA24" s="1"/>
  <c r="CW27"/>
  <c r="CW28"/>
  <c r="CW30"/>
  <c r="CW29"/>
  <c r="CW46"/>
  <c r="EA46" s="1"/>
  <c r="CW33"/>
  <c r="EA33" s="1"/>
  <c r="CW47"/>
  <c r="EA47" s="1"/>
  <c r="CW36"/>
  <c r="CW40"/>
  <c r="CT13"/>
  <c r="CT12"/>
  <c r="CT14"/>
  <c r="DX14" s="1"/>
  <c r="CT15"/>
  <c r="CZ15" s="1"/>
  <c r="ED15" s="1"/>
  <c r="FB15" s="1"/>
  <c r="CT16"/>
  <c r="CZ16" s="1"/>
  <c r="CT23"/>
  <c r="DX23" s="1"/>
  <c r="CT31"/>
  <c r="CT35"/>
  <c r="CT20"/>
  <c r="CT18"/>
  <c r="CT24"/>
  <c r="DX24" s="1"/>
  <c r="CT26"/>
  <c r="CZ26" s="1"/>
  <c r="CT27"/>
  <c r="CT28"/>
  <c r="CT30"/>
  <c r="CT29"/>
  <c r="CT46"/>
  <c r="DX46" s="1"/>
  <c r="CT32"/>
  <c r="CZ32" s="1"/>
  <c r="CT33"/>
  <c r="CT34"/>
  <c r="CT47"/>
  <c r="CT36"/>
  <c r="DX36" s="1"/>
  <c r="CT38"/>
  <c r="CT39"/>
  <c r="CZ39" s="1"/>
  <c r="CT48"/>
  <c r="DX48" s="1"/>
  <c r="CT49"/>
  <c r="CZ49" s="1"/>
  <c r="CT40"/>
  <c r="CT41"/>
  <c r="CZ41" s="1"/>
  <c r="CT50"/>
  <c r="DX50" s="1"/>
  <c r="CT43"/>
  <c r="CZ43" s="1"/>
  <c r="CT42"/>
  <c r="CQ12"/>
  <c r="CQ14"/>
  <c r="DU14" s="1"/>
  <c r="CQ15"/>
  <c r="DU15" s="1"/>
  <c r="CQ16"/>
  <c r="CQ23"/>
  <c r="DU23" s="1"/>
  <c r="CQ31"/>
  <c r="CQ35"/>
  <c r="CQ20"/>
  <c r="DU20" s="1"/>
  <c r="CQ18"/>
  <c r="CQ24"/>
  <c r="DU24" s="1"/>
  <c r="CQ26"/>
  <c r="CQ27"/>
  <c r="CQ28"/>
  <c r="CQ30"/>
  <c r="CQ29"/>
  <c r="CQ46"/>
  <c r="DU46" s="1"/>
  <c r="CQ32"/>
  <c r="CQ33"/>
  <c r="CQ34"/>
  <c r="CQ47"/>
  <c r="DU47" s="1"/>
  <c r="CQ36"/>
  <c r="DU36" s="1"/>
  <c r="CQ38"/>
  <c r="CQ39"/>
  <c r="CQ48"/>
  <c r="DU48" s="1"/>
  <c r="CQ49"/>
  <c r="DU49" s="1"/>
  <c r="CQ40"/>
  <c r="CQ41"/>
  <c r="CQ50"/>
  <c r="DU50" s="1"/>
  <c r="CQ43"/>
  <c r="CQ42"/>
  <c r="BS31"/>
  <c r="BS35"/>
  <c r="BS18"/>
  <c r="BS27"/>
  <c r="BS30"/>
  <c r="BS29"/>
  <c r="BS40"/>
  <c r="BP13"/>
  <c r="BV13" s="1"/>
  <c r="BP12"/>
  <c r="BP16"/>
  <c r="BV16" s="1"/>
  <c r="BP31"/>
  <c r="BP35"/>
  <c r="BP18"/>
  <c r="BP26"/>
  <c r="BP27"/>
  <c r="BP30"/>
  <c r="BP29"/>
  <c r="BP32"/>
  <c r="BV32" s="1"/>
  <c r="BP34"/>
  <c r="BV34" s="1"/>
  <c r="BP38"/>
  <c r="BP39"/>
  <c r="BP49"/>
  <c r="BV49" s="1"/>
  <c r="BP40"/>
  <c r="BP41"/>
  <c r="BP43"/>
  <c r="BV43" s="1"/>
  <c r="BP42"/>
  <c r="BM13"/>
  <c r="BM12"/>
  <c r="BM16"/>
  <c r="BM31"/>
  <c r="BM35"/>
  <c r="BM18"/>
  <c r="BM26"/>
  <c r="BM27"/>
  <c r="BM30"/>
  <c r="BM29"/>
  <c r="BM32"/>
  <c r="BM34"/>
  <c r="BM38"/>
  <c r="BM39"/>
  <c r="BM49"/>
  <c r="BM40"/>
  <c r="BM41"/>
  <c r="BM43"/>
  <c r="BM42"/>
  <c r="BD13"/>
  <c r="BD14"/>
  <c r="CH14" s="1"/>
  <c r="BD23"/>
  <c r="CH23" s="1"/>
  <c r="BD31"/>
  <c r="BD35"/>
  <c r="BD20"/>
  <c r="CH20" s="1"/>
  <c r="BD18"/>
  <c r="BD24"/>
  <c r="CH24" s="1"/>
  <c r="BD27"/>
  <c r="BD28"/>
  <c r="CH28" s="1"/>
  <c r="BD30"/>
  <c r="BD29"/>
  <c r="BD46"/>
  <c r="BD47"/>
  <c r="CH47" s="1"/>
  <c r="BD36"/>
  <c r="CH36" s="1"/>
  <c r="BD48"/>
  <c r="BD40"/>
  <c r="BD37"/>
  <c r="BA13"/>
  <c r="BA45"/>
  <c r="CE45" s="1"/>
  <c r="BA12"/>
  <c r="BA14"/>
  <c r="CE14" s="1"/>
  <c r="BA15"/>
  <c r="CE15" s="1"/>
  <c r="BA16"/>
  <c r="BA23"/>
  <c r="CE23" s="1"/>
  <c r="BA31"/>
  <c r="BA35"/>
  <c r="BA20"/>
  <c r="BA18"/>
  <c r="BA24"/>
  <c r="CE24" s="1"/>
  <c r="BA26"/>
  <c r="BG26" s="1"/>
  <c r="BA27"/>
  <c r="BA28"/>
  <c r="BA30"/>
  <c r="BA29"/>
  <c r="BA46"/>
  <c r="CE46" s="1"/>
  <c r="BA32"/>
  <c r="BG32" s="1"/>
  <c r="BA33"/>
  <c r="CE33" s="1"/>
  <c r="BA34"/>
  <c r="BA47"/>
  <c r="BA36"/>
  <c r="CE36" s="1"/>
  <c r="BA38"/>
  <c r="BA39"/>
  <c r="BG39" s="1"/>
  <c r="BA48"/>
  <c r="CE48" s="1"/>
  <c r="BA49"/>
  <c r="BA40"/>
  <c r="BA41"/>
  <c r="BG41" s="1"/>
  <c r="BA50"/>
  <c r="BG50" s="1"/>
  <c r="BA43"/>
  <c r="BA42"/>
  <c r="AX13"/>
  <c r="AX45"/>
  <c r="CB45" s="1"/>
  <c r="AX12"/>
  <c r="AX14"/>
  <c r="CB14" s="1"/>
  <c r="AX15"/>
  <c r="CB15" s="1"/>
  <c r="AX16"/>
  <c r="AX23"/>
  <c r="CB23" s="1"/>
  <c r="AX31"/>
  <c r="AX35"/>
  <c r="AX20"/>
  <c r="CB20" s="1"/>
  <c r="AX18"/>
  <c r="AX24"/>
  <c r="CB24" s="1"/>
  <c r="AX26"/>
  <c r="AX27"/>
  <c r="AX28"/>
  <c r="AX30"/>
  <c r="AX29"/>
  <c r="AX46"/>
  <c r="CB46" s="1"/>
  <c r="AX32"/>
  <c r="AX33"/>
  <c r="CB33" s="1"/>
  <c r="AX34"/>
  <c r="AX47"/>
  <c r="CB47" s="1"/>
  <c r="AX36"/>
  <c r="CB36" s="1"/>
  <c r="AX38"/>
  <c r="AX39"/>
  <c r="AX48"/>
  <c r="CB48" s="1"/>
  <c r="AX49"/>
  <c r="AX40"/>
  <c r="AX41"/>
  <c r="AX50"/>
  <c r="AX43"/>
  <c r="AX42"/>
  <c r="FE51" l="1"/>
  <c r="CZ12"/>
  <c r="ED12" s="1"/>
  <c r="FB12" s="1"/>
  <c r="FH12" s="1"/>
  <c r="BG12"/>
  <c r="CB18"/>
  <c r="BD51"/>
  <c r="DX40"/>
  <c r="DO26"/>
  <c r="DR26" s="1"/>
  <c r="CE18"/>
  <c r="DU18"/>
  <c r="CB49"/>
  <c r="CH18"/>
  <c r="DU30"/>
  <c r="EA30"/>
  <c r="CZ30"/>
  <c r="DX30"/>
  <c r="CZ34"/>
  <c r="DX34"/>
  <c r="CB32"/>
  <c r="BG20"/>
  <c r="CK20" s="1"/>
  <c r="ES20" s="1"/>
  <c r="EY20" s="1"/>
  <c r="CB28"/>
  <c r="CB43"/>
  <c r="CB34"/>
  <c r="DU35"/>
  <c r="BG13"/>
  <c r="CK13" s="1"/>
  <c r="BV27"/>
  <c r="CH40"/>
  <c r="CB40"/>
  <c r="DX18"/>
  <c r="CB42"/>
  <c r="CB38"/>
  <c r="CB39"/>
  <c r="CB29"/>
  <c r="CB26"/>
  <c r="CB50"/>
  <c r="CB27"/>
  <c r="CE43"/>
  <c r="CK32"/>
  <c r="ES32" s="1"/>
  <c r="EY32" s="1"/>
  <c r="BV29"/>
  <c r="BG42"/>
  <c r="DO42"/>
  <c r="DR42" s="1"/>
  <c r="CB30"/>
  <c r="CB41"/>
  <c r="BV30"/>
  <c r="DU41"/>
  <c r="DU16"/>
  <c r="DX38"/>
  <c r="CZ35"/>
  <c r="EA31"/>
  <c r="DR16"/>
  <c r="EA13"/>
  <c r="BG14"/>
  <c r="CB35"/>
  <c r="CE34"/>
  <c r="CE16"/>
  <c r="BG15"/>
  <c r="DU40"/>
  <c r="DX31"/>
  <c r="DU39"/>
  <c r="DR33"/>
  <c r="DX15"/>
  <c r="BG28"/>
  <c r="CK28" s="1"/>
  <c r="BG43"/>
  <c r="CE32"/>
  <c r="CZ47"/>
  <c r="ED47" s="1"/>
  <c r="FB47" s="1"/>
  <c r="DR39"/>
  <c r="DX35"/>
  <c r="DU31"/>
  <c r="BG18"/>
  <c r="BG16"/>
  <c r="DU38"/>
  <c r="DU32"/>
  <c r="BG38"/>
  <c r="BG30"/>
  <c r="BG35"/>
  <c r="BG46"/>
  <c r="CK46" s="1"/>
  <c r="ES46" s="1"/>
  <c r="BG27"/>
  <c r="BG45"/>
  <c r="CB16"/>
  <c r="CE49"/>
  <c r="CE27"/>
  <c r="CE35"/>
  <c r="CE20"/>
  <c r="CH46"/>
  <c r="DX39"/>
  <c r="EA35"/>
  <c r="CZ18"/>
  <c r="DR43"/>
  <c r="DO38"/>
  <c r="DR38" s="1"/>
  <c r="DO29"/>
  <c r="DR29" s="1"/>
  <c r="DX41"/>
  <c r="CZ38"/>
  <c r="CH31"/>
  <c r="CE28"/>
  <c r="BG24"/>
  <c r="BG31"/>
  <c r="CB12"/>
  <c r="CE50"/>
  <c r="CE39"/>
  <c r="CH35"/>
  <c r="CH13"/>
  <c r="DX42"/>
  <c r="DX33"/>
  <c r="CZ42"/>
  <c r="DU33"/>
  <c r="DO30"/>
  <c r="BG33"/>
  <c r="CE12"/>
  <c r="CZ28"/>
  <c r="DU27"/>
  <c r="BG34"/>
  <c r="CK34" s="1"/>
  <c r="ES34" s="1"/>
  <c r="EY34" s="1"/>
  <c r="BV39"/>
  <c r="CK39" s="1"/>
  <c r="ES39" s="1"/>
  <c r="EY39" s="1"/>
  <c r="CZ33"/>
  <c r="ED33" s="1"/>
  <c r="FB33" s="1"/>
  <c r="DU43"/>
  <c r="DU28"/>
  <c r="DO35"/>
  <c r="DR35" s="1"/>
  <c r="DX16"/>
  <c r="BG48"/>
  <c r="BG47"/>
  <c r="BG36"/>
  <c r="CB31"/>
  <c r="BV12"/>
  <c r="CH48"/>
  <c r="CZ14"/>
  <c r="ED14" s="1"/>
  <c r="FB14" s="1"/>
  <c r="CZ48"/>
  <c r="ED48" s="1"/>
  <c r="FB48" s="1"/>
  <c r="CZ31"/>
  <c r="DU42"/>
  <c r="DU34"/>
  <c r="DU12"/>
  <c r="DR41"/>
  <c r="DX47"/>
  <c r="DR12"/>
  <c r="EA28"/>
  <c r="EA14"/>
  <c r="DX28"/>
  <c r="EA40"/>
  <c r="CZ24"/>
  <c r="ED24" s="1"/>
  <c r="FB24" s="1"/>
  <c r="DO40"/>
  <c r="DR40" s="1"/>
  <c r="DX13"/>
  <c r="CB13"/>
  <c r="CH27"/>
  <c r="CZ50"/>
  <c r="ED50" s="1"/>
  <c r="FB50" s="1"/>
  <c r="EA27"/>
  <c r="EA18"/>
  <c r="DU29"/>
  <c r="DU26"/>
  <c r="DX43"/>
  <c r="DX32"/>
  <c r="DO27"/>
  <c r="DR27" s="1"/>
  <c r="ED39"/>
  <c r="FB39" s="1"/>
  <c r="BV41"/>
  <c r="CE41"/>
  <c r="BV38"/>
  <c r="CE38"/>
  <c r="CE29"/>
  <c r="BV26"/>
  <c r="CK26" s="1"/>
  <c r="CE26"/>
  <c r="BV18"/>
  <c r="BV31"/>
  <c r="CE31"/>
  <c r="CE13"/>
  <c r="EA36"/>
  <c r="CZ36"/>
  <c r="ED36" s="1"/>
  <c r="FB36" s="1"/>
  <c r="EA29"/>
  <c r="CZ29"/>
  <c r="CZ20"/>
  <c r="EA20"/>
  <c r="CZ23"/>
  <c r="ED23" s="1"/>
  <c r="FB23" s="1"/>
  <c r="EA23"/>
  <c r="CH29"/>
  <c r="BG29"/>
  <c r="DX49"/>
  <c r="DO34"/>
  <c r="DR34" s="1"/>
  <c r="DX20"/>
  <c r="BV42"/>
  <c r="CE42"/>
  <c r="BV40"/>
  <c r="CE40"/>
  <c r="CE47"/>
  <c r="CE30"/>
  <c r="CH30"/>
  <c r="ED41"/>
  <c r="FB41" s="1"/>
  <c r="BG49"/>
  <c r="BG23"/>
  <c r="CK23" s="1"/>
  <c r="ES23" s="1"/>
  <c r="EY23" s="1"/>
  <c r="BV35"/>
  <c r="CZ40"/>
  <c r="BG40"/>
  <c r="DO18"/>
  <c r="DR18" s="1"/>
  <c r="DO31"/>
  <c r="DR31" s="1"/>
  <c r="ED16"/>
  <c r="FB16" s="1"/>
  <c r="CZ13"/>
  <c r="DO13"/>
  <c r="DR13" s="1"/>
  <c r="DX29"/>
  <c r="DX26"/>
  <c r="CZ46"/>
  <c r="ED46" s="1"/>
  <c r="FB46" s="1"/>
  <c r="CZ27"/>
  <c r="DX27"/>
  <c r="DX12"/>
  <c r="DO32"/>
  <c r="DR32" s="1"/>
  <c r="ED43"/>
  <c r="FB43" s="1"/>
  <c r="BA37"/>
  <c r="BA51" s="1"/>
  <c r="AI14"/>
  <c r="Z45"/>
  <c r="Z31"/>
  <c r="Z35"/>
  <c r="Z18"/>
  <c r="Z27"/>
  <c r="Z30"/>
  <c r="Z29"/>
  <c r="Z40"/>
  <c r="W13"/>
  <c r="AC13" s="1"/>
  <c r="W45"/>
  <c r="W12"/>
  <c r="W16"/>
  <c r="AC16" s="1"/>
  <c r="W17"/>
  <c r="AC17" s="1"/>
  <c r="W31"/>
  <c r="W35"/>
  <c r="W18"/>
  <c r="W19"/>
  <c r="AC19" s="1"/>
  <c r="AR19" s="1"/>
  <c r="EJ19" s="1"/>
  <c r="W25"/>
  <c r="W26"/>
  <c r="AC26" s="1"/>
  <c r="W27"/>
  <c r="W28"/>
  <c r="W30"/>
  <c r="W29"/>
  <c r="W32"/>
  <c r="W33"/>
  <c r="W34"/>
  <c r="AC34" s="1"/>
  <c r="W44"/>
  <c r="AC44" s="1"/>
  <c r="W38"/>
  <c r="W39"/>
  <c r="AC39" s="1"/>
  <c r="W49"/>
  <c r="AC49" s="1"/>
  <c r="W40"/>
  <c r="W41"/>
  <c r="AC41" s="1"/>
  <c r="W50"/>
  <c r="W43"/>
  <c r="AC43" s="1"/>
  <c r="W42"/>
  <c r="T25"/>
  <c r="T26"/>
  <c r="T27"/>
  <c r="T28"/>
  <c r="T30"/>
  <c r="T29"/>
  <c r="T32"/>
  <c r="T33"/>
  <c r="T34"/>
  <c r="T44"/>
  <c r="T38"/>
  <c r="T39"/>
  <c r="T49"/>
  <c r="T40"/>
  <c r="AI40" s="1"/>
  <c r="T41"/>
  <c r="T50"/>
  <c r="T43"/>
  <c r="T42"/>
  <c r="K13"/>
  <c r="K45"/>
  <c r="K14"/>
  <c r="AO14" s="1"/>
  <c r="K23"/>
  <c r="AO23" s="1"/>
  <c r="K31"/>
  <c r="K35"/>
  <c r="K20"/>
  <c r="K18"/>
  <c r="K24"/>
  <c r="AO24" s="1"/>
  <c r="K27"/>
  <c r="K28"/>
  <c r="AO28" s="1"/>
  <c r="K30"/>
  <c r="K29"/>
  <c r="K46"/>
  <c r="AO46" s="1"/>
  <c r="K33"/>
  <c r="K47"/>
  <c r="K36"/>
  <c r="AO36" s="1"/>
  <c r="K44"/>
  <c r="AO44" s="1"/>
  <c r="K48"/>
  <c r="K40"/>
  <c r="H13"/>
  <c r="H45"/>
  <c r="H12"/>
  <c r="H14"/>
  <c r="H15"/>
  <c r="H16"/>
  <c r="N16" s="1"/>
  <c r="H23"/>
  <c r="H31"/>
  <c r="H35"/>
  <c r="H20"/>
  <c r="H18"/>
  <c r="H24"/>
  <c r="H25"/>
  <c r="H26"/>
  <c r="N26" s="1"/>
  <c r="H27"/>
  <c r="H28"/>
  <c r="H30"/>
  <c r="H29"/>
  <c r="H46"/>
  <c r="H32"/>
  <c r="N32" s="1"/>
  <c r="H33"/>
  <c r="H34"/>
  <c r="N34" s="1"/>
  <c r="H47"/>
  <c r="H36"/>
  <c r="H44"/>
  <c r="H38"/>
  <c r="H39"/>
  <c r="H48"/>
  <c r="H49"/>
  <c r="N49" s="1"/>
  <c r="H40"/>
  <c r="H41"/>
  <c r="N41" s="1"/>
  <c r="H50"/>
  <c r="N50" s="1"/>
  <c r="H43"/>
  <c r="N43" s="1"/>
  <c r="H42"/>
  <c r="E13"/>
  <c r="E45"/>
  <c r="E12"/>
  <c r="E15"/>
  <c r="AI15" s="1"/>
  <c r="E16"/>
  <c r="E23"/>
  <c r="AI23" s="1"/>
  <c r="E31"/>
  <c r="E35"/>
  <c r="E20"/>
  <c r="AI20" s="1"/>
  <c r="E18"/>
  <c r="E24"/>
  <c r="AI24" s="1"/>
  <c r="E25"/>
  <c r="E26"/>
  <c r="E27"/>
  <c r="E28"/>
  <c r="E30"/>
  <c r="E29"/>
  <c r="E46"/>
  <c r="AI46" s="1"/>
  <c r="E32"/>
  <c r="E33"/>
  <c r="E34"/>
  <c r="E47"/>
  <c r="AI47" s="1"/>
  <c r="E36"/>
  <c r="AI36" s="1"/>
  <c r="E44"/>
  <c r="E38"/>
  <c r="E39"/>
  <c r="E48"/>
  <c r="AI48" s="1"/>
  <c r="E49"/>
  <c r="E50"/>
  <c r="E43"/>
  <c r="E42"/>
  <c r="DL37"/>
  <c r="DL51" s="1"/>
  <c r="BS37"/>
  <c r="BS51" s="1"/>
  <c r="BP37"/>
  <c r="BP51" s="1"/>
  <c r="Z37"/>
  <c r="W37"/>
  <c r="T37"/>
  <c r="K37"/>
  <c r="H37"/>
  <c r="E37"/>
  <c r="T16"/>
  <c r="T12"/>
  <c r="T31"/>
  <c r="T35"/>
  <c r="T18"/>
  <c r="T19"/>
  <c r="AI19" s="1"/>
  <c r="DZ13"/>
  <c r="DY13"/>
  <c r="DW13"/>
  <c r="DV13"/>
  <c r="DS13"/>
  <c r="DN13"/>
  <c r="DQ13" s="1"/>
  <c r="DM13"/>
  <c r="DP13" s="1"/>
  <c r="CX13"/>
  <c r="CG13"/>
  <c r="CF13"/>
  <c r="CD13"/>
  <c r="CC13"/>
  <c r="CA13"/>
  <c r="BZ13"/>
  <c r="BX13"/>
  <c r="BW13"/>
  <c r="BF13"/>
  <c r="AN13"/>
  <c r="AM13"/>
  <c r="AK13"/>
  <c r="AJ13"/>
  <c r="AH13"/>
  <c r="AG13"/>
  <c r="AE13"/>
  <c r="AD13"/>
  <c r="T13"/>
  <c r="ED26" l="1"/>
  <c r="DS51"/>
  <c r="N12"/>
  <c r="H51"/>
  <c r="Z51"/>
  <c r="E51"/>
  <c r="K51"/>
  <c r="AC12"/>
  <c r="AF12" s="1"/>
  <c r="W51"/>
  <c r="FB26"/>
  <c r="CK40"/>
  <c r="ES40" s="1"/>
  <c r="EY40" s="1"/>
  <c r="N33"/>
  <c r="N31"/>
  <c r="AI18"/>
  <c r="AO18"/>
  <c r="CK27"/>
  <c r="ES27" s="1"/>
  <c r="EY27" s="1"/>
  <c r="CK18"/>
  <c r="ES18" s="1"/>
  <c r="EY18" s="1"/>
  <c r="AI38"/>
  <c r="AL18"/>
  <c r="ED30"/>
  <c r="FB30" s="1"/>
  <c r="N30"/>
  <c r="ED40"/>
  <c r="FB40" s="1"/>
  <c r="CK35"/>
  <c r="ES35" s="1"/>
  <c r="EY35" s="1"/>
  <c r="N38"/>
  <c r="N44"/>
  <c r="AR44" s="1"/>
  <c r="N13"/>
  <c r="Q13" s="1"/>
  <c r="N36"/>
  <c r="AR36" s="1"/>
  <c r="EJ36" s="1"/>
  <c r="N28"/>
  <c r="AO29"/>
  <c r="AL24"/>
  <c r="N24"/>
  <c r="AR24" s="1"/>
  <c r="EJ24" s="1"/>
  <c r="AL14"/>
  <c r="N14"/>
  <c r="AR14" s="1"/>
  <c r="EJ14" s="1"/>
  <c r="CK48"/>
  <c r="ES48" s="1"/>
  <c r="EY48" s="1"/>
  <c r="CK45"/>
  <c r="ES45" s="1"/>
  <c r="EY45" s="1"/>
  <c r="BH13"/>
  <c r="CI13"/>
  <c r="N15"/>
  <c r="AR15" s="1"/>
  <c r="CK49"/>
  <c r="ES49" s="1"/>
  <c r="EY49" s="1"/>
  <c r="CK47"/>
  <c r="ES47" s="1"/>
  <c r="EY47" s="1"/>
  <c r="ED42"/>
  <c r="CK43"/>
  <c r="ES43" s="1"/>
  <c r="EY43" s="1"/>
  <c r="AL20"/>
  <c r="N20"/>
  <c r="Q20" s="1"/>
  <c r="AL39"/>
  <c r="N39"/>
  <c r="AR39" s="1"/>
  <c r="AL47"/>
  <c r="N47"/>
  <c r="AL46"/>
  <c r="N46"/>
  <c r="AR46" s="1"/>
  <c r="EJ46" s="1"/>
  <c r="AL23"/>
  <c r="N23"/>
  <c r="AR23" s="1"/>
  <c r="EJ23" s="1"/>
  <c r="CK14"/>
  <c r="ES14" s="1"/>
  <c r="EY14" s="1"/>
  <c r="CK42"/>
  <c r="ES42" s="1"/>
  <c r="EY42" s="1"/>
  <c r="N35"/>
  <c r="N40"/>
  <c r="AI16"/>
  <c r="N27"/>
  <c r="N18"/>
  <c r="AC45"/>
  <c r="ED38"/>
  <c r="FB38" s="1"/>
  <c r="CK29"/>
  <c r="ES29" s="1"/>
  <c r="EY29" s="1"/>
  <c r="ES26"/>
  <c r="EY26" s="1"/>
  <c r="CK31"/>
  <c r="ES31" s="1"/>
  <c r="EY31" s="1"/>
  <c r="CK30"/>
  <c r="ES30" s="1"/>
  <c r="EY30" s="1"/>
  <c r="BI13"/>
  <c r="CJ13"/>
  <c r="AL48"/>
  <c r="N48"/>
  <c r="AR48" s="1"/>
  <c r="EJ48" s="1"/>
  <c r="CK33"/>
  <c r="ES33" s="1"/>
  <c r="EY33" s="1"/>
  <c r="CK15"/>
  <c r="ES15" s="1"/>
  <c r="EY15" s="1"/>
  <c r="N42"/>
  <c r="CK36"/>
  <c r="ES36" s="1"/>
  <c r="EY36" s="1"/>
  <c r="CK24"/>
  <c r="ES24" s="1"/>
  <c r="EY24" s="1"/>
  <c r="CK16"/>
  <c r="ES16" s="1"/>
  <c r="EY16" s="1"/>
  <c r="CK50"/>
  <c r="ES50" s="1"/>
  <c r="CK12"/>
  <c r="ES12" s="1"/>
  <c r="EY12" s="1"/>
  <c r="N25"/>
  <c r="N29"/>
  <c r="N45"/>
  <c r="CK41"/>
  <c r="ES41" s="1"/>
  <c r="EY41" s="1"/>
  <c r="AC25"/>
  <c r="AF25" s="1"/>
  <c r="AI13"/>
  <c r="AO13"/>
  <c r="AI31"/>
  <c r="AI12"/>
  <c r="AL45"/>
  <c r="AI50"/>
  <c r="AI39"/>
  <c r="AI28"/>
  <c r="AF44"/>
  <c r="AC29"/>
  <c r="AF29" s="1"/>
  <c r="DR30"/>
  <c r="ED29"/>
  <c r="FB29" s="1"/>
  <c r="AI34"/>
  <c r="AI29"/>
  <c r="AI26"/>
  <c r="AL19"/>
  <c r="ES28"/>
  <c r="AI17"/>
  <c r="AI33"/>
  <c r="AI30"/>
  <c r="AI25"/>
  <c r="AI35"/>
  <c r="AR41"/>
  <c r="EJ41" s="1"/>
  <c r="AC30"/>
  <c r="AF30" s="1"/>
  <c r="AC35"/>
  <c r="AF35" s="1"/>
  <c r="ED28"/>
  <c r="CK38"/>
  <c r="ES38" s="1"/>
  <c r="EY38" s="1"/>
  <c r="AL17"/>
  <c r="AO30"/>
  <c r="AO45"/>
  <c r="ED34"/>
  <c r="FB34" s="1"/>
  <c r="FH34" s="1"/>
  <c r="ES13"/>
  <c r="AL35"/>
  <c r="AL43"/>
  <c r="AL34"/>
  <c r="AL29"/>
  <c r="AL12"/>
  <c r="AL50"/>
  <c r="AL28"/>
  <c r="AL36"/>
  <c r="ED35"/>
  <c r="FB35" s="1"/>
  <c r="AO31"/>
  <c r="AL30"/>
  <c r="AL25"/>
  <c r="AI43"/>
  <c r="AF41"/>
  <c r="AL38"/>
  <c r="AL15"/>
  <c r="AL33"/>
  <c r="AR34"/>
  <c r="EJ34" s="1"/>
  <c r="AI49"/>
  <c r="AF34"/>
  <c r="AL13"/>
  <c r="EC13"/>
  <c r="FA13" s="1"/>
  <c r="AO20"/>
  <c r="AR17"/>
  <c r="AI42"/>
  <c r="AF49"/>
  <c r="AF26"/>
  <c r="AL31"/>
  <c r="AO48"/>
  <c r="ED27"/>
  <c r="FB27" s="1"/>
  <c r="ED13"/>
  <c r="EG13" s="1"/>
  <c r="EB13"/>
  <c r="EZ13" s="1"/>
  <c r="DA13"/>
  <c r="AL41"/>
  <c r="AR43"/>
  <c r="EJ43" s="1"/>
  <c r="AF39"/>
  <c r="AF17"/>
  <c r="AL26"/>
  <c r="AL49"/>
  <c r="AQ13"/>
  <c r="EI13" s="1"/>
  <c r="AO40"/>
  <c r="AO27"/>
  <c r="AI41"/>
  <c r="AI32"/>
  <c r="AI27"/>
  <c r="AL42"/>
  <c r="AL40"/>
  <c r="AL32"/>
  <c r="AL27"/>
  <c r="ED32"/>
  <c r="FB32" s="1"/>
  <c r="AF43"/>
  <c r="AR49"/>
  <c r="ED49"/>
  <c r="FB49" s="1"/>
  <c r="FH49" s="1"/>
  <c r="AC42"/>
  <c r="AC40"/>
  <c r="AF40" s="1"/>
  <c r="AC32"/>
  <c r="AC27"/>
  <c r="AF27" s="1"/>
  <c r="AO33"/>
  <c r="AO35"/>
  <c r="AC38"/>
  <c r="AF38" s="1"/>
  <c r="AC33"/>
  <c r="AF33" s="1"/>
  <c r="AC28"/>
  <c r="AF28" s="1"/>
  <c r="AL16"/>
  <c r="AO47"/>
  <c r="AL44"/>
  <c r="AR26"/>
  <c r="AC50"/>
  <c r="AF50" s="1"/>
  <c r="AC18"/>
  <c r="AC31"/>
  <c r="ED18"/>
  <c r="FB18" s="1"/>
  <c r="ED20"/>
  <c r="FB20" s="1"/>
  <c r="AI44"/>
  <c r="ED31"/>
  <c r="FB31" s="1"/>
  <c r="AF19"/>
  <c r="AU19"/>
  <c r="AR16"/>
  <c r="AF16"/>
  <c r="AO16"/>
  <c r="P13"/>
  <c r="DC13"/>
  <c r="BY13"/>
  <c r="AP13"/>
  <c r="EH13" s="1"/>
  <c r="O13"/>
  <c r="DB13"/>
  <c r="AR12" l="1"/>
  <c r="AR13"/>
  <c r="EJ13" s="1"/>
  <c r="EJ12"/>
  <c r="FB28"/>
  <c r="EY28"/>
  <c r="AR18"/>
  <c r="AU26"/>
  <c r="EE13"/>
  <c r="EF13"/>
  <c r="EJ15"/>
  <c r="AU15"/>
  <c r="FB13"/>
  <c r="AR50"/>
  <c r="AU50" s="1"/>
  <c r="AU13"/>
  <c r="FB42"/>
  <c r="AR35"/>
  <c r="AU35" s="1"/>
  <c r="AF42"/>
  <c r="AR20"/>
  <c r="AU20" s="1"/>
  <c r="AR25"/>
  <c r="AU25" s="1"/>
  <c r="AR29"/>
  <c r="EJ29" s="1"/>
  <c r="AR30"/>
  <c r="EJ30" s="1"/>
  <c r="AU41"/>
  <c r="AU36"/>
  <c r="AT13"/>
  <c r="AU48"/>
  <c r="AU17"/>
  <c r="AU43"/>
  <c r="AR45"/>
  <c r="EJ45" s="1"/>
  <c r="EP45" s="1"/>
  <c r="AR40"/>
  <c r="AU40" s="1"/>
  <c r="EJ26"/>
  <c r="EJ17"/>
  <c r="AU34"/>
  <c r="AU12"/>
  <c r="AR42"/>
  <c r="AR38"/>
  <c r="AU38" s="1"/>
  <c r="AU46"/>
  <c r="AU24"/>
  <c r="AU23"/>
  <c r="AR32"/>
  <c r="AF32"/>
  <c r="EJ39"/>
  <c r="AU39"/>
  <c r="AF18"/>
  <c r="EJ49"/>
  <c r="AU49"/>
  <c r="AF31"/>
  <c r="AR31"/>
  <c r="AR33"/>
  <c r="AU33" s="1"/>
  <c r="AR28"/>
  <c r="AR47"/>
  <c r="AU14"/>
  <c r="AF13"/>
  <c r="AR27"/>
  <c r="AU44"/>
  <c r="EJ16"/>
  <c r="AU16"/>
  <c r="AS13"/>
  <c r="ER13"/>
  <c r="CM13"/>
  <c r="BJ13"/>
  <c r="CL13"/>
  <c r="EQ13"/>
  <c r="EP12" l="1"/>
  <c r="FH28"/>
  <c r="AU30"/>
  <c r="AU29"/>
  <c r="EJ50"/>
  <c r="EJ20"/>
  <c r="EJ35"/>
  <c r="EJ25"/>
  <c r="EJ38"/>
  <c r="EJ40"/>
  <c r="EJ42"/>
  <c r="AU42"/>
  <c r="EJ33"/>
  <c r="EJ28"/>
  <c r="EP28" s="1"/>
  <c r="AU28"/>
  <c r="EJ31"/>
  <c r="AU31"/>
  <c r="EJ18"/>
  <c r="AU18"/>
  <c r="EJ27"/>
  <c r="AU27"/>
  <c r="EJ32"/>
  <c r="AU32"/>
  <c r="EJ47"/>
  <c r="AU47"/>
  <c r="CN13"/>
  <c r="T45" l="1"/>
  <c r="T51" s="1"/>
  <c r="AI45" l="1"/>
  <c r="AU45" s="1"/>
  <c r="AF45"/>
  <c r="EV37"/>
  <c r="EV51" s="1"/>
  <c r="EM37"/>
  <c r="DF37"/>
  <c r="DF51" s="1"/>
  <c r="DI37"/>
  <c r="DI51" s="1"/>
  <c r="BM37"/>
  <c r="BM51" s="1"/>
  <c r="EZ1"/>
  <c r="EQ1"/>
  <c r="EH1"/>
  <c r="EM25" l="1"/>
  <c r="DW42"/>
  <c r="DV42"/>
  <c r="DW43"/>
  <c r="DV43"/>
  <c r="DW50"/>
  <c r="DV50"/>
  <c r="DW41"/>
  <c r="DV41"/>
  <c r="DZ40"/>
  <c r="DY40"/>
  <c r="DW40"/>
  <c r="DV40"/>
  <c r="DW49"/>
  <c r="DV49"/>
  <c r="DW48"/>
  <c r="DV48"/>
  <c r="DW39"/>
  <c r="DV39"/>
  <c r="DW38"/>
  <c r="DV38"/>
  <c r="DZ36"/>
  <c r="DW36"/>
  <c r="DV36"/>
  <c r="DZ47"/>
  <c r="DW47"/>
  <c r="DV47"/>
  <c r="DZ33"/>
  <c r="DW33"/>
  <c r="DV33"/>
  <c r="DW32"/>
  <c r="DV32"/>
  <c r="DZ46"/>
  <c r="DW46"/>
  <c r="DV46"/>
  <c r="DZ29"/>
  <c r="DW29"/>
  <c r="DV29"/>
  <c r="DZ28"/>
  <c r="DY28"/>
  <c r="DW28"/>
  <c r="DV28"/>
  <c r="DZ27"/>
  <c r="DY27"/>
  <c r="DW27"/>
  <c r="DV27"/>
  <c r="DW26"/>
  <c r="DV26"/>
  <c r="DZ24"/>
  <c r="DY24"/>
  <c r="DW24"/>
  <c r="DV24"/>
  <c r="DZ18"/>
  <c r="DY18"/>
  <c r="DW18"/>
  <c r="DV18"/>
  <c r="DZ20"/>
  <c r="DY20"/>
  <c r="DW20"/>
  <c r="DV20"/>
  <c r="DZ35"/>
  <c r="DY35"/>
  <c r="DW35"/>
  <c r="DV35"/>
  <c r="DZ31"/>
  <c r="DY31"/>
  <c r="DW31"/>
  <c r="DV31"/>
  <c r="DZ23"/>
  <c r="DY23"/>
  <c r="DW23"/>
  <c r="DV23"/>
  <c r="DW16"/>
  <c r="DV16"/>
  <c r="DW15"/>
  <c r="DV15"/>
  <c r="DZ14"/>
  <c r="DY14"/>
  <c r="DW14"/>
  <c r="DV14"/>
  <c r="DW12"/>
  <c r="DV12"/>
  <c r="DZ37"/>
  <c r="DY37"/>
  <c r="DW37"/>
  <c r="DV37"/>
  <c r="DT37"/>
  <c r="CD42"/>
  <c r="CC42"/>
  <c r="CD43"/>
  <c r="CC43"/>
  <c r="CD50"/>
  <c r="CC50"/>
  <c r="CD41"/>
  <c r="CC41"/>
  <c r="CG40"/>
  <c r="CF40"/>
  <c r="CD40"/>
  <c r="CC40"/>
  <c r="CD49"/>
  <c r="CC49"/>
  <c r="CG48"/>
  <c r="CF48"/>
  <c r="CD48"/>
  <c r="CC48"/>
  <c r="CD39"/>
  <c r="CC39"/>
  <c r="CD38"/>
  <c r="CC38"/>
  <c r="CG36"/>
  <c r="CF36"/>
  <c r="CD36"/>
  <c r="CC36"/>
  <c r="CG47"/>
  <c r="CF47"/>
  <c r="CD47"/>
  <c r="CC47"/>
  <c r="CD34"/>
  <c r="CC34"/>
  <c r="CD33"/>
  <c r="CC33"/>
  <c r="CD32"/>
  <c r="CC32"/>
  <c r="CG46"/>
  <c r="CF46"/>
  <c r="CD46"/>
  <c r="CC46"/>
  <c r="CG29"/>
  <c r="CF29"/>
  <c r="CD29"/>
  <c r="CC29"/>
  <c r="CG30"/>
  <c r="CF30"/>
  <c r="CD30"/>
  <c r="CC30"/>
  <c r="CG28"/>
  <c r="CF28"/>
  <c r="CD28"/>
  <c r="CC28"/>
  <c r="CG27"/>
  <c r="CF27"/>
  <c r="CD27"/>
  <c r="CC27"/>
  <c r="CD26"/>
  <c r="CC26"/>
  <c r="CG24"/>
  <c r="CF24"/>
  <c r="CD24"/>
  <c r="CC24"/>
  <c r="CG20"/>
  <c r="CF20"/>
  <c r="CD20"/>
  <c r="CC20"/>
  <c r="CG35"/>
  <c r="CF35"/>
  <c r="CD35"/>
  <c r="CC35"/>
  <c r="CA35"/>
  <c r="BZ35"/>
  <c r="CG31"/>
  <c r="CF31"/>
  <c r="CD31"/>
  <c r="CC31"/>
  <c r="CA31"/>
  <c r="BZ31"/>
  <c r="CG23"/>
  <c r="CF23"/>
  <c r="CD23"/>
  <c r="CC23"/>
  <c r="CA23"/>
  <c r="BZ23"/>
  <c r="CD16"/>
  <c r="CC16"/>
  <c r="CA16"/>
  <c r="BZ16"/>
  <c r="CD15"/>
  <c r="CC15"/>
  <c r="CA15"/>
  <c r="BZ15"/>
  <c r="CG14"/>
  <c r="CF14"/>
  <c r="CD14"/>
  <c r="CC14"/>
  <c r="CA14"/>
  <c r="BZ14"/>
  <c r="CD12"/>
  <c r="CC12"/>
  <c r="CA12"/>
  <c r="BZ12"/>
  <c r="CD45"/>
  <c r="CC45"/>
  <c r="CA45"/>
  <c r="BZ45"/>
  <c r="CG37"/>
  <c r="CF37"/>
  <c r="CD37"/>
  <c r="CC37"/>
  <c r="CA37"/>
  <c r="BZ37"/>
  <c r="CX14"/>
  <c r="DB14"/>
  <c r="CX15"/>
  <c r="DB15"/>
  <c r="CX16"/>
  <c r="DA16" s="1"/>
  <c r="DB16"/>
  <c r="CX23"/>
  <c r="DA23" s="1"/>
  <c r="DB23"/>
  <c r="CX31"/>
  <c r="DA31" s="1"/>
  <c r="CX35"/>
  <c r="DA35" s="1"/>
  <c r="DB35"/>
  <c r="CX20"/>
  <c r="DB20"/>
  <c r="CX18"/>
  <c r="DB18"/>
  <c r="CX24"/>
  <c r="DA24" s="1"/>
  <c r="DB24"/>
  <c r="CX26"/>
  <c r="DB26"/>
  <c r="CX27"/>
  <c r="DA27" s="1"/>
  <c r="DB27"/>
  <c r="CX28"/>
  <c r="DA30"/>
  <c r="DB30"/>
  <c r="CX29"/>
  <c r="DA29" s="1"/>
  <c r="DB29"/>
  <c r="CX46"/>
  <c r="DA46" s="1"/>
  <c r="DB46"/>
  <c r="CX32"/>
  <c r="DB32"/>
  <c r="CX33"/>
  <c r="DB33"/>
  <c r="DA34"/>
  <c r="DB34"/>
  <c r="CX47"/>
  <c r="CX36"/>
  <c r="DA36" s="1"/>
  <c r="DB36"/>
  <c r="CX38"/>
  <c r="DA38" s="1"/>
  <c r="DB38"/>
  <c r="CX39"/>
  <c r="DA39" s="1"/>
  <c r="DB39"/>
  <c r="CX48"/>
  <c r="DB48"/>
  <c r="CX49"/>
  <c r="CX40"/>
  <c r="DA40" s="1"/>
  <c r="DB40"/>
  <c r="CX41"/>
  <c r="CX50"/>
  <c r="DA50" s="1"/>
  <c r="CX43"/>
  <c r="DA43" s="1"/>
  <c r="CX42"/>
  <c r="CX37"/>
  <c r="CW37"/>
  <c r="CW51" s="1"/>
  <c r="CT37"/>
  <c r="CT51" s="1"/>
  <c r="CQ37"/>
  <c r="CQ51" s="1"/>
  <c r="DM12"/>
  <c r="DN12"/>
  <c r="DQ12" s="1"/>
  <c r="DM16"/>
  <c r="DP16" s="1"/>
  <c r="DN16"/>
  <c r="DQ16" s="1"/>
  <c r="DM31"/>
  <c r="DP31" s="1"/>
  <c r="DN31"/>
  <c r="DQ31" s="1"/>
  <c r="DM35"/>
  <c r="DP35" s="1"/>
  <c r="DN35"/>
  <c r="DQ35" s="1"/>
  <c r="DM18"/>
  <c r="DP18" s="1"/>
  <c r="DN18"/>
  <c r="DQ18" s="1"/>
  <c r="DM26"/>
  <c r="DN26"/>
  <c r="DQ26" s="1"/>
  <c r="DM27"/>
  <c r="DP27" s="1"/>
  <c r="DN27"/>
  <c r="DQ27" s="1"/>
  <c r="DM30"/>
  <c r="DN30"/>
  <c r="DM29"/>
  <c r="DP29" s="1"/>
  <c r="DN29"/>
  <c r="DQ29" s="1"/>
  <c r="DM32"/>
  <c r="DP32" s="1"/>
  <c r="DN32"/>
  <c r="DQ32" s="1"/>
  <c r="DM33"/>
  <c r="DP33" s="1"/>
  <c r="DN33"/>
  <c r="DQ33" s="1"/>
  <c r="DM38"/>
  <c r="DP38" s="1"/>
  <c r="DN38"/>
  <c r="DQ38" s="1"/>
  <c r="DM39"/>
  <c r="DP39" s="1"/>
  <c r="DN39"/>
  <c r="DQ39" s="1"/>
  <c r="DM40"/>
  <c r="DP40" s="1"/>
  <c r="DN40"/>
  <c r="DQ40" s="1"/>
  <c r="DM41"/>
  <c r="DP41" s="1"/>
  <c r="DN41"/>
  <c r="DQ41" s="1"/>
  <c r="DM43"/>
  <c r="DP43" s="1"/>
  <c r="DN43"/>
  <c r="DQ43" s="1"/>
  <c r="DM42"/>
  <c r="DN42"/>
  <c r="DN37"/>
  <c r="DO37"/>
  <c r="DM37"/>
  <c r="BT12"/>
  <c r="BU12"/>
  <c r="BY12"/>
  <c r="BW16"/>
  <c r="BU16"/>
  <c r="BX16" s="1"/>
  <c r="BY16"/>
  <c r="BW31"/>
  <c r="BU31"/>
  <c r="BY31"/>
  <c r="BT35"/>
  <c r="BW35" s="1"/>
  <c r="BU35"/>
  <c r="BX35" s="1"/>
  <c r="BY35"/>
  <c r="BT18"/>
  <c r="BW18" s="1"/>
  <c r="BU18"/>
  <c r="BX18" s="1"/>
  <c r="BY18"/>
  <c r="BT26"/>
  <c r="BW26" s="1"/>
  <c r="BU26"/>
  <c r="BX26" s="1"/>
  <c r="BY26"/>
  <c r="BW27"/>
  <c r="BX27"/>
  <c r="BY27"/>
  <c r="BW30"/>
  <c r="BX30"/>
  <c r="BY30"/>
  <c r="BW29"/>
  <c r="BX29"/>
  <c r="BY29"/>
  <c r="BT32"/>
  <c r="BW32" s="1"/>
  <c r="BU32"/>
  <c r="BX32" s="1"/>
  <c r="BY32"/>
  <c r="BW34"/>
  <c r="BX34"/>
  <c r="BY34"/>
  <c r="BW38"/>
  <c r="BU38"/>
  <c r="BX38" s="1"/>
  <c r="BY38"/>
  <c r="BT39"/>
  <c r="BW39" s="1"/>
  <c r="BU39"/>
  <c r="BX39" s="1"/>
  <c r="BY39"/>
  <c r="BW49"/>
  <c r="BU49"/>
  <c r="BX49" s="1"/>
  <c r="BY49"/>
  <c r="BT40"/>
  <c r="BW40" s="1"/>
  <c r="BU40"/>
  <c r="BX40" s="1"/>
  <c r="BY40"/>
  <c r="BT41"/>
  <c r="BW41" s="1"/>
  <c r="BU41"/>
  <c r="BX41" s="1"/>
  <c r="BY41"/>
  <c r="BT43"/>
  <c r="BW43" s="1"/>
  <c r="BU43"/>
  <c r="BX43" s="1"/>
  <c r="BY43"/>
  <c r="BT42"/>
  <c r="BU42"/>
  <c r="BY42"/>
  <c r="BU37"/>
  <c r="BV37"/>
  <c r="BT37"/>
  <c r="CI45"/>
  <c r="BF45"/>
  <c r="BE12"/>
  <c r="BF12"/>
  <c r="BE14"/>
  <c r="CI14" s="1"/>
  <c r="BF14"/>
  <c r="BE15"/>
  <c r="CI15" s="1"/>
  <c r="BF15"/>
  <c r="CJ15" s="1"/>
  <c r="BE16"/>
  <c r="BF16"/>
  <c r="BE23"/>
  <c r="BF23"/>
  <c r="BI23" s="1"/>
  <c r="BE31"/>
  <c r="BF31"/>
  <c r="BE35"/>
  <c r="BF35"/>
  <c r="BE20"/>
  <c r="CI20" s="1"/>
  <c r="BF20"/>
  <c r="BE18"/>
  <c r="BF18"/>
  <c r="BE24"/>
  <c r="BF24"/>
  <c r="BE26"/>
  <c r="BF26"/>
  <c r="BE27"/>
  <c r="BF27"/>
  <c r="BE28"/>
  <c r="BF28"/>
  <c r="BE30"/>
  <c r="BF30"/>
  <c r="BE29"/>
  <c r="CI29" s="1"/>
  <c r="BF29"/>
  <c r="BE46"/>
  <c r="BH46" s="1"/>
  <c r="BF46"/>
  <c r="BE32"/>
  <c r="BF32"/>
  <c r="BE33"/>
  <c r="BF33"/>
  <c r="CJ33" s="1"/>
  <c r="BE34"/>
  <c r="BF34"/>
  <c r="BE47"/>
  <c r="BF47"/>
  <c r="CJ47" s="1"/>
  <c r="BE36"/>
  <c r="BF36"/>
  <c r="BE38"/>
  <c r="BH38" s="1"/>
  <c r="BF38"/>
  <c r="BI38" s="1"/>
  <c r="BE39"/>
  <c r="BF39"/>
  <c r="BE48"/>
  <c r="CI48" s="1"/>
  <c r="BF48"/>
  <c r="CJ48" s="1"/>
  <c r="BE49"/>
  <c r="CI49" s="1"/>
  <c r="BF49"/>
  <c r="BE40"/>
  <c r="BF40"/>
  <c r="BE41"/>
  <c r="BF41"/>
  <c r="BE50"/>
  <c r="BF50"/>
  <c r="BE43"/>
  <c r="BF43"/>
  <c r="BE42"/>
  <c r="BF42"/>
  <c r="BH37"/>
  <c r="R1"/>
  <c r="AG1" s="1"/>
  <c r="AV1" s="1"/>
  <c r="DY51" l="1"/>
  <c r="CF51"/>
  <c r="DO51"/>
  <c r="DR51" s="1"/>
  <c r="BZ51"/>
  <c r="DZ51"/>
  <c r="DT51"/>
  <c r="BE51"/>
  <c r="BH51" s="1"/>
  <c r="BF51"/>
  <c r="BI51" s="1"/>
  <c r="BT51"/>
  <c r="BV51"/>
  <c r="BY51" s="1"/>
  <c r="BX12"/>
  <c r="BU51"/>
  <c r="BX51" s="1"/>
  <c r="DA14"/>
  <c r="CX51"/>
  <c r="DA51" s="1"/>
  <c r="CA51"/>
  <c r="CG51"/>
  <c r="EM51"/>
  <c r="DW51"/>
  <c r="DN51"/>
  <c r="DQ51" s="1"/>
  <c r="DP26"/>
  <c r="DM51"/>
  <c r="DP51" s="1"/>
  <c r="DV51"/>
  <c r="CD51"/>
  <c r="CC51"/>
  <c r="CJ18"/>
  <c r="CJ49"/>
  <c r="ER49" s="1"/>
  <c r="EX49" s="1"/>
  <c r="DQ30"/>
  <c r="EC30"/>
  <c r="CI18"/>
  <c r="EQ18" s="1"/>
  <c r="EW18" s="1"/>
  <c r="DP30"/>
  <c r="EB30"/>
  <c r="CJ31"/>
  <c r="CJ39"/>
  <c r="DP37"/>
  <c r="DU37"/>
  <c r="DA37"/>
  <c r="EA37"/>
  <c r="EA51" s="1"/>
  <c r="BW37"/>
  <c r="BW51"/>
  <c r="CJ43"/>
  <c r="CJ12"/>
  <c r="CI41"/>
  <c r="EQ41" s="1"/>
  <c r="EW41" s="1"/>
  <c r="CJ32"/>
  <c r="CM32" s="1"/>
  <c r="BH50"/>
  <c r="CI50"/>
  <c r="BH47"/>
  <c r="CI47"/>
  <c r="BH27"/>
  <c r="CI27"/>
  <c r="BH35"/>
  <c r="CI35"/>
  <c r="BH23"/>
  <c r="CI23"/>
  <c r="BH12"/>
  <c r="CI12"/>
  <c r="BW42"/>
  <c r="DQ42"/>
  <c r="DA42"/>
  <c r="BI42"/>
  <c r="CJ42"/>
  <c r="BI40"/>
  <c r="CJ40"/>
  <c r="BI35"/>
  <c r="CJ35"/>
  <c r="ER35" s="1"/>
  <c r="EX35" s="1"/>
  <c r="BI36"/>
  <c r="CJ36"/>
  <c r="BI34"/>
  <c r="CJ34"/>
  <c r="BI29"/>
  <c r="CJ29"/>
  <c r="BI28"/>
  <c r="CJ28"/>
  <c r="BI26"/>
  <c r="CJ26"/>
  <c r="BI24"/>
  <c r="CJ24"/>
  <c r="BI20"/>
  <c r="CJ20"/>
  <c r="BI16"/>
  <c r="CJ16"/>
  <c r="BI14"/>
  <c r="CJ14"/>
  <c r="BI45"/>
  <c r="CJ45"/>
  <c r="DP42"/>
  <c r="CJ41"/>
  <c r="BH42"/>
  <c r="CI42"/>
  <c r="BH40"/>
  <c r="CI40"/>
  <c r="BH33"/>
  <c r="CI33"/>
  <c r="EQ33" s="1"/>
  <c r="EW33" s="1"/>
  <c r="BH30"/>
  <c r="CI30"/>
  <c r="BI50"/>
  <c r="CJ50"/>
  <c r="BI30"/>
  <c r="CJ30"/>
  <c r="CM30" s="1"/>
  <c r="BI27"/>
  <c r="CJ27"/>
  <c r="BI18"/>
  <c r="BX42"/>
  <c r="DB42"/>
  <c r="BH43"/>
  <c r="CI43"/>
  <c r="BH39"/>
  <c r="CI39"/>
  <c r="BH36"/>
  <c r="CI36"/>
  <c r="BH34"/>
  <c r="CI34"/>
  <c r="BH28"/>
  <c r="CI28"/>
  <c r="BH26"/>
  <c r="CI26"/>
  <c r="BH24"/>
  <c r="CI24"/>
  <c r="BH31"/>
  <c r="CI31"/>
  <c r="BH16"/>
  <c r="CI16"/>
  <c r="CI32"/>
  <c r="EQ32" s="1"/>
  <c r="EW32" s="1"/>
  <c r="BX37"/>
  <c r="DR37"/>
  <c r="DB37"/>
  <c r="BY37"/>
  <c r="DP12"/>
  <c r="BW12"/>
  <c r="DA12"/>
  <c r="BI37"/>
  <c r="DQ37"/>
  <c r="BK1"/>
  <c r="BZ1" s="1"/>
  <c r="CL48"/>
  <c r="EQ20"/>
  <c r="EW20" s="1"/>
  <c r="CL15"/>
  <c r="DC41"/>
  <c r="DC24"/>
  <c r="CM15"/>
  <c r="DC50"/>
  <c r="DC28"/>
  <c r="ER33"/>
  <c r="EX33" s="1"/>
  <c r="EQ49"/>
  <c r="EW49" s="1"/>
  <c r="CM48"/>
  <c r="ER48"/>
  <c r="EX48" s="1"/>
  <c r="CI38"/>
  <c r="CL29"/>
  <c r="CJ46"/>
  <c r="EC43"/>
  <c r="DC49"/>
  <c r="EB15"/>
  <c r="EB28"/>
  <c r="EB20"/>
  <c r="EB47"/>
  <c r="EC28"/>
  <c r="EB41"/>
  <c r="EC47"/>
  <c r="EB32"/>
  <c r="EB18"/>
  <c r="EZ18" s="1"/>
  <c r="FF18" s="1"/>
  <c r="EC12"/>
  <c r="EC41"/>
  <c r="EB48"/>
  <c r="EB26"/>
  <c r="EC31"/>
  <c r="EB33"/>
  <c r="EZ33" s="1"/>
  <c r="FF33" s="1"/>
  <c r="DC18"/>
  <c r="EB49"/>
  <c r="EZ49" s="1"/>
  <c r="FF49" s="1"/>
  <c r="DC26"/>
  <c r="CZ37"/>
  <c r="CZ51" s="1"/>
  <c r="DC33"/>
  <c r="DC36"/>
  <c r="FH30"/>
  <c r="DC30"/>
  <c r="CI46"/>
  <c r="EC14"/>
  <c r="EC15"/>
  <c r="EC16"/>
  <c r="EC23"/>
  <c r="EC35"/>
  <c r="EC20"/>
  <c r="EC27"/>
  <c r="EC29"/>
  <c r="EC32"/>
  <c r="EC34"/>
  <c r="FA34" s="1"/>
  <c r="EC36"/>
  <c r="EC38"/>
  <c r="EC48"/>
  <c r="EC40"/>
  <c r="FA40" s="1"/>
  <c r="FG40" s="1"/>
  <c r="EC50"/>
  <c r="DB43"/>
  <c r="DA48"/>
  <c r="DA32"/>
  <c r="DA20"/>
  <c r="DB31"/>
  <c r="DB12"/>
  <c r="BI43"/>
  <c r="BH48"/>
  <c r="BH32"/>
  <c r="BH20"/>
  <c r="BI31"/>
  <c r="BH15"/>
  <c r="BI12"/>
  <c r="CJ37"/>
  <c r="CJ23"/>
  <c r="DX37"/>
  <c r="DX51" s="1"/>
  <c r="EB14"/>
  <c r="EB16"/>
  <c r="EB23"/>
  <c r="EB35"/>
  <c r="EB27"/>
  <c r="EB29"/>
  <c r="EB34"/>
  <c r="EZ34" s="1"/>
  <c r="EB36"/>
  <c r="EZ36" s="1"/>
  <c r="EB38"/>
  <c r="EB40"/>
  <c r="EB50"/>
  <c r="EC42"/>
  <c r="DA41"/>
  <c r="DA47"/>
  <c r="DA28"/>
  <c r="BH41"/>
  <c r="BI48"/>
  <c r="BI32"/>
  <c r="BI15"/>
  <c r="CI37"/>
  <c r="EB42"/>
  <c r="DB41"/>
  <c r="DB47"/>
  <c r="DB28"/>
  <c r="BI41"/>
  <c r="BI47"/>
  <c r="BH29"/>
  <c r="BH14"/>
  <c r="CJ38"/>
  <c r="DA49"/>
  <c r="DA33"/>
  <c r="DA26"/>
  <c r="DA18"/>
  <c r="BH49"/>
  <c r="BH18"/>
  <c r="EC37"/>
  <c r="EC18"/>
  <c r="EC24"/>
  <c r="EC26"/>
  <c r="EC46"/>
  <c r="EC33"/>
  <c r="EC39"/>
  <c r="EC49"/>
  <c r="BI49"/>
  <c r="BI33"/>
  <c r="BH45"/>
  <c r="EB37"/>
  <c r="EB12"/>
  <c r="EB31"/>
  <c r="EB24"/>
  <c r="EB46"/>
  <c r="EB39"/>
  <c r="EB43"/>
  <c r="BI39"/>
  <c r="BI46"/>
  <c r="CO1"/>
  <c r="DU51" l="1"/>
  <c r="EC51"/>
  <c r="EZ26"/>
  <c r="EB51"/>
  <c r="CJ51"/>
  <c r="CL28"/>
  <c r="CI51"/>
  <c r="DB51"/>
  <c r="DC51"/>
  <c r="ER32"/>
  <c r="EX32" s="1"/>
  <c r="ED37"/>
  <c r="ED51" s="1"/>
  <c r="EQ15"/>
  <c r="EW15" s="1"/>
  <c r="DD1"/>
  <c r="DS1" s="1"/>
  <c r="EF40"/>
  <c r="CL32"/>
  <c r="CM33"/>
  <c r="EQ48"/>
  <c r="EW48" s="1"/>
  <c r="DC39"/>
  <c r="ER15"/>
  <c r="EX15" s="1"/>
  <c r="DC23"/>
  <c r="CM49"/>
  <c r="EG24"/>
  <c r="CL20"/>
  <c r="DC46"/>
  <c r="DC47"/>
  <c r="EE26"/>
  <c r="CL41"/>
  <c r="EE33"/>
  <c r="EG30"/>
  <c r="CL49"/>
  <c r="EE18"/>
  <c r="EE49"/>
  <c r="CL18"/>
  <c r="CL33"/>
  <c r="CL16"/>
  <c r="EQ16"/>
  <c r="EW16" s="1"/>
  <c r="EE37"/>
  <c r="EZ37"/>
  <c r="EE24"/>
  <c r="EZ24"/>
  <c r="FF24" s="1"/>
  <c r="EF18"/>
  <c r="FA18"/>
  <c r="FG18" s="1"/>
  <c r="CM18"/>
  <c r="ER18"/>
  <c r="EX18" s="1"/>
  <c r="CM36"/>
  <c r="ER36"/>
  <c r="EX36" s="1"/>
  <c r="EE40"/>
  <c r="EZ40"/>
  <c r="FF40" s="1"/>
  <c r="EE29"/>
  <c r="EZ29"/>
  <c r="FF29" s="1"/>
  <c r="CM26"/>
  <c r="ER26"/>
  <c r="EX26" s="1"/>
  <c r="EF36"/>
  <c r="FA36"/>
  <c r="FG36" s="1"/>
  <c r="CM28"/>
  <c r="ER28"/>
  <c r="EG36"/>
  <c r="FH36"/>
  <c r="EF31"/>
  <c r="FA31"/>
  <c r="FG31" s="1"/>
  <c r="EE41"/>
  <c r="EZ41"/>
  <c r="FF41" s="1"/>
  <c r="CL45"/>
  <c r="EQ45"/>
  <c r="EW45" s="1"/>
  <c r="CM43"/>
  <c r="ER43"/>
  <c r="EX43" s="1"/>
  <c r="EE12"/>
  <c r="EZ12"/>
  <c r="FF12" s="1"/>
  <c r="EF24"/>
  <c r="FA24"/>
  <c r="FG24" s="1"/>
  <c r="CL30"/>
  <c r="EQ30"/>
  <c r="EW30" s="1"/>
  <c r="CM38"/>
  <c r="ER38"/>
  <c r="EX38" s="1"/>
  <c r="CL24"/>
  <c r="EQ24"/>
  <c r="EW24" s="1"/>
  <c r="EE14"/>
  <c r="EZ14"/>
  <c r="FF14" s="1"/>
  <c r="EQ28"/>
  <c r="CM37"/>
  <c r="ER37"/>
  <c r="EF38"/>
  <c r="FA38"/>
  <c r="FG38" s="1"/>
  <c r="EF14"/>
  <c r="FA14"/>
  <c r="FG14" s="1"/>
  <c r="CL12"/>
  <c r="EQ12"/>
  <c r="EW12" s="1"/>
  <c r="EF47"/>
  <c r="FA47"/>
  <c r="FG47" s="1"/>
  <c r="EE28"/>
  <c r="EZ28"/>
  <c r="CM31"/>
  <c r="ER31"/>
  <c r="EX31" s="1"/>
  <c r="EF26"/>
  <c r="FA26"/>
  <c r="FG26" s="1"/>
  <c r="CL34"/>
  <c r="EQ34"/>
  <c r="EW34" s="1"/>
  <c r="CL26"/>
  <c r="EQ26"/>
  <c r="EW26" s="1"/>
  <c r="EE50"/>
  <c r="EZ50"/>
  <c r="EE34"/>
  <c r="FF34"/>
  <c r="EF48"/>
  <c r="FA48"/>
  <c r="FG48" s="1"/>
  <c r="EF15"/>
  <c r="FA15"/>
  <c r="FG15" s="1"/>
  <c r="CL46"/>
  <c r="EQ46"/>
  <c r="EE32"/>
  <c r="EZ32"/>
  <c r="FF32" s="1"/>
  <c r="EF43"/>
  <c r="FA43"/>
  <c r="FG43" s="1"/>
  <c r="CM41"/>
  <c r="ER41"/>
  <c r="EX41" s="1"/>
  <c r="EE43"/>
  <c r="EZ43"/>
  <c r="FF43" s="1"/>
  <c r="EE46"/>
  <c r="EZ46"/>
  <c r="EF46"/>
  <c r="FA46"/>
  <c r="CM14"/>
  <c r="ER14"/>
  <c r="EX14" s="1"/>
  <c r="CL40"/>
  <c r="EQ40"/>
  <c r="EW40" s="1"/>
  <c r="CM23"/>
  <c r="ER23"/>
  <c r="EX23" s="1"/>
  <c r="EF27"/>
  <c r="FA27"/>
  <c r="FG27" s="1"/>
  <c r="EF16"/>
  <c r="FA16"/>
  <c r="FG16" s="1"/>
  <c r="EG47"/>
  <c r="FH47"/>
  <c r="EE20"/>
  <c r="EZ20"/>
  <c r="FF20" s="1"/>
  <c r="CM39"/>
  <c r="ER39"/>
  <c r="EX39" s="1"/>
  <c r="CL27"/>
  <c r="EQ27"/>
  <c r="EW27" s="1"/>
  <c r="CL36"/>
  <c r="EQ36"/>
  <c r="EW36" s="1"/>
  <c r="EF42"/>
  <c r="FA42"/>
  <c r="EE16"/>
  <c r="EZ16"/>
  <c r="FF16" s="1"/>
  <c r="CL43"/>
  <c r="EQ43"/>
  <c r="EW43" s="1"/>
  <c r="EE31"/>
  <c r="EZ31"/>
  <c r="FF31" s="1"/>
  <c r="CL31"/>
  <c r="EQ31"/>
  <c r="EW31" s="1"/>
  <c r="EF33"/>
  <c r="FA33"/>
  <c r="FG33" s="1"/>
  <c r="EF37"/>
  <c r="FA37"/>
  <c r="CM16"/>
  <c r="ER16"/>
  <c r="EX16" s="1"/>
  <c r="CL50"/>
  <c r="EQ50"/>
  <c r="EE36"/>
  <c r="FF36"/>
  <c r="CM40"/>
  <c r="ER40"/>
  <c r="EX40" s="1"/>
  <c r="FA50"/>
  <c r="EF30"/>
  <c r="FA30"/>
  <c r="FG30" s="1"/>
  <c r="EF23"/>
  <c r="FA23"/>
  <c r="FG23" s="1"/>
  <c r="CL47"/>
  <c r="EQ47"/>
  <c r="EW47" s="1"/>
  <c r="EF12"/>
  <c r="FA12"/>
  <c r="FG12" s="1"/>
  <c r="EE47"/>
  <c r="EZ47"/>
  <c r="FF47" s="1"/>
  <c r="CM47"/>
  <c r="ER47"/>
  <c r="EX47" s="1"/>
  <c r="CL38"/>
  <c r="EQ38"/>
  <c r="EW38" s="1"/>
  <c r="CM35"/>
  <c r="EF39"/>
  <c r="FA39"/>
  <c r="FG39" s="1"/>
  <c r="CM45"/>
  <c r="ER45"/>
  <c r="EX45" s="1"/>
  <c r="ER30"/>
  <c r="EX30" s="1"/>
  <c r="EE42"/>
  <c r="EZ42"/>
  <c r="EE38"/>
  <c r="EZ38"/>
  <c r="FF38" s="1"/>
  <c r="EE27"/>
  <c r="EZ27"/>
  <c r="FF27" s="1"/>
  <c r="EE23"/>
  <c r="EZ23"/>
  <c r="FF23" s="1"/>
  <c r="CM50"/>
  <c r="ER50"/>
  <c r="CL35"/>
  <c r="EQ35"/>
  <c r="EW35" s="1"/>
  <c r="EF29"/>
  <c r="FA29"/>
  <c r="FG29" s="1"/>
  <c r="EF35"/>
  <c r="FA35"/>
  <c r="FG35" s="1"/>
  <c r="EG39"/>
  <c r="FH39"/>
  <c r="EG28"/>
  <c r="EF41"/>
  <c r="FA41"/>
  <c r="FG41" s="1"/>
  <c r="EF28"/>
  <c r="FA28"/>
  <c r="CM46"/>
  <c r="ER46"/>
  <c r="EQ29"/>
  <c r="EW29" s="1"/>
  <c r="CM27"/>
  <c r="ER27"/>
  <c r="EX27" s="1"/>
  <c r="CM29"/>
  <c r="ER29"/>
  <c r="EX29" s="1"/>
  <c r="CL37"/>
  <c r="EQ37"/>
  <c r="EE35"/>
  <c r="EZ35"/>
  <c r="FF35" s="1"/>
  <c r="CL42"/>
  <c r="EQ42"/>
  <c r="EF32"/>
  <c r="FA32"/>
  <c r="FG32" s="1"/>
  <c r="EF20"/>
  <c r="FA20"/>
  <c r="FG20" s="1"/>
  <c r="CL39"/>
  <c r="EQ39"/>
  <c r="EW39" s="1"/>
  <c r="CM20"/>
  <c r="ER20"/>
  <c r="EX20" s="1"/>
  <c r="EG23"/>
  <c r="FH23"/>
  <c r="EE48"/>
  <c r="EZ48"/>
  <c r="FF48" s="1"/>
  <c r="EZ15"/>
  <c r="EE39"/>
  <c r="EZ39"/>
  <c r="FF39" s="1"/>
  <c r="FA49"/>
  <c r="CM34"/>
  <c r="ER34"/>
  <c r="EX34" s="1"/>
  <c r="CL23"/>
  <c r="EQ23"/>
  <c r="EW23" s="1"/>
  <c r="EE30"/>
  <c r="EZ30"/>
  <c r="FF30" s="1"/>
  <c r="CM24"/>
  <c r="ER24"/>
  <c r="EX24" s="1"/>
  <c r="EF34"/>
  <c r="FG34"/>
  <c r="CM42"/>
  <c r="ER42"/>
  <c r="EG41"/>
  <c r="FH41"/>
  <c r="EG46"/>
  <c r="CL14"/>
  <c r="EQ14"/>
  <c r="EW14" s="1"/>
  <c r="CM12"/>
  <c r="ER12"/>
  <c r="EX12" s="1"/>
  <c r="DC37"/>
  <c r="DC32"/>
  <c r="DC42"/>
  <c r="DC38"/>
  <c r="DC20"/>
  <c r="DC40"/>
  <c r="DC29"/>
  <c r="DC15"/>
  <c r="DC34"/>
  <c r="DC27"/>
  <c r="DC35"/>
  <c r="DC31"/>
  <c r="DC14"/>
  <c r="DC12"/>
  <c r="DC16"/>
  <c r="DC48"/>
  <c r="DC43"/>
  <c r="CH37"/>
  <c r="CH51" s="1"/>
  <c r="AX37"/>
  <c r="AX51" s="1"/>
  <c r="AG14"/>
  <c r="AH14"/>
  <c r="AJ14"/>
  <c r="AK14"/>
  <c r="AM14"/>
  <c r="AN14"/>
  <c r="AG15"/>
  <c r="AH15"/>
  <c r="AJ15"/>
  <c r="AK15"/>
  <c r="AJ16"/>
  <c r="AK16"/>
  <c r="AG17"/>
  <c r="AH17"/>
  <c r="AJ17"/>
  <c r="AK17"/>
  <c r="AG23"/>
  <c r="AH23"/>
  <c r="AJ23"/>
  <c r="AK23"/>
  <c r="AM23"/>
  <c r="AN23"/>
  <c r="AG31"/>
  <c r="AH31"/>
  <c r="AJ31"/>
  <c r="AK31"/>
  <c r="AM31"/>
  <c r="AN31"/>
  <c r="AG35"/>
  <c r="AH35"/>
  <c r="AJ35"/>
  <c r="AK35"/>
  <c r="AM35"/>
  <c r="AN35"/>
  <c r="AG20"/>
  <c r="AH20"/>
  <c r="AJ20"/>
  <c r="AK20"/>
  <c r="AM20"/>
  <c r="AN20"/>
  <c r="AG19"/>
  <c r="AH19"/>
  <c r="AJ19"/>
  <c r="AK19"/>
  <c r="AG24"/>
  <c r="AH24"/>
  <c r="AJ24"/>
  <c r="AK24"/>
  <c r="AM24"/>
  <c r="AN24"/>
  <c r="AG25"/>
  <c r="AH25"/>
  <c r="AJ25"/>
  <c r="AK25"/>
  <c r="AG26"/>
  <c r="AH26"/>
  <c r="AJ26"/>
  <c r="AK26"/>
  <c r="AG27"/>
  <c r="AH27"/>
  <c r="AJ27"/>
  <c r="AK27"/>
  <c r="AM27"/>
  <c r="AN27"/>
  <c r="AG28"/>
  <c r="AH28"/>
  <c r="AJ28"/>
  <c r="AK28"/>
  <c r="AM28"/>
  <c r="AN28"/>
  <c r="AG30"/>
  <c r="AH30"/>
  <c r="AJ30"/>
  <c r="AK30"/>
  <c r="AM30"/>
  <c r="AN30"/>
  <c r="AG29"/>
  <c r="AH29"/>
  <c r="AJ29"/>
  <c r="AK29"/>
  <c r="AM29"/>
  <c r="AN29"/>
  <c r="AG46"/>
  <c r="AH46"/>
  <c r="AJ46"/>
  <c r="AK46"/>
  <c r="AM46"/>
  <c r="AN46"/>
  <c r="AG32"/>
  <c r="AH32"/>
  <c r="AJ32"/>
  <c r="AK32"/>
  <c r="AG33"/>
  <c r="AH33"/>
  <c r="AJ33"/>
  <c r="AK33"/>
  <c r="AM33"/>
  <c r="AN33"/>
  <c r="AG34"/>
  <c r="AH34"/>
  <c r="AJ34"/>
  <c r="AK34"/>
  <c r="AG47"/>
  <c r="AH47"/>
  <c r="AJ47"/>
  <c r="AK47"/>
  <c r="AM47"/>
  <c r="AN47"/>
  <c r="AG36"/>
  <c r="AH36"/>
  <c r="AJ36"/>
  <c r="AK36"/>
  <c r="AM36"/>
  <c r="AN36"/>
  <c r="AG44"/>
  <c r="AH44"/>
  <c r="AJ44"/>
  <c r="AK44"/>
  <c r="AM44"/>
  <c r="AN44"/>
  <c r="AG38"/>
  <c r="AH38"/>
  <c r="AJ38"/>
  <c r="AK38"/>
  <c r="AG39"/>
  <c r="AH39"/>
  <c r="AJ39"/>
  <c r="AK39"/>
  <c r="AG48"/>
  <c r="AH48"/>
  <c r="AJ48"/>
  <c r="AK48"/>
  <c r="AM48"/>
  <c r="AN48"/>
  <c r="AG49"/>
  <c r="AH49"/>
  <c r="AJ49"/>
  <c r="AK49"/>
  <c r="AG40"/>
  <c r="AH40"/>
  <c r="AJ40"/>
  <c r="AK40"/>
  <c r="AM40"/>
  <c r="AN40"/>
  <c r="AG41"/>
  <c r="AH41"/>
  <c r="AJ41"/>
  <c r="AK41"/>
  <c r="AG50"/>
  <c r="AH50"/>
  <c r="AJ50"/>
  <c r="AK50"/>
  <c r="AG43"/>
  <c r="AH43"/>
  <c r="AJ43"/>
  <c r="AK43"/>
  <c r="AG42"/>
  <c r="AH42"/>
  <c r="AJ42"/>
  <c r="AK42"/>
  <c r="AG45"/>
  <c r="AH45"/>
  <c r="AJ45"/>
  <c r="AK45"/>
  <c r="AM45"/>
  <c r="AN45"/>
  <c r="AG12"/>
  <c r="AH12"/>
  <c r="AJ12"/>
  <c r="AK12"/>
  <c r="AH37"/>
  <c r="AI37"/>
  <c r="AJ37"/>
  <c r="AK37"/>
  <c r="AL37"/>
  <c r="AL51" s="1"/>
  <c r="AM37"/>
  <c r="AN37"/>
  <c r="AO37"/>
  <c r="AO51" s="1"/>
  <c r="AG37"/>
  <c r="AB42"/>
  <c r="AA42"/>
  <c r="AB43"/>
  <c r="AE43" s="1"/>
  <c r="AA43"/>
  <c r="AD43" s="1"/>
  <c r="AB50"/>
  <c r="AE50" s="1"/>
  <c r="AA50"/>
  <c r="AD50" s="1"/>
  <c r="AB41"/>
  <c r="AE41" s="1"/>
  <c r="AA41"/>
  <c r="AD41" s="1"/>
  <c r="AB40"/>
  <c r="AE40" s="1"/>
  <c r="AA40"/>
  <c r="AD40" s="1"/>
  <c r="AB49"/>
  <c r="AE49" s="1"/>
  <c r="AA49"/>
  <c r="AD49" s="1"/>
  <c r="AB39"/>
  <c r="AE39" s="1"/>
  <c r="AA39"/>
  <c r="AD39" s="1"/>
  <c r="AB38"/>
  <c r="AE38" s="1"/>
  <c r="AA38"/>
  <c r="AD38" s="1"/>
  <c r="AB44"/>
  <c r="AA44"/>
  <c r="AD44" s="1"/>
  <c r="AB34"/>
  <c r="AE34" s="1"/>
  <c r="AA34"/>
  <c r="AD34" s="1"/>
  <c r="AB33"/>
  <c r="AE33" s="1"/>
  <c r="AA33"/>
  <c r="AD33" s="1"/>
  <c r="AB32"/>
  <c r="AE32" s="1"/>
  <c r="AA32"/>
  <c r="AD32" s="1"/>
  <c r="AB29"/>
  <c r="AE29" s="1"/>
  <c r="AA29"/>
  <c r="AD29" s="1"/>
  <c r="AB30"/>
  <c r="AE30" s="1"/>
  <c r="AA30"/>
  <c r="AD30" s="1"/>
  <c r="AB28"/>
  <c r="AE28" s="1"/>
  <c r="AA28"/>
  <c r="AD28" s="1"/>
  <c r="AB27"/>
  <c r="AE27" s="1"/>
  <c r="AA27"/>
  <c r="AD27" s="1"/>
  <c r="AB26"/>
  <c r="AE26" s="1"/>
  <c r="AA26"/>
  <c r="AD26" s="1"/>
  <c r="AB25"/>
  <c r="AE25" s="1"/>
  <c r="AA25"/>
  <c r="AD25" s="1"/>
  <c r="AB19"/>
  <c r="AE19" s="1"/>
  <c r="AA19"/>
  <c r="AD19" s="1"/>
  <c r="AB18"/>
  <c r="AA18"/>
  <c r="AB35"/>
  <c r="AE35" s="1"/>
  <c r="AA35"/>
  <c r="AD35" s="1"/>
  <c r="AB31"/>
  <c r="AE31" s="1"/>
  <c r="AA31"/>
  <c r="AD31" s="1"/>
  <c r="AD17"/>
  <c r="AB16"/>
  <c r="AA16"/>
  <c r="AE12"/>
  <c r="AD12"/>
  <c r="AE45"/>
  <c r="AC37"/>
  <c r="AB37"/>
  <c r="AA37"/>
  <c r="P45"/>
  <c r="Q45"/>
  <c r="P12"/>
  <c r="P15"/>
  <c r="O31"/>
  <c r="Q31"/>
  <c r="AQ24"/>
  <c r="EI24" s="1"/>
  <c r="EO24" s="1"/>
  <c r="Q24"/>
  <c r="O25"/>
  <c r="P26"/>
  <c r="O30"/>
  <c r="Q46"/>
  <c r="O32"/>
  <c r="P33"/>
  <c r="O34"/>
  <c r="O47"/>
  <c r="O36"/>
  <c r="Q39"/>
  <c r="O48"/>
  <c r="P49"/>
  <c r="O41"/>
  <c r="O50"/>
  <c r="O42"/>
  <c r="M37"/>
  <c r="N37"/>
  <c r="O37"/>
  <c r="CO4" i="1"/>
  <c r="AG51" i="5" l="1"/>
  <c r="AC51"/>
  <c r="AF51" s="1"/>
  <c r="AD16"/>
  <c r="AA51"/>
  <c r="AD51" s="1"/>
  <c r="AK51"/>
  <c r="AN51"/>
  <c r="M51"/>
  <c r="P51" s="1"/>
  <c r="AI51"/>
  <c r="AH51"/>
  <c r="N51"/>
  <c r="Q51" s="1"/>
  <c r="AE16"/>
  <c r="AB51"/>
  <c r="AE51" s="1"/>
  <c r="AJ51"/>
  <c r="AM51"/>
  <c r="FA51"/>
  <c r="FF26"/>
  <c r="EZ51"/>
  <c r="EQ51"/>
  <c r="ER51"/>
  <c r="EX51" s="1"/>
  <c r="AD18"/>
  <c r="AP18"/>
  <c r="EH18" s="1"/>
  <c r="EN18" s="1"/>
  <c r="AE18"/>
  <c r="AQ18"/>
  <c r="EI18" s="1"/>
  <c r="EO18" s="1"/>
  <c r="FB37"/>
  <c r="CL51"/>
  <c r="CM51"/>
  <c r="EF51"/>
  <c r="EG51"/>
  <c r="EE51"/>
  <c r="AD37"/>
  <c r="CB37"/>
  <c r="AD42"/>
  <c r="FG42"/>
  <c r="AP35"/>
  <c r="EH35" s="1"/>
  <c r="EN35" s="1"/>
  <c r="FF42"/>
  <c r="AE42"/>
  <c r="AQ28"/>
  <c r="EI28" s="1"/>
  <c r="EW42"/>
  <c r="EX42"/>
  <c r="AQ17"/>
  <c r="EI17" s="1"/>
  <c r="O45"/>
  <c r="AF37"/>
  <c r="EW37"/>
  <c r="FF37"/>
  <c r="AE37"/>
  <c r="FG37"/>
  <c r="EX37"/>
  <c r="EG37"/>
  <c r="AP27"/>
  <c r="EH27" s="1"/>
  <c r="EN27" s="1"/>
  <c r="FH24"/>
  <c r="AP42"/>
  <c r="EG50"/>
  <c r="AP40"/>
  <c r="AS40" s="1"/>
  <c r="EP48"/>
  <c r="AQ39"/>
  <c r="EI39" s="1"/>
  <c r="EO39" s="1"/>
  <c r="AP38"/>
  <c r="EH38" s="1"/>
  <c r="EN38" s="1"/>
  <c r="EP36"/>
  <c r="AQ47"/>
  <c r="EI47" s="1"/>
  <c r="EO47" s="1"/>
  <c r="AP29"/>
  <c r="AS29" s="1"/>
  <c r="EP50"/>
  <c r="EP20"/>
  <c r="EP41"/>
  <c r="AP49"/>
  <c r="AS49" s="1"/>
  <c r="AQ38"/>
  <c r="EI38" s="1"/>
  <c r="EO38" s="1"/>
  <c r="EP47"/>
  <c r="AP33"/>
  <c r="AS33" s="1"/>
  <c r="AQ29"/>
  <c r="EI29" s="1"/>
  <c r="EO29" s="1"/>
  <c r="AP26"/>
  <c r="AS26" s="1"/>
  <c r="AQ42"/>
  <c r="EG49"/>
  <c r="EP30"/>
  <c r="EP23"/>
  <c r="EP25"/>
  <c r="FH18"/>
  <c r="EG18"/>
  <c r="FH33"/>
  <c r="EG33"/>
  <c r="EG16"/>
  <c r="FH16"/>
  <c r="EG35"/>
  <c r="FH35"/>
  <c r="EG29"/>
  <c r="FH29"/>
  <c r="EG38"/>
  <c r="FH38"/>
  <c r="FH26"/>
  <c r="EG26"/>
  <c r="EG48"/>
  <c r="FH48"/>
  <c r="EG31"/>
  <c r="FH31"/>
  <c r="EG27"/>
  <c r="FH27"/>
  <c r="EG15"/>
  <c r="FH15"/>
  <c r="EG20"/>
  <c r="FH20"/>
  <c r="EG14"/>
  <c r="FH14"/>
  <c r="EG32"/>
  <c r="FH32"/>
  <c r="EG43"/>
  <c r="FH43"/>
  <c r="EG12"/>
  <c r="EG34"/>
  <c r="EG40"/>
  <c r="FH40"/>
  <c r="AT24"/>
  <c r="EG42"/>
  <c r="FH42"/>
  <c r="BG37"/>
  <c r="BG51" s="1"/>
  <c r="CE37"/>
  <c r="CE51" s="1"/>
  <c r="EP43"/>
  <c r="AQ48"/>
  <c r="EI48" s="1"/>
  <c r="EO48" s="1"/>
  <c r="AR37"/>
  <c r="AR51" s="1"/>
  <c r="AQ44"/>
  <c r="EI44" s="1"/>
  <c r="EP34"/>
  <c r="AP16"/>
  <c r="EH16" s="1"/>
  <c r="AP43"/>
  <c r="EH43" s="1"/>
  <c r="EN43" s="1"/>
  <c r="EP42"/>
  <c r="EP38"/>
  <c r="EP29"/>
  <c r="AQ35"/>
  <c r="EI35" s="1"/>
  <c r="AQ50"/>
  <c r="EI50" s="1"/>
  <c r="EO50" s="1"/>
  <c r="AP39"/>
  <c r="EH39" s="1"/>
  <c r="EN39" s="1"/>
  <c r="EP33"/>
  <c r="AP46"/>
  <c r="EH46" s="1"/>
  <c r="AQ30"/>
  <c r="EI30" s="1"/>
  <c r="EO30" s="1"/>
  <c r="EP26"/>
  <c r="EP49"/>
  <c r="AQ40"/>
  <c r="EI40" s="1"/>
  <c r="EO40" s="1"/>
  <c r="EP27"/>
  <c r="EP19"/>
  <c r="AP20"/>
  <c r="EH20" s="1"/>
  <c r="EN20" s="1"/>
  <c r="AP15"/>
  <c r="EH15" s="1"/>
  <c r="AQ25"/>
  <c r="EI25" s="1"/>
  <c r="EO25" s="1"/>
  <c r="AQ20"/>
  <c r="EI20" s="1"/>
  <c r="EO20" s="1"/>
  <c r="AP17"/>
  <c r="EH17" s="1"/>
  <c r="AP44"/>
  <c r="EH44" s="1"/>
  <c r="AQ34"/>
  <c r="EI34" s="1"/>
  <c r="EO34" s="1"/>
  <c r="AQ27"/>
  <c r="EI27" s="1"/>
  <c r="EO27" s="1"/>
  <c r="AQ19"/>
  <c r="EI19" s="1"/>
  <c r="EO19" s="1"/>
  <c r="AQ16"/>
  <c r="EI16" s="1"/>
  <c r="AP12"/>
  <c r="AP23"/>
  <c r="EH23" s="1"/>
  <c r="AQ37"/>
  <c r="AP24"/>
  <c r="EH24" s="1"/>
  <c r="EN24" s="1"/>
  <c r="EP18"/>
  <c r="AQ23"/>
  <c r="EI23" s="1"/>
  <c r="EP40"/>
  <c r="AQ43"/>
  <c r="EI43" s="1"/>
  <c r="EO43" s="1"/>
  <c r="AQ32"/>
  <c r="EI32" s="1"/>
  <c r="EO32" s="1"/>
  <c r="O15"/>
  <c r="P35"/>
  <c r="AQ14"/>
  <c r="EI14" s="1"/>
  <c r="Q49"/>
  <c r="AQ36"/>
  <c r="EI36" s="1"/>
  <c r="EO36" s="1"/>
  <c r="O40"/>
  <c r="Q47"/>
  <c r="P30"/>
  <c r="Q35"/>
  <c r="AP32"/>
  <c r="EH32" s="1"/>
  <c r="EN32" s="1"/>
  <c r="AP34"/>
  <c r="EH34" s="1"/>
  <c r="EN34" s="1"/>
  <c r="AQ46"/>
  <c r="EI46" s="1"/>
  <c r="AP19"/>
  <c r="EH19" s="1"/>
  <c r="Q41"/>
  <c r="P36"/>
  <c r="Q30"/>
  <c r="P50"/>
  <c r="Q36"/>
  <c r="P29"/>
  <c r="O24"/>
  <c r="Q16"/>
  <c r="AQ12"/>
  <c r="AQ31"/>
  <c r="EI31" s="1"/>
  <c r="Q50"/>
  <c r="P38"/>
  <c r="O46"/>
  <c r="P24"/>
  <c r="O23"/>
  <c r="AP48"/>
  <c r="EH48" s="1"/>
  <c r="EN48" s="1"/>
  <c r="AP30"/>
  <c r="EH30" s="1"/>
  <c r="EN30" s="1"/>
  <c r="AP28"/>
  <c r="EH28" s="1"/>
  <c r="P42"/>
  <c r="O39"/>
  <c r="P46"/>
  <c r="O26"/>
  <c r="O18"/>
  <c r="Q23"/>
  <c r="Q28"/>
  <c r="AQ41"/>
  <c r="EI41" s="1"/>
  <c r="EO41" s="1"/>
  <c r="AP14"/>
  <c r="EH14" s="1"/>
  <c r="P37"/>
  <c r="P39"/>
  <c r="O33"/>
  <c r="Q26"/>
  <c r="P18"/>
  <c r="P31"/>
  <c r="P14"/>
  <c r="AP36"/>
  <c r="EH36" s="1"/>
  <c r="EN36" s="1"/>
  <c r="Q37"/>
  <c r="O49"/>
  <c r="Q33"/>
  <c r="O27"/>
  <c r="Q14"/>
  <c r="P40"/>
  <c r="O44"/>
  <c r="P34"/>
  <c r="P27"/>
  <c r="Q12"/>
  <c r="P43"/>
  <c r="Q40"/>
  <c r="P44"/>
  <c r="Q34"/>
  <c r="Q27"/>
  <c r="Q18"/>
  <c r="P23"/>
  <c r="Q15"/>
  <c r="O14"/>
  <c r="AP37"/>
  <c r="Q43"/>
  <c r="Q44"/>
  <c r="P32"/>
  <c r="O28"/>
  <c r="AP45"/>
  <c r="EH45" s="1"/>
  <c r="EN45" s="1"/>
  <c r="AP41"/>
  <c r="EH41" s="1"/>
  <c r="EN41" s="1"/>
  <c r="AP47"/>
  <c r="EH47" s="1"/>
  <c r="EN47" s="1"/>
  <c r="AP31"/>
  <c r="EH31" s="1"/>
  <c r="P48"/>
  <c r="P25"/>
  <c r="P41"/>
  <c r="Q48"/>
  <c r="O38"/>
  <c r="P47"/>
  <c r="Q32"/>
  <c r="O29"/>
  <c r="P28"/>
  <c r="Q25"/>
  <c r="AQ45"/>
  <c r="EI45" s="1"/>
  <c r="EO45" s="1"/>
  <c r="AQ49"/>
  <c r="EI49" s="1"/>
  <c r="EO49" s="1"/>
  <c r="AQ33"/>
  <c r="EI33" s="1"/>
  <c r="EO33" s="1"/>
  <c r="AQ26"/>
  <c r="EI26" s="1"/>
  <c r="EO26" s="1"/>
  <c r="EP39"/>
  <c r="EP24"/>
  <c r="Q42"/>
  <c r="Q38"/>
  <c r="Q29"/>
  <c r="O16"/>
  <c r="P16"/>
  <c r="O12"/>
  <c r="AP50"/>
  <c r="EH50" s="1"/>
  <c r="EN50" s="1"/>
  <c r="AP25"/>
  <c r="EH25" s="1"/>
  <c r="EN25" s="1"/>
  <c r="AQ15"/>
  <c r="EI15" s="1"/>
  <c r="EH12" l="1"/>
  <c r="AP51"/>
  <c r="CB51"/>
  <c r="FB51"/>
  <c r="FH51" s="1"/>
  <c r="EI12"/>
  <c r="AQ51"/>
  <c r="FF51"/>
  <c r="EW51"/>
  <c r="FH37"/>
  <c r="AS35"/>
  <c r="BJ51"/>
  <c r="FG51"/>
  <c r="AU51"/>
  <c r="AT28"/>
  <c r="AT47"/>
  <c r="AS42"/>
  <c r="EI42"/>
  <c r="EJ37"/>
  <c r="EH37"/>
  <c r="EN37" s="1"/>
  <c r="EI37"/>
  <c r="AS27"/>
  <c r="EH40"/>
  <c r="EN40" s="1"/>
  <c r="EP32"/>
  <c r="AT42"/>
  <c r="EH49"/>
  <c r="EN49" s="1"/>
  <c r="EH29"/>
  <c r="EN29" s="1"/>
  <c r="AT38"/>
  <c r="EH42"/>
  <c r="AS38"/>
  <c r="AT29"/>
  <c r="EH33"/>
  <c r="EN33" s="1"/>
  <c r="AT39"/>
  <c r="EH26"/>
  <c r="EN26" s="1"/>
  <c r="AT46"/>
  <c r="AT27"/>
  <c r="AS25"/>
  <c r="AS37"/>
  <c r="AT25"/>
  <c r="AS16"/>
  <c r="EN16"/>
  <c r="AT15"/>
  <c r="EO15"/>
  <c r="AS31"/>
  <c r="EN31"/>
  <c r="AT41"/>
  <c r="AS28"/>
  <c r="AT37"/>
  <c r="AT16"/>
  <c r="EO16"/>
  <c r="AT23"/>
  <c r="EO23"/>
  <c r="AS48"/>
  <c r="AT50"/>
  <c r="AT45"/>
  <c r="EP15"/>
  <c r="AS24"/>
  <c r="AS12"/>
  <c r="AT20"/>
  <c r="AS20"/>
  <c r="AS46"/>
  <c r="AU37"/>
  <c r="EP31"/>
  <c r="AT49"/>
  <c r="AS36"/>
  <c r="AS14"/>
  <c r="EN14"/>
  <c r="AS17"/>
  <c r="EN17"/>
  <c r="EP16"/>
  <c r="AT30"/>
  <c r="AS18"/>
  <c r="AT44"/>
  <c r="AT35"/>
  <c r="EO35"/>
  <c r="AT33"/>
  <c r="AS32"/>
  <c r="AT14"/>
  <c r="EO14"/>
  <c r="AT43"/>
  <c r="AT18"/>
  <c r="AS44"/>
  <c r="AS15"/>
  <c r="EN15"/>
  <c r="AT26"/>
  <c r="AS34"/>
  <c r="EP35"/>
  <c r="AT34"/>
  <c r="EP17"/>
  <c r="AT32"/>
  <c r="AT40"/>
  <c r="AS50"/>
  <c r="AT36"/>
  <c r="AS45"/>
  <c r="AS23"/>
  <c r="EN23"/>
  <c r="AS41"/>
  <c r="AT12"/>
  <c r="AS47"/>
  <c r="AS30"/>
  <c r="AT31"/>
  <c r="EO31"/>
  <c r="AS19"/>
  <c r="EP14"/>
  <c r="AT19"/>
  <c r="AS39"/>
  <c r="AS43"/>
  <c r="AT48"/>
  <c r="BJ46"/>
  <c r="BJ35"/>
  <c r="BJ42"/>
  <c r="BJ23"/>
  <c r="BJ50"/>
  <c r="BJ16"/>
  <c r="BJ40"/>
  <c r="BJ33"/>
  <c r="BJ24"/>
  <c r="BJ14"/>
  <c r="BJ38"/>
  <c r="BJ45"/>
  <c r="BJ36"/>
  <c r="BJ41"/>
  <c r="BJ34"/>
  <c r="BJ26"/>
  <c r="BJ20"/>
  <c r="BJ37"/>
  <c r="CK37"/>
  <c r="CK51" s="1"/>
  <c r="BJ29"/>
  <c r="BJ31"/>
  <c r="BJ43"/>
  <c r="BJ30"/>
  <c r="BJ47"/>
  <c r="BJ27"/>
  <c r="BJ18"/>
  <c r="BJ15"/>
  <c r="BJ48"/>
  <c r="BJ39"/>
  <c r="BJ12"/>
  <c r="BJ28"/>
  <c r="BJ49"/>
  <c r="BJ32"/>
  <c r="EJ51" l="1"/>
  <c r="EP51" s="1"/>
  <c r="EN12"/>
  <c r="EH51"/>
  <c r="EN51" s="1"/>
  <c r="EO12"/>
  <c r="EI51"/>
  <c r="EO51" s="1"/>
  <c r="EP37"/>
  <c r="CN51"/>
  <c r="AT51"/>
  <c r="AS51"/>
  <c r="EN42"/>
  <c r="EO42"/>
  <c r="EO37"/>
  <c r="CN29"/>
  <c r="CN14"/>
  <c r="CN49"/>
  <c r="CN39"/>
  <c r="CN18"/>
  <c r="CN28"/>
  <c r="CN34"/>
  <c r="CN16"/>
  <c r="CN32"/>
  <c r="CN15"/>
  <c r="CN30"/>
  <c r="CN37"/>
  <c r="ES37"/>
  <c r="CN45"/>
  <c r="CN24"/>
  <c r="CN12"/>
  <c r="CN47"/>
  <c r="CN40"/>
  <c r="CN26"/>
  <c r="CN31"/>
  <c r="CN33"/>
  <c r="CN36"/>
  <c r="CN23"/>
  <c r="CN27"/>
  <c r="CN20"/>
  <c r="CN35"/>
  <c r="CN38"/>
  <c r="CN50"/>
  <c r="CN43"/>
  <c r="CN41"/>
  <c r="CN42"/>
  <c r="CN48"/>
  <c r="CN46"/>
  <c r="CD21" i="1"/>
  <c r="DJ50"/>
  <c r="DJ49"/>
  <c r="DJ48"/>
  <c r="DJ42"/>
  <c r="DJ32"/>
  <c r="DJ9"/>
  <c r="DJ39"/>
  <c r="DJ34"/>
  <c r="AZ42"/>
  <c r="S42"/>
  <c r="O42"/>
  <c r="K42"/>
  <c r="AB42" s="1"/>
  <c r="AE32"/>
  <c r="AH32"/>
  <c r="AK32"/>
  <c r="AN32"/>
  <c r="AQ32"/>
  <c r="AT32"/>
  <c r="AW32"/>
  <c r="AZ32"/>
  <c r="BC32"/>
  <c r="BF32"/>
  <c r="BI32"/>
  <c r="BL32"/>
  <c r="BM32"/>
  <c r="BN32"/>
  <c r="BP32"/>
  <c r="BQ32"/>
  <c r="BS32"/>
  <c r="BT32"/>
  <c r="BX32"/>
  <c r="CA32"/>
  <c r="CD32"/>
  <c r="CG32"/>
  <c r="CJ32"/>
  <c r="CM32"/>
  <c r="CP32"/>
  <c r="CS32"/>
  <c r="CV32"/>
  <c r="CY32"/>
  <c r="DB32"/>
  <c r="DE32"/>
  <c r="DF32"/>
  <c r="DG32"/>
  <c r="DI32"/>
  <c r="DL32"/>
  <c r="DM32"/>
  <c r="DQ32"/>
  <c r="DT32"/>
  <c r="DW32"/>
  <c r="DZ32"/>
  <c r="EC32"/>
  <c r="EF32"/>
  <c r="AE42"/>
  <c r="AH42"/>
  <c r="AK42"/>
  <c r="AN42"/>
  <c r="AQ42"/>
  <c r="AT42"/>
  <c r="AW42"/>
  <c r="BC42"/>
  <c r="BF42"/>
  <c r="BI42"/>
  <c r="BL42"/>
  <c r="BU42" s="1"/>
  <c r="BM42"/>
  <c r="BN42"/>
  <c r="BP42"/>
  <c r="BQ42"/>
  <c r="BS42"/>
  <c r="BT42"/>
  <c r="BX42"/>
  <c r="CA42"/>
  <c r="CD42"/>
  <c r="CG42"/>
  <c r="CJ42"/>
  <c r="CM42"/>
  <c r="CP42"/>
  <c r="CS42"/>
  <c r="CV42"/>
  <c r="CY42"/>
  <c r="DB42"/>
  <c r="DE42"/>
  <c r="DF42"/>
  <c r="DG42"/>
  <c r="DI42"/>
  <c r="DL42"/>
  <c r="DM42"/>
  <c r="DQ42"/>
  <c r="DT42"/>
  <c r="DW42"/>
  <c r="DZ42"/>
  <c r="EC42"/>
  <c r="EF42"/>
  <c r="T48"/>
  <c r="AB48"/>
  <c r="AE48"/>
  <c r="AH48"/>
  <c r="AK48"/>
  <c r="AN48"/>
  <c r="AQ48"/>
  <c r="AT48"/>
  <c r="AW48"/>
  <c r="AZ48"/>
  <c r="BC48"/>
  <c r="BF48"/>
  <c r="BI48"/>
  <c r="BL48"/>
  <c r="BM48"/>
  <c r="BN48"/>
  <c r="BP48"/>
  <c r="BQ48"/>
  <c r="BS48"/>
  <c r="BT48"/>
  <c r="BX48"/>
  <c r="CA48"/>
  <c r="CD48"/>
  <c r="CG48"/>
  <c r="CJ48"/>
  <c r="CM48"/>
  <c r="CP48"/>
  <c r="CS48"/>
  <c r="CV48"/>
  <c r="CY48"/>
  <c r="DB48"/>
  <c r="DE48"/>
  <c r="DF48"/>
  <c r="DG48"/>
  <c r="DI48"/>
  <c r="DL48"/>
  <c r="DM48"/>
  <c r="DQ48"/>
  <c r="DT48"/>
  <c r="DW48"/>
  <c r="DZ48"/>
  <c r="EC48"/>
  <c r="EF48"/>
  <c r="T49"/>
  <c r="AB49"/>
  <c r="AE49"/>
  <c r="AH49"/>
  <c r="AK49"/>
  <c r="AN49"/>
  <c r="AQ49"/>
  <c r="AT49"/>
  <c r="AW49"/>
  <c r="AZ49"/>
  <c r="BC49"/>
  <c r="BF49"/>
  <c r="BI49"/>
  <c r="BL49"/>
  <c r="BM49"/>
  <c r="BN49"/>
  <c r="BP49"/>
  <c r="BQ49"/>
  <c r="BS49"/>
  <c r="BT49"/>
  <c r="BX49"/>
  <c r="CA49"/>
  <c r="CD49"/>
  <c r="CG49"/>
  <c r="CJ49"/>
  <c r="CM49"/>
  <c r="CP49"/>
  <c r="CS49"/>
  <c r="CV49"/>
  <c r="CY49"/>
  <c r="DB49"/>
  <c r="DE49"/>
  <c r="DF49"/>
  <c r="DG49"/>
  <c r="DI49"/>
  <c r="DL49"/>
  <c r="DM49"/>
  <c r="DQ49"/>
  <c r="DT49"/>
  <c r="DW49"/>
  <c r="DZ49"/>
  <c r="EC49"/>
  <c r="EF49"/>
  <c r="T50"/>
  <c r="AB50"/>
  <c r="AE50"/>
  <c r="AH50"/>
  <c r="AK50"/>
  <c r="AN50"/>
  <c r="AQ50"/>
  <c r="AT50"/>
  <c r="AW50"/>
  <c r="AZ50"/>
  <c r="BC50"/>
  <c r="BF50"/>
  <c r="BI50"/>
  <c r="BL50"/>
  <c r="BM50"/>
  <c r="BN50"/>
  <c r="BP50"/>
  <c r="BQ50"/>
  <c r="BS50"/>
  <c r="BT50"/>
  <c r="BX50"/>
  <c r="CA50"/>
  <c r="CD50"/>
  <c r="CG50"/>
  <c r="CJ50"/>
  <c r="CM50"/>
  <c r="CP50"/>
  <c r="CS50"/>
  <c r="CV50"/>
  <c r="CY50"/>
  <c r="DB50"/>
  <c r="DE50"/>
  <c r="DF50"/>
  <c r="DG50"/>
  <c r="DI50"/>
  <c r="DL50"/>
  <c r="DM50"/>
  <c r="DQ50"/>
  <c r="DT50"/>
  <c r="DW50"/>
  <c r="DZ50"/>
  <c r="EC50"/>
  <c r="EF50"/>
  <c r="S32"/>
  <c r="O32"/>
  <c r="K32"/>
  <c r="AB32" s="1"/>
  <c r="K9"/>
  <c r="AB9" s="1"/>
  <c r="K39"/>
  <c r="DE9"/>
  <c r="DE39"/>
  <c r="DB9"/>
  <c r="DB39"/>
  <c r="CY9"/>
  <c r="CY39"/>
  <c r="CV9"/>
  <c r="CV39"/>
  <c r="CV34"/>
  <c r="CS9"/>
  <c r="CS39"/>
  <c r="CS34"/>
  <c r="CP9"/>
  <c r="CP39"/>
  <c r="CP34"/>
  <c r="EF9"/>
  <c r="EC9"/>
  <c r="DZ9"/>
  <c r="DW9"/>
  <c r="DT9"/>
  <c r="DQ9"/>
  <c r="DM9"/>
  <c r="DL9"/>
  <c r="DI9"/>
  <c r="DG9"/>
  <c r="DF9"/>
  <c r="CM9"/>
  <c r="CJ9"/>
  <c r="CG9"/>
  <c r="CD9"/>
  <c r="CA9"/>
  <c r="BX9"/>
  <c r="BL9"/>
  <c r="BL39"/>
  <c r="BI9"/>
  <c r="BI39"/>
  <c r="BF9"/>
  <c r="BF39"/>
  <c r="BC9"/>
  <c r="BC39"/>
  <c r="AZ9"/>
  <c r="AZ39"/>
  <c r="AW9"/>
  <c r="AW39"/>
  <c r="AT9"/>
  <c r="AQ9"/>
  <c r="AN9"/>
  <c r="AK9"/>
  <c r="BT9"/>
  <c r="BS9"/>
  <c r="AH9"/>
  <c r="BQ9"/>
  <c r="BP9"/>
  <c r="AE9"/>
  <c r="BN9"/>
  <c r="BM9"/>
  <c r="S9"/>
  <c r="O9"/>
  <c r="S39"/>
  <c r="O39"/>
  <c r="EF39"/>
  <c r="EC39"/>
  <c r="DZ39"/>
  <c r="DW39"/>
  <c r="DT39"/>
  <c r="DQ39"/>
  <c r="DM39"/>
  <c r="DL39"/>
  <c r="DI39"/>
  <c r="DG39"/>
  <c r="DF39"/>
  <c r="CM39"/>
  <c r="CJ39"/>
  <c r="CG39"/>
  <c r="CD39"/>
  <c r="CA39"/>
  <c r="DH48" l="1"/>
  <c r="DH32"/>
  <c r="EI48"/>
  <c r="BR48"/>
  <c r="ES51" i="5"/>
  <c r="EY51" s="1"/>
  <c r="EG50" i="1"/>
  <c r="T32"/>
  <c r="EG48"/>
  <c r="DK49"/>
  <c r="EI39"/>
  <c r="BR49"/>
  <c r="EK48"/>
  <c r="EI50"/>
  <c r="T42"/>
  <c r="BR50"/>
  <c r="BU9"/>
  <c r="DN9"/>
  <c r="DH50"/>
  <c r="BU48"/>
  <c r="EK49"/>
  <c r="DK39"/>
  <c r="DN42"/>
  <c r="EY37" i="5"/>
  <c r="EK39" i="1"/>
  <c r="EG32"/>
  <c r="EJ50"/>
  <c r="EI49"/>
  <c r="EH49"/>
  <c r="DK32"/>
  <c r="DN32"/>
  <c r="DK9"/>
  <c r="DH49"/>
  <c r="DK48"/>
  <c r="EJ39"/>
  <c r="T9"/>
  <c r="BO9"/>
  <c r="DN39"/>
  <c r="EK50"/>
  <c r="EH50"/>
  <c r="BR32"/>
  <c r="EG9"/>
  <c r="EJ49"/>
  <c r="BO48"/>
  <c r="BU50"/>
  <c r="EJ48"/>
  <c r="EK9"/>
  <c r="DK50"/>
  <c r="DN50"/>
  <c r="EG49"/>
  <c r="BU49"/>
  <c r="EH32"/>
  <c r="EH9"/>
  <c r="BR9"/>
  <c r="DN49"/>
  <c r="EH48"/>
  <c r="DN48"/>
  <c r="T39"/>
  <c r="DH42"/>
  <c r="DK42"/>
  <c r="EI42"/>
  <c r="EK42"/>
  <c r="EJ42"/>
  <c r="BR42"/>
  <c r="BO42"/>
  <c r="EG42"/>
  <c r="EK32"/>
  <c r="EJ32"/>
  <c r="BU32"/>
  <c r="EI32"/>
  <c r="BO50"/>
  <c r="EH42"/>
  <c r="BO32"/>
  <c r="BO49"/>
  <c r="EJ9"/>
  <c r="EI9"/>
  <c r="EH39"/>
  <c r="DH9"/>
  <c r="BX39"/>
  <c r="DH39" s="1"/>
  <c r="BT39"/>
  <c r="BS39"/>
  <c r="BQ39"/>
  <c r="BP39"/>
  <c r="BN39"/>
  <c r="BM39"/>
  <c r="AT39"/>
  <c r="AQ39"/>
  <c r="AN39"/>
  <c r="AK39"/>
  <c r="BU39" s="1"/>
  <c r="AH39"/>
  <c r="BR39" s="1"/>
  <c r="AE39"/>
  <c r="BO39" s="1"/>
  <c r="AB39"/>
  <c r="EF34"/>
  <c r="EC34"/>
  <c r="DZ34"/>
  <c r="DW34"/>
  <c r="DT34"/>
  <c r="DQ34"/>
  <c r="DM34"/>
  <c r="DL34"/>
  <c r="DI34"/>
  <c r="DG34"/>
  <c r="DF34"/>
  <c r="DE34"/>
  <c r="DB34"/>
  <c r="CY34"/>
  <c r="CM34"/>
  <c r="CJ34"/>
  <c r="CG34"/>
  <c r="CD34"/>
  <c r="CA34"/>
  <c r="BX34"/>
  <c r="BC34"/>
  <c r="BK34"/>
  <c r="BT34" s="1"/>
  <c r="BJ34"/>
  <c r="BS34" s="1"/>
  <c r="AZ34"/>
  <c r="BH34"/>
  <c r="BQ34" s="1"/>
  <c r="BG34"/>
  <c r="BP34" s="1"/>
  <c r="AW34"/>
  <c r="BE34"/>
  <c r="BN34" s="1"/>
  <c r="BD34"/>
  <c r="BM34" s="1"/>
  <c r="AT34"/>
  <c r="AQ34"/>
  <c r="AN34"/>
  <c r="AK34"/>
  <c r="AH34"/>
  <c r="AE34"/>
  <c r="S34"/>
  <c r="O34"/>
  <c r="K34"/>
  <c r="AB34" s="1"/>
  <c r="AZ26"/>
  <c r="DO25"/>
  <c r="DP25"/>
  <c r="DX25"/>
  <c r="DY25"/>
  <c r="CJ12"/>
  <c r="DO14"/>
  <c r="EF13"/>
  <c r="EC13"/>
  <c r="DZ13"/>
  <c r="DW13"/>
  <c r="DT13"/>
  <c r="DQ13"/>
  <c r="CV13"/>
  <c r="DD13"/>
  <c r="DM13" s="1"/>
  <c r="DC13"/>
  <c r="DL13" s="1"/>
  <c r="CS13"/>
  <c r="DA13"/>
  <c r="DJ13" s="1"/>
  <c r="CZ13"/>
  <c r="DI13" s="1"/>
  <c r="CP13"/>
  <c r="CX13"/>
  <c r="DG13" s="1"/>
  <c r="CW13"/>
  <c r="DF13" s="1"/>
  <c r="CM13"/>
  <c r="CJ13"/>
  <c r="CG13"/>
  <c r="CD13"/>
  <c r="CA13"/>
  <c r="BX13"/>
  <c r="BC13"/>
  <c r="BK13"/>
  <c r="BT13" s="1"/>
  <c r="BJ13"/>
  <c r="BS13" s="1"/>
  <c r="AZ13"/>
  <c r="BH13"/>
  <c r="BQ13" s="1"/>
  <c r="BG13"/>
  <c r="BP13" s="1"/>
  <c r="AW13"/>
  <c r="BE13"/>
  <c r="BN13" s="1"/>
  <c r="BD13"/>
  <c r="BM13" s="1"/>
  <c r="AT13"/>
  <c r="AQ13"/>
  <c r="AN13"/>
  <c r="AK13"/>
  <c r="AH13"/>
  <c r="AE13"/>
  <c r="S13"/>
  <c r="O13"/>
  <c r="K13"/>
  <c r="AB13" s="1"/>
  <c r="CZ28"/>
  <c r="DA28"/>
  <c r="CW28"/>
  <c r="CX28"/>
  <c r="K10"/>
  <c r="T34" l="1"/>
  <c r="DN34"/>
  <c r="CY28"/>
  <c r="T13"/>
  <c r="DK34"/>
  <c r="EG34"/>
  <c r="EG13"/>
  <c r="DH34"/>
  <c r="DB28"/>
  <c r="EG39"/>
  <c r="BL34"/>
  <c r="BU34" s="1"/>
  <c r="BI34"/>
  <c r="BR34" s="1"/>
  <c r="BF34"/>
  <c r="BO34" s="1"/>
  <c r="DE13"/>
  <c r="DN13" s="1"/>
  <c r="DB13"/>
  <c r="DK13" s="1"/>
  <c r="CY13"/>
  <c r="BL13"/>
  <c r="BU13" s="1"/>
  <c r="BI13"/>
  <c r="BR13" s="1"/>
  <c r="BF13"/>
  <c r="BO13" s="1"/>
  <c r="EJ34" l="1"/>
  <c r="EI13"/>
  <c r="EI34"/>
  <c r="EK13"/>
  <c r="EK34"/>
  <c r="EJ13"/>
  <c r="EH34"/>
  <c r="EH13"/>
  <c r="DH13"/>
  <c r="EF6" l="1"/>
  <c r="EC6"/>
  <c r="DZ6"/>
  <c r="DW6"/>
  <c r="DT6"/>
  <c r="DQ6"/>
  <c r="CV6"/>
  <c r="DD6"/>
  <c r="DM6" s="1"/>
  <c r="DC6"/>
  <c r="DL6" s="1"/>
  <c r="CS6"/>
  <c r="DA6"/>
  <c r="DJ6" s="1"/>
  <c r="CZ6"/>
  <c r="DI6" s="1"/>
  <c r="CP6"/>
  <c r="CX6"/>
  <c r="DG6" s="1"/>
  <c r="CW6"/>
  <c r="DF6" s="1"/>
  <c r="CM6"/>
  <c r="CJ6"/>
  <c r="CG6"/>
  <c r="CD6"/>
  <c r="CA6"/>
  <c r="BX6"/>
  <c r="BC6"/>
  <c r="BK6"/>
  <c r="BT6" s="1"/>
  <c r="BJ6"/>
  <c r="BS6" s="1"/>
  <c r="AZ6"/>
  <c r="BH6"/>
  <c r="BQ6" s="1"/>
  <c r="BG6"/>
  <c r="BP6" s="1"/>
  <c r="AW6"/>
  <c r="BE6"/>
  <c r="BN6" s="1"/>
  <c r="BD6"/>
  <c r="BM6" s="1"/>
  <c r="AT6"/>
  <c r="AQ6"/>
  <c r="AN6"/>
  <c r="AK6"/>
  <c r="AH6"/>
  <c r="AE6"/>
  <c r="S6"/>
  <c r="O6"/>
  <c r="K6"/>
  <c r="AB6" s="1"/>
  <c r="EF3"/>
  <c r="EC3"/>
  <c r="DZ3"/>
  <c r="DW3"/>
  <c r="DT3"/>
  <c r="DQ3"/>
  <c r="CW3"/>
  <c r="DF3" s="1"/>
  <c r="CX3"/>
  <c r="DG3" s="1"/>
  <c r="CZ3"/>
  <c r="DA3"/>
  <c r="DJ3" s="1"/>
  <c r="DC3"/>
  <c r="DD3"/>
  <c r="DM3" s="1"/>
  <c r="CP3"/>
  <c r="CS3"/>
  <c r="CV3"/>
  <c r="CM3"/>
  <c r="CJ3"/>
  <c r="CG3"/>
  <c r="CD3"/>
  <c r="CA3"/>
  <c r="BX3"/>
  <c r="BK3"/>
  <c r="BT3" s="1"/>
  <c r="BJ3"/>
  <c r="BH3"/>
  <c r="BQ3" s="1"/>
  <c r="BG3"/>
  <c r="BE3"/>
  <c r="BN3" s="1"/>
  <c r="BD3"/>
  <c r="BM3" s="1"/>
  <c r="BC3"/>
  <c r="AZ3"/>
  <c r="AW3"/>
  <c r="AT3"/>
  <c r="AQ3"/>
  <c r="AN3"/>
  <c r="AK3"/>
  <c r="AH3"/>
  <c r="AE3"/>
  <c r="S3"/>
  <c r="O3"/>
  <c r="K3"/>
  <c r="AB3" s="1"/>
  <c r="EF17"/>
  <c r="EC17"/>
  <c r="DZ17"/>
  <c r="DW17"/>
  <c r="DT17"/>
  <c r="DQ17"/>
  <c r="CZ17"/>
  <c r="DI17" s="1"/>
  <c r="DA17"/>
  <c r="DC17"/>
  <c r="DD17"/>
  <c r="DM17" s="1"/>
  <c r="CS17"/>
  <c r="CV17"/>
  <c r="CP17"/>
  <c r="CX17"/>
  <c r="DG17" s="1"/>
  <c r="CW17"/>
  <c r="DF17" s="1"/>
  <c r="CM17"/>
  <c r="CJ17"/>
  <c r="CG17"/>
  <c r="CD17"/>
  <c r="CA17"/>
  <c r="BX17"/>
  <c r="BC17"/>
  <c r="BK17"/>
  <c r="BT17" s="1"/>
  <c r="BJ17"/>
  <c r="BS17" s="1"/>
  <c r="AZ17"/>
  <c r="BH17"/>
  <c r="BQ17" s="1"/>
  <c r="BG17"/>
  <c r="BP17" s="1"/>
  <c r="AW17"/>
  <c r="BE17"/>
  <c r="BN17" s="1"/>
  <c r="BD17"/>
  <c r="BM17" s="1"/>
  <c r="AT28"/>
  <c r="AT46"/>
  <c r="AT27"/>
  <c r="AT11"/>
  <c r="AT17"/>
  <c r="AQ17"/>
  <c r="AN17"/>
  <c r="AK17"/>
  <c r="AH17"/>
  <c r="AE17"/>
  <c r="S17"/>
  <c r="O17"/>
  <c r="K17"/>
  <c r="AB17" s="1"/>
  <c r="EF11"/>
  <c r="EC11"/>
  <c r="DZ11"/>
  <c r="DW11"/>
  <c r="DT11"/>
  <c r="DQ11"/>
  <c r="CV11"/>
  <c r="DD11"/>
  <c r="DM11" s="1"/>
  <c r="DC11"/>
  <c r="DL11" s="1"/>
  <c r="CS11"/>
  <c r="DA11"/>
  <c r="DJ11" s="1"/>
  <c r="CZ11"/>
  <c r="DI11" s="1"/>
  <c r="CP11"/>
  <c r="CX11"/>
  <c r="DG11" s="1"/>
  <c r="CW11"/>
  <c r="DF11" s="1"/>
  <c r="CM11"/>
  <c r="CJ11"/>
  <c r="CG11"/>
  <c r="CD11"/>
  <c r="CA11"/>
  <c r="BX11"/>
  <c r="BC11"/>
  <c r="BK11"/>
  <c r="BT11" s="1"/>
  <c r="BJ11"/>
  <c r="BS11" s="1"/>
  <c r="AZ11"/>
  <c r="BH11"/>
  <c r="BQ11" s="1"/>
  <c r="BG11"/>
  <c r="BP11" s="1"/>
  <c r="AW11"/>
  <c r="BE11"/>
  <c r="BN11" s="1"/>
  <c r="BD11"/>
  <c r="BM11" s="1"/>
  <c r="AQ11"/>
  <c r="AN11"/>
  <c r="AK11"/>
  <c r="AH11"/>
  <c r="AE11"/>
  <c r="S11"/>
  <c r="O11"/>
  <c r="K11"/>
  <c r="AB11" s="1"/>
  <c r="EF27"/>
  <c r="EC27"/>
  <c r="DZ27"/>
  <c r="DQ27"/>
  <c r="DW27"/>
  <c r="DT27"/>
  <c r="CZ25"/>
  <c r="DA25"/>
  <c r="DC25"/>
  <c r="DD25"/>
  <c r="CW4"/>
  <c r="CX4"/>
  <c r="CZ4"/>
  <c r="DA4"/>
  <c r="DC4"/>
  <c r="DD4"/>
  <c r="CW21"/>
  <c r="CX21"/>
  <c r="CZ21"/>
  <c r="DA21"/>
  <c r="DC21"/>
  <c r="DD21"/>
  <c r="CW19"/>
  <c r="CX19"/>
  <c r="CZ19"/>
  <c r="DA19"/>
  <c r="DC19"/>
  <c r="DD19"/>
  <c r="CW26"/>
  <c r="CX26"/>
  <c r="CZ26"/>
  <c r="DA26"/>
  <c r="DC26"/>
  <c r="DD26"/>
  <c r="CW25"/>
  <c r="CX25"/>
  <c r="CW20"/>
  <c r="CX20"/>
  <c r="CZ20"/>
  <c r="DA20"/>
  <c r="DC20"/>
  <c r="DD20"/>
  <c r="CW40"/>
  <c r="CX40"/>
  <c r="CZ40"/>
  <c r="DA40"/>
  <c r="DC40"/>
  <c r="DD40"/>
  <c r="CW47"/>
  <c r="CX47"/>
  <c r="CZ47"/>
  <c r="DA47"/>
  <c r="DC47"/>
  <c r="DD47"/>
  <c r="CW33"/>
  <c r="CX33"/>
  <c r="CZ33"/>
  <c r="DA33"/>
  <c r="DC33"/>
  <c r="DD33"/>
  <c r="CW5"/>
  <c r="CX5"/>
  <c r="CZ5"/>
  <c r="DA5"/>
  <c r="DC5"/>
  <c r="DD5"/>
  <c r="CW31"/>
  <c r="CX31"/>
  <c r="DG31" s="1"/>
  <c r="CZ31"/>
  <c r="DI31" s="1"/>
  <c r="DA31"/>
  <c r="DJ31" s="1"/>
  <c r="DC31"/>
  <c r="DL31" s="1"/>
  <c r="DD31"/>
  <c r="DM31" s="1"/>
  <c r="DJ28"/>
  <c r="DC28"/>
  <c r="DD28"/>
  <c r="DM28" s="1"/>
  <c r="CW46"/>
  <c r="DF46" s="1"/>
  <c r="CX46"/>
  <c r="CZ46"/>
  <c r="DI46" s="1"/>
  <c r="DA46"/>
  <c r="DC46"/>
  <c r="DD46"/>
  <c r="DM46" s="1"/>
  <c r="CW27"/>
  <c r="CX27"/>
  <c r="DG27" s="1"/>
  <c r="CZ27"/>
  <c r="DI27" s="1"/>
  <c r="DA27"/>
  <c r="DJ27" s="1"/>
  <c r="DC27"/>
  <c r="DD27"/>
  <c r="DM27" s="1"/>
  <c r="CV27"/>
  <c r="CS27"/>
  <c r="CP27"/>
  <c r="CM27"/>
  <c r="CJ27"/>
  <c r="CG27"/>
  <c r="CD27"/>
  <c r="CA27"/>
  <c r="BX27"/>
  <c r="BG31"/>
  <c r="BP31" s="1"/>
  <c r="BH31"/>
  <c r="BQ31" s="1"/>
  <c r="BJ31"/>
  <c r="BK31"/>
  <c r="BT31" s="1"/>
  <c r="BG28"/>
  <c r="BP28" s="1"/>
  <c r="BH28"/>
  <c r="BJ28"/>
  <c r="BK28"/>
  <c r="BT28" s="1"/>
  <c r="BG46"/>
  <c r="BP46" s="1"/>
  <c r="BH46"/>
  <c r="BQ46" s="1"/>
  <c r="BJ46"/>
  <c r="BS46" s="1"/>
  <c r="BK46"/>
  <c r="BG27"/>
  <c r="BP27" s="1"/>
  <c r="BH27"/>
  <c r="BQ27" s="1"/>
  <c r="BJ27"/>
  <c r="BS27" s="1"/>
  <c r="BK27"/>
  <c r="BT27" s="1"/>
  <c r="BE31"/>
  <c r="BN31" s="1"/>
  <c r="BE28"/>
  <c r="BN28" s="1"/>
  <c r="BE46"/>
  <c r="BN46" s="1"/>
  <c r="BE27"/>
  <c r="BN27" s="1"/>
  <c r="BD31"/>
  <c r="BD28"/>
  <c r="BM28" s="1"/>
  <c r="BD46"/>
  <c r="BD27"/>
  <c r="BM27" s="1"/>
  <c r="BC27"/>
  <c r="AZ27"/>
  <c r="AW27"/>
  <c r="AQ27"/>
  <c r="AN27"/>
  <c r="AK27"/>
  <c r="AH27"/>
  <c r="AE27"/>
  <c r="S27"/>
  <c r="O27"/>
  <c r="K27"/>
  <c r="AB27" s="1"/>
  <c r="EF5"/>
  <c r="EF46"/>
  <c r="EC46"/>
  <c r="DZ46"/>
  <c r="DW46"/>
  <c r="DT46"/>
  <c r="DQ46"/>
  <c r="DG28"/>
  <c r="DI28"/>
  <c r="CV46"/>
  <c r="CS46"/>
  <c r="CP46"/>
  <c r="CM28"/>
  <c r="CM46"/>
  <c r="CJ28"/>
  <c r="CJ46"/>
  <c r="CG46"/>
  <c r="CD28"/>
  <c r="CD46"/>
  <c r="CA28"/>
  <c r="CA46"/>
  <c r="BX46"/>
  <c r="BC46"/>
  <c r="AZ46"/>
  <c r="AW46"/>
  <c r="AQ46"/>
  <c r="AN46"/>
  <c r="AK46"/>
  <c r="AH46"/>
  <c r="AE46"/>
  <c r="O46"/>
  <c r="K46"/>
  <c r="AB46" s="1"/>
  <c r="CM31"/>
  <c r="CV28"/>
  <c r="CS28"/>
  <c r="CP28"/>
  <c r="CG28"/>
  <c r="BX28"/>
  <c r="BC28"/>
  <c r="AZ28"/>
  <c r="AW28"/>
  <c r="AQ28"/>
  <c r="AN28"/>
  <c r="AK28"/>
  <c r="AH28"/>
  <c r="AE28"/>
  <c r="S28"/>
  <c r="S46"/>
  <c r="O28"/>
  <c r="K28"/>
  <c r="AB28" s="1"/>
  <c r="EF31"/>
  <c r="EC31"/>
  <c r="DZ31"/>
  <c r="DW31"/>
  <c r="DT31"/>
  <c r="DQ31"/>
  <c r="CP31"/>
  <c r="CS31"/>
  <c r="DF31"/>
  <c r="CV31"/>
  <c r="CJ31"/>
  <c r="CG31"/>
  <c r="CD31"/>
  <c r="CA31"/>
  <c r="BX31"/>
  <c r="BC31"/>
  <c r="AZ31"/>
  <c r="AW31"/>
  <c r="AT31"/>
  <c r="AQ31"/>
  <c r="AN31"/>
  <c r="AK31"/>
  <c r="AH31"/>
  <c r="AE31"/>
  <c r="S31"/>
  <c r="K31"/>
  <c r="AB31" s="1"/>
  <c r="O31"/>
  <c r="BF31" l="1"/>
  <c r="BO31" s="1"/>
  <c r="EG31"/>
  <c r="EG28"/>
  <c r="DB5"/>
  <c r="DE40"/>
  <c r="DE19"/>
  <c r="DB21"/>
  <c r="CY4"/>
  <c r="DB25"/>
  <c r="BI3"/>
  <c r="CY27"/>
  <c r="DH27" s="1"/>
  <c r="CY47"/>
  <c r="BL3"/>
  <c r="BU3" s="1"/>
  <c r="EG3"/>
  <c r="DE46"/>
  <c r="DN46" s="1"/>
  <c r="EG17"/>
  <c r="EG11"/>
  <c r="BR3"/>
  <c r="DE27"/>
  <c r="DN27" s="1"/>
  <c r="T17"/>
  <c r="T28"/>
  <c r="BL46"/>
  <c r="BU46" s="1"/>
  <c r="BM31"/>
  <c r="T27"/>
  <c r="DB3"/>
  <c r="DK3" s="1"/>
  <c r="EG6"/>
  <c r="DE3"/>
  <c r="DN3" s="1"/>
  <c r="BL31"/>
  <c r="BU31" s="1"/>
  <c r="DB46"/>
  <c r="DK46" s="1"/>
  <c r="CY31"/>
  <c r="EI31" s="1"/>
  <c r="DE33"/>
  <c r="DB47"/>
  <c r="CY40"/>
  <c r="T11"/>
  <c r="EG27"/>
  <c r="DF27"/>
  <c r="BI27"/>
  <c r="BR27" s="1"/>
  <c r="BI31"/>
  <c r="BR31" s="1"/>
  <c r="CY46"/>
  <c r="DH46" s="1"/>
  <c r="DB31"/>
  <c r="DE5"/>
  <c r="CY5"/>
  <c r="DB33"/>
  <c r="DE47"/>
  <c r="DB40"/>
  <c r="DE20"/>
  <c r="CY20"/>
  <c r="DE26"/>
  <c r="DE17"/>
  <c r="DN17" s="1"/>
  <c r="T6"/>
  <c r="DI3"/>
  <c r="T31"/>
  <c r="DL46"/>
  <c r="DB26"/>
  <c r="CY19"/>
  <c r="DE4"/>
  <c r="T3"/>
  <c r="BP3"/>
  <c r="BL27"/>
  <c r="BU27" s="1"/>
  <c r="BS31"/>
  <c r="DB20"/>
  <c r="DB19"/>
  <c r="CY21"/>
  <c r="DE25"/>
  <c r="DB17"/>
  <c r="DK17" s="1"/>
  <c r="BF3"/>
  <c r="BO3" s="1"/>
  <c r="DL3"/>
  <c r="BT46"/>
  <c r="BS3"/>
  <c r="BF27"/>
  <c r="BO27" s="1"/>
  <c r="DB27"/>
  <c r="DK27" s="1"/>
  <c r="CY33"/>
  <c r="DJ17"/>
  <c r="DL27"/>
  <c r="EK3"/>
  <c r="DJ46"/>
  <c r="DE31"/>
  <c r="CY25"/>
  <c r="CY26"/>
  <c r="DE21"/>
  <c r="DB4"/>
  <c r="DL17"/>
  <c r="CY3"/>
  <c r="DH3" s="1"/>
  <c r="DB6"/>
  <c r="DK6" s="1"/>
  <c r="BI46"/>
  <c r="BR46" s="1"/>
  <c r="BF46"/>
  <c r="BM46"/>
  <c r="EG46"/>
  <c r="T46"/>
  <c r="DE28"/>
  <c r="DN28" s="1"/>
  <c r="DL28"/>
  <c r="DK28"/>
  <c r="BI28"/>
  <c r="BL28"/>
  <c r="BU28" s="1"/>
  <c r="BS28"/>
  <c r="BQ28"/>
  <c r="BF28"/>
  <c r="EI28" s="1"/>
  <c r="DE6"/>
  <c r="DN6" s="1"/>
  <c r="CY6"/>
  <c r="BL6"/>
  <c r="BU6" s="1"/>
  <c r="BI6"/>
  <c r="BR6" s="1"/>
  <c r="BF6"/>
  <c r="BO6" s="1"/>
  <c r="CY17"/>
  <c r="BL17"/>
  <c r="BU17" s="1"/>
  <c r="BI17"/>
  <c r="BR17" s="1"/>
  <c r="BF17"/>
  <c r="BO17" s="1"/>
  <c r="DE11"/>
  <c r="DN11" s="1"/>
  <c r="DB11"/>
  <c r="DK11" s="1"/>
  <c r="CY11"/>
  <c r="DH11" s="1"/>
  <c r="BL11"/>
  <c r="BU11" s="1"/>
  <c r="BI11"/>
  <c r="BR11" s="1"/>
  <c r="BF11"/>
  <c r="BO11" s="1"/>
  <c r="DH28"/>
  <c r="DF28"/>
  <c r="DG46"/>
  <c r="EK31" l="1"/>
  <c r="EK27"/>
  <c r="EH31"/>
  <c r="EK46"/>
  <c r="EI46"/>
  <c r="EJ31"/>
  <c r="EJ11"/>
  <c r="DH31"/>
  <c r="EI6"/>
  <c r="EJ3"/>
  <c r="EJ17"/>
  <c r="EK6"/>
  <c r="EK11"/>
  <c r="EH46"/>
  <c r="EI27"/>
  <c r="EI11"/>
  <c r="EK17"/>
  <c r="EJ6"/>
  <c r="EH11"/>
  <c r="EI17"/>
  <c r="EJ27"/>
  <c r="EI3"/>
  <c r="EH3"/>
  <c r="EH27"/>
  <c r="EJ46"/>
  <c r="BO46"/>
  <c r="EJ28"/>
  <c r="EK28"/>
  <c r="BR28"/>
  <c r="EH28"/>
  <c r="BO28"/>
  <c r="EH6"/>
  <c r="DH6"/>
  <c r="EH17"/>
  <c r="DH17"/>
  <c r="DN31"/>
  <c r="DK31"/>
  <c r="EC5" l="1"/>
  <c r="DZ5"/>
  <c r="DW5"/>
  <c r="DT5"/>
  <c r="DQ5"/>
  <c r="CP5"/>
  <c r="CS5"/>
  <c r="CV5"/>
  <c r="DJ5"/>
  <c r="DL5"/>
  <c r="DF5"/>
  <c r="DG5"/>
  <c r="DI5"/>
  <c r="DM5"/>
  <c r="CM5"/>
  <c r="CJ5"/>
  <c r="CG5"/>
  <c r="CD5"/>
  <c r="DN5" s="1"/>
  <c r="CA5"/>
  <c r="DK5" s="1"/>
  <c r="BX5"/>
  <c r="DH5" s="1"/>
  <c r="AW5"/>
  <c r="AZ5"/>
  <c r="BC5"/>
  <c r="BD5"/>
  <c r="BE5"/>
  <c r="BN5" s="1"/>
  <c r="BG5"/>
  <c r="BP5" s="1"/>
  <c r="BH5"/>
  <c r="BJ5"/>
  <c r="BS5" s="1"/>
  <c r="BK5"/>
  <c r="AT5"/>
  <c r="AQ5"/>
  <c r="AN5"/>
  <c r="AK5"/>
  <c r="AH5"/>
  <c r="AE5"/>
  <c r="S5"/>
  <c r="O5"/>
  <c r="K5"/>
  <c r="AB5" s="1"/>
  <c r="BL5" l="1"/>
  <c r="BU5" s="1"/>
  <c r="EG5"/>
  <c r="BT5"/>
  <c r="BF5"/>
  <c r="BO5" s="1"/>
  <c r="T5"/>
  <c r="BI5"/>
  <c r="BR5" s="1"/>
  <c r="BQ5"/>
  <c r="BM5"/>
  <c r="EK5" l="1"/>
  <c r="EJ5"/>
  <c r="EH5"/>
  <c r="EI5"/>
  <c r="EF33"/>
  <c r="EC33"/>
  <c r="DZ33"/>
  <c r="DW33"/>
  <c r="DT33"/>
  <c r="DQ33"/>
  <c r="DF33"/>
  <c r="DG33"/>
  <c r="DI33"/>
  <c r="DJ33"/>
  <c r="DL33"/>
  <c r="DM33"/>
  <c r="CP33"/>
  <c r="CS33"/>
  <c r="CV33"/>
  <c r="CM33"/>
  <c r="CJ33"/>
  <c r="CG33"/>
  <c r="CD33"/>
  <c r="DN33" s="1"/>
  <c r="CA33"/>
  <c r="DK33" s="1"/>
  <c r="BX33"/>
  <c r="DH33" s="1"/>
  <c r="BD33"/>
  <c r="BM33" s="1"/>
  <c r="BE33"/>
  <c r="BN33" s="1"/>
  <c r="BG33"/>
  <c r="BP33" s="1"/>
  <c r="BH33"/>
  <c r="BJ33"/>
  <c r="BK33"/>
  <c r="BT33" s="1"/>
  <c r="AW33"/>
  <c r="AZ33"/>
  <c r="BC33"/>
  <c r="AT33"/>
  <c r="AQ33"/>
  <c r="AN33"/>
  <c r="AK33"/>
  <c r="AH33"/>
  <c r="AE33"/>
  <c r="S33"/>
  <c r="O33"/>
  <c r="K33"/>
  <c r="AB33" s="1"/>
  <c r="EF47"/>
  <c r="EC47"/>
  <c r="DZ47"/>
  <c r="DW47"/>
  <c r="DT47"/>
  <c r="DQ47"/>
  <c r="DF47"/>
  <c r="DG47"/>
  <c r="CV47"/>
  <c r="DM47"/>
  <c r="DL47"/>
  <c r="CS47"/>
  <c r="DJ47"/>
  <c r="DI47"/>
  <c r="CP47"/>
  <c r="CM47"/>
  <c r="CJ47"/>
  <c r="CG47"/>
  <c r="CD47"/>
  <c r="CA47"/>
  <c r="DK47" s="1"/>
  <c r="BX47"/>
  <c r="BC47"/>
  <c r="BK47"/>
  <c r="BT47" s="1"/>
  <c r="BJ47"/>
  <c r="BS47" s="1"/>
  <c r="AZ47"/>
  <c r="BH47"/>
  <c r="BQ47" s="1"/>
  <c r="BG47"/>
  <c r="BP47" s="1"/>
  <c r="AW47"/>
  <c r="BE47"/>
  <c r="BN47" s="1"/>
  <c r="BD47"/>
  <c r="BM47" s="1"/>
  <c r="AT47"/>
  <c r="AQ47"/>
  <c r="AN47"/>
  <c r="AK47"/>
  <c r="AH47"/>
  <c r="AE47"/>
  <c r="S47"/>
  <c r="O47"/>
  <c r="K47"/>
  <c r="AB47" s="1"/>
  <c r="T47" l="1"/>
  <c r="BL33"/>
  <c r="EK33" s="1"/>
  <c r="BI33"/>
  <c r="BR33" s="1"/>
  <c r="BL47"/>
  <c r="BU47" s="1"/>
  <c r="T33"/>
  <c r="BS33"/>
  <c r="BQ33"/>
  <c r="EG33"/>
  <c r="BF47"/>
  <c r="BO47" s="1"/>
  <c r="BF33"/>
  <c r="EG47"/>
  <c r="DH47"/>
  <c r="DN47"/>
  <c r="BI47"/>
  <c r="BR47" s="1"/>
  <c r="BU33" l="1"/>
  <c r="EK47"/>
  <c r="EJ33"/>
  <c r="EH47"/>
  <c r="EI47"/>
  <c r="EJ47"/>
  <c r="EI33"/>
  <c r="BO33"/>
  <c r="EH33"/>
  <c r="EF40"/>
  <c r="EC40"/>
  <c r="DZ40"/>
  <c r="DW40"/>
  <c r="DT40"/>
  <c r="DQ40"/>
  <c r="DJ40"/>
  <c r="DL40"/>
  <c r="DM40"/>
  <c r="DF40"/>
  <c r="DG40"/>
  <c r="DI40"/>
  <c r="CP40"/>
  <c r="CS40"/>
  <c r="CV40"/>
  <c r="CM40"/>
  <c r="CJ40"/>
  <c r="CG40"/>
  <c r="CD40"/>
  <c r="DN40" s="1"/>
  <c r="CA40"/>
  <c r="DK40" s="1"/>
  <c r="BX40"/>
  <c r="DH40" s="1"/>
  <c r="BD40"/>
  <c r="BM40" s="1"/>
  <c r="BE40"/>
  <c r="BG40"/>
  <c r="BH40"/>
  <c r="BQ40" s="1"/>
  <c r="BJ40"/>
  <c r="BK40"/>
  <c r="BT40" s="1"/>
  <c r="BC40"/>
  <c r="AW40"/>
  <c r="AZ40"/>
  <c r="AT40"/>
  <c r="AQ40"/>
  <c r="AN40"/>
  <c r="AK40"/>
  <c r="AH40"/>
  <c r="AE40"/>
  <c r="S40"/>
  <c r="O40"/>
  <c r="K40"/>
  <c r="AB40" s="1"/>
  <c r="BF40" l="1"/>
  <c r="EI40" s="1"/>
  <c r="T40"/>
  <c r="BI40"/>
  <c r="BR40" s="1"/>
  <c r="BL40"/>
  <c r="BU40" s="1"/>
  <c r="BP40"/>
  <c r="EG40"/>
  <c r="BS40"/>
  <c r="BN40"/>
  <c r="AW10"/>
  <c r="AZ10"/>
  <c r="CA30"/>
  <c r="CD30"/>
  <c r="CG30"/>
  <c r="CJ30"/>
  <c r="CM30"/>
  <c r="CA8"/>
  <c r="CD8"/>
  <c r="CG8"/>
  <c r="CJ8"/>
  <c r="CM8"/>
  <c r="CP8"/>
  <c r="CS8"/>
  <c r="CP10"/>
  <c r="CS10"/>
  <c r="EF20"/>
  <c r="EC20"/>
  <c r="DZ20"/>
  <c r="DW20"/>
  <c r="DT20"/>
  <c r="DQ20"/>
  <c r="DF20"/>
  <c r="DG20"/>
  <c r="DI20"/>
  <c r="DJ20"/>
  <c r="DL20"/>
  <c r="DM20"/>
  <c r="CP20"/>
  <c r="CS20"/>
  <c r="CV20"/>
  <c r="CM20"/>
  <c r="CJ20"/>
  <c r="CG20"/>
  <c r="CD20"/>
  <c r="DN20" s="1"/>
  <c r="CA20"/>
  <c r="DK20" s="1"/>
  <c r="BX20"/>
  <c r="DH20" s="1"/>
  <c r="BJ19"/>
  <c r="BK19"/>
  <c r="BJ26"/>
  <c r="BS26" s="1"/>
  <c r="BK26"/>
  <c r="BT26" s="1"/>
  <c r="BJ25"/>
  <c r="BS25" s="1"/>
  <c r="BK25"/>
  <c r="BT25" s="1"/>
  <c r="BJ20"/>
  <c r="BS20" s="1"/>
  <c r="BK20"/>
  <c r="BT20" s="1"/>
  <c r="BC20"/>
  <c r="AZ20"/>
  <c r="BH20"/>
  <c r="BQ20" s="1"/>
  <c r="BG20"/>
  <c r="BP20" s="1"/>
  <c r="AW20"/>
  <c r="BE20"/>
  <c r="BN20" s="1"/>
  <c r="BD20"/>
  <c r="BM20" s="1"/>
  <c r="AT20"/>
  <c r="AQ20"/>
  <c r="AN20"/>
  <c r="AK20"/>
  <c r="AH20"/>
  <c r="AE20"/>
  <c r="S20"/>
  <c r="O20"/>
  <c r="K20"/>
  <c r="AB20" s="1"/>
  <c r="EF25"/>
  <c r="EC25"/>
  <c r="DZ25"/>
  <c r="DW25"/>
  <c r="DT25"/>
  <c r="DQ25"/>
  <c r="DI25"/>
  <c r="DJ25"/>
  <c r="DL25"/>
  <c r="DM25"/>
  <c r="DL26"/>
  <c r="DM26"/>
  <c r="DF26"/>
  <c r="DG26"/>
  <c r="DF25"/>
  <c r="DG25"/>
  <c r="DJ26"/>
  <c r="CV25"/>
  <c r="CV26"/>
  <c r="CS25"/>
  <c r="CP25"/>
  <c r="CS26"/>
  <c r="DI26"/>
  <c r="CP26"/>
  <c r="CM25"/>
  <c r="CJ25"/>
  <c r="CG25"/>
  <c r="CD25"/>
  <c r="DN25" s="1"/>
  <c r="CA25"/>
  <c r="DK25" s="1"/>
  <c r="BX25"/>
  <c r="DH25" s="1"/>
  <c r="BD25"/>
  <c r="BM25" s="1"/>
  <c r="BE25"/>
  <c r="BN25" s="1"/>
  <c r="BG26"/>
  <c r="BH26"/>
  <c r="BQ26" s="1"/>
  <c r="BG25"/>
  <c r="BP25" s="1"/>
  <c r="BH25"/>
  <c r="BQ25" s="1"/>
  <c r="BC26"/>
  <c r="AZ25"/>
  <c r="BC25"/>
  <c r="AW25"/>
  <c r="AW26"/>
  <c r="BE26"/>
  <c r="BN26" s="1"/>
  <c r="BD26"/>
  <c r="BM26" s="1"/>
  <c r="AT25"/>
  <c r="AQ25"/>
  <c r="AN25"/>
  <c r="AK25"/>
  <c r="AH25"/>
  <c r="AE25"/>
  <c r="K25"/>
  <c r="AB25" s="1"/>
  <c r="O25"/>
  <c r="S25"/>
  <c r="BO40" l="1"/>
  <c r="EJ40"/>
  <c r="EH40"/>
  <c r="EK40"/>
  <c r="BL19"/>
  <c r="EG20"/>
  <c r="EG25"/>
  <c r="BF25"/>
  <c r="BO25" s="1"/>
  <c r="BL20"/>
  <c r="BU20" s="1"/>
  <c r="T20"/>
  <c r="T25"/>
  <c r="BI25"/>
  <c r="BR25" s="1"/>
  <c r="BL26"/>
  <c r="BI26"/>
  <c r="BP26"/>
  <c r="EI25"/>
  <c r="BL25"/>
  <c r="BI20"/>
  <c r="BR20" s="1"/>
  <c r="BF20"/>
  <c r="BO20" s="1"/>
  <c r="BF26"/>
  <c r="EH25" l="1"/>
  <c r="EJ20"/>
  <c r="EH20"/>
  <c r="EI20"/>
  <c r="EJ25"/>
  <c r="EK20"/>
  <c r="BU25"/>
  <c r="EK25"/>
  <c r="EF26" l="1"/>
  <c r="EC26"/>
  <c r="DZ26"/>
  <c r="DW26"/>
  <c r="DT26"/>
  <c r="DQ26"/>
  <c r="CM26"/>
  <c r="CJ26"/>
  <c r="CG26"/>
  <c r="CD26"/>
  <c r="DN26" s="1"/>
  <c r="CA26"/>
  <c r="DK26" s="1"/>
  <c r="BX26"/>
  <c r="DH26" s="1"/>
  <c r="AT26"/>
  <c r="AQ26"/>
  <c r="AN26"/>
  <c r="AK26"/>
  <c r="BU26" s="1"/>
  <c r="AH26"/>
  <c r="BR26" s="1"/>
  <c r="AE26"/>
  <c r="BO26" s="1"/>
  <c r="S26"/>
  <c r="EH26" s="1"/>
  <c r="O26"/>
  <c r="K26"/>
  <c r="AB26" s="1"/>
  <c r="EF19"/>
  <c r="EC19"/>
  <c r="DZ19"/>
  <c r="DW19"/>
  <c r="DT19"/>
  <c r="DQ19"/>
  <c r="DG19"/>
  <c r="DF19"/>
  <c r="CV19"/>
  <c r="DM19"/>
  <c r="DL19"/>
  <c r="CS19"/>
  <c r="DJ19"/>
  <c r="DI19"/>
  <c r="CP19"/>
  <c r="CM19"/>
  <c r="CJ19"/>
  <c r="CG19"/>
  <c r="CD19"/>
  <c r="CA19"/>
  <c r="BX19"/>
  <c r="DH19" s="1"/>
  <c r="BS19"/>
  <c r="BT19"/>
  <c r="BC19"/>
  <c r="AZ19"/>
  <c r="BH19"/>
  <c r="BQ19" s="1"/>
  <c r="BG19"/>
  <c r="BP19" s="1"/>
  <c r="AW19"/>
  <c r="BE19"/>
  <c r="BN19" s="1"/>
  <c r="BD19"/>
  <c r="BM19" s="1"/>
  <c r="AT19"/>
  <c r="AQ19"/>
  <c r="AN19"/>
  <c r="AK19"/>
  <c r="BU19" s="1"/>
  <c r="AH19"/>
  <c r="AE19"/>
  <c r="S19"/>
  <c r="O19"/>
  <c r="K19"/>
  <c r="AB19" s="1"/>
  <c r="S21"/>
  <c r="DM21"/>
  <c r="DL21"/>
  <c r="DG21"/>
  <c r="DF21"/>
  <c r="K21"/>
  <c r="AB21" s="1"/>
  <c r="EF21"/>
  <c r="EC21"/>
  <c r="DZ21"/>
  <c r="DW21"/>
  <c r="DT21"/>
  <c r="DQ21"/>
  <c r="CV21"/>
  <c r="CS21"/>
  <c r="DJ21"/>
  <c r="DI21"/>
  <c r="CP21"/>
  <c r="CM21"/>
  <c r="CJ21"/>
  <c r="CG21"/>
  <c r="DN21"/>
  <c r="CA21"/>
  <c r="BX21"/>
  <c r="DH21" s="1"/>
  <c r="BC21"/>
  <c r="BK21"/>
  <c r="BT21" s="1"/>
  <c r="BJ21"/>
  <c r="BS21" s="1"/>
  <c r="AZ21"/>
  <c r="BH21"/>
  <c r="BQ21" s="1"/>
  <c r="BG21"/>
  <c r="BP21" s="1"/>
  <c r="AW21"/>
  <c r="BE21"/>
  <c r="BN21" s="1"/>
  <c r="BD21"/>
  <c r="BM21" s="1"/>
  <c r="AT21"/>
  <c r="AQ21"/>
  <c r="AN21"/>
  <c r="AK21"/>
  <c r="AH21"/>
  <c r="AE21"/>
  <c r="O21"/>
  <c r="EF4"/>
  <c r="EC4"/>
  <c r="DZ4"/>
  <c r="DW4"/>
  <c r="DT4"/>
  <c r="DQ4"/>
  <c r="DJ4"/>
  <c r="DM4"/>
  <c r="DF4"/>
  <c r="DL4"/>
  <c r="CV4"/>
  <c r="CS4"/>
  <c r="CP4"/>
  <c r="CM4"/>
  <c r="CJ4"/>
  <c r="CG4"/>
  <c r="CD4"/>
  <c r="DN4" s="1"/>
  <c r="CA4"/>
  <c r="DK4" s="1"/>
  <c r="BX4"/>
  <c r="BC4"/>
  <c r="BK4"/>
  <c r="BT4" s="1"/>
  <c r="BJ4"/>
  <c r="BS4" s="1"/>
  <c r="AZ4"/>
  <c r="BH4"/>
  <c r="BQ4" s="1"/>
  <c r="BG4"/>
  <c r="BP4" s="1"/>
  <c r="AW4"/>
  <c r="BE4"/>
  <c r="BN4" s="1"/>
  <c r="BD4"/>
  <c r="BM4" s="1"/>
  <c r="AT4"/>
  <c r="AQ4"/>
  <c r="AN4"/>
  <c r="AK4"/>
  <c r="AH4"/>
  <c r="AE4"/>
  <c r="S4"/>
  <c r="O4"/>
  <c r="K4"/>
  <c r="AB4" s="1"/>
  <c r="T4" l="1"/>
  <c r="EG19"/>
  <c r="BI19"/>
  <c r="BR19" s="1"/>
  <c r="T19"/>
  <c r="EG26"/>
  <c r="EK26"/>
  <c r="EK19"/>
  <c r="DH4"/>
  <c r="EG4"/>
  <c r="EG21"/>
  <c r="EJ26"/>
  <c r="EI26"/>
  <c r="T26"/>
  <c r="DN19"/>
  <c r="BF19"/>
  <c r="EH19" s="1"/>
  <c r="BL21"/>
  <c r="BU21" s="1"/>
  <c r="BI21"/>
  <c r="BR21" s="1"/>
  <c r="BF21"/>
  <c r="T21"/>
  <c r="DK21"/>
  <c r="DG4"/>
  <c r="DI4"/>
  <c r="BL4"/>
  <c r="BU4" s="1"/>
  <c r="BI4"/>
  <c r="BR4" s="1"/>
  <c r="BF4"/>
  <c r="BO4" s="1"/>
  <c r="EK4" l="1"/>
  <c r="EI4"/>
  <c r="EH4"/>
  <c r="BO19"/>
  <c r="EI19"/>
  <c r="EJ4"/>
  <c r="DK19"/>
  <c r="EJ19"/>
  <c r="EK21"/>
  <c r="EJ21"/>
  <c r="BO21"/>
  <c r="EI21"/>
  <c r="EH21"/>
  <c r="K7"/>
  <c r="AB7" s="1"/>
  <c r="O7"/>
  <c r="S7"/>
  <c r="AE7"/>
  <c r="AH7"/>
  <c r="AK7"/>
  <c r="AN7"/>
  <c r="AQ7"/>
  <c r="AT7"/>
  <c r="AW7"/>
  <c r="AZ7"/>
  <c r="BC7"/>
  <c r="BD7"/>
  <c r="BE7"/>
  <c r="BN7" s="1"/>
  <c r="BG7"/>
  <c r="BP7" s="1"/>
  <c r="BH7"/>
  <c r="BJ7"/>
  <c r="BS7" s="1"/>
  <c r="BK7"/>
  <c r="BT7" s="1"/>
  <c r="BX7"/>
  <c r="CA7"/>
  <c r="CD7"/>
  <c r="CG7"/>
  <c r="CJ7"/>
  <c r="CM7"/>
  <c r="CP7"/>
  <c r="CS7"/>
  <c r="CV7"/>
  <c r="CW7"/>
  <c r="DF7" s="1"/>
  <c r="CX7"/>
  <c r="CZ7"/>
  <c r="DI7" s="1"/>
  <c r="DA7"/>
  <c r="DJ7" s="1"/>
  <c r="DC7"/>
  <c r="DL7" s="1"/>
  <c r="DD7"/>
  <c r="DM7" s="1"/>
  <c r="DQ7"/>
  <c r="DT7"/>
  <c r="DW7"/>
  <c r="DZ7"/>
  <c r="EC7"/>
  <c r="EF7"/>
  <c r="DE7" l="1"/>
  <c r="DN7" s="1"/>
  <c r="BI7"/>
  <c r="BR7" s="1"/>
  <c r="CY7"/>
  <c r="DH7" s="1"/>
  <c r="DB7"/>
  <c r="DK7" s="1"/>
  <c r="BL7"/>
  <c r="BQ7"/>
  <c r="BF7"/>
  <c r="BM7"/>
  <c r="T7"/>
  <c r="EG7"/>
  <c r="DG7"/>
  <c r="EK7" l="1"/>
  <c r="EJ7"/>
  <c r="EH7"/>
  <c r="BU7"/>
  <c r="EI7"/>
  <c r="BO7"/>
  <c r="EF29" l="1"/>
  <c r="EC29"/>
  <c r="DZ29"/>
  <c r="DW29"/>
  <c r="DT29"/>
  <c r="DQ30"/>
  <c r="DQ29"/>
  <c r="CW29"/>
  <c r="DF29" s="1"/>
  <c r="CX29"/>
  <c r="DG29" s="1"/>
  <c r="CZ29"/>
  <c r="DI29" s="1"/>
  <c r="DA29"/>
  <c r="DC29"/>
  <c r="DD29"/>
  <c r="DM29" s="1"/>
  <c r="CV29"/>
  <c r="CS29"/>
  <c r="CS14"/>
  <c r="CS37"/>
  <c r="CS41"/>
  <c r="CS45"/>
  <c r="CS44"/>
  <c r="CS38"/>
  <c r="CS15"/>
  <c r="CS35"/>
  <c r="CP29"/>
  <c r="CM29"/>
  <c r="CJ29"/>
  <c r="CG29"/>
  <c r="CD29"/>
  <c r="CA29"/>
  <c r="BX29"/>
  <c r="BC29"/>
  <c r="BK29"/>
  <c r="BT29" s="1"/>
  <c r="BJ29"/>
  <c r="BS29" s="1"/>
  <c r="AZ29"/>
  <c r="BH29"/>
  <c r="BQ29" s="1"/>
  <c r="BG29"/>
  <c r="BP29" s="1"/>
  <c r="AW29"/>
  <c r="BE29"/>
  <c r="BN29" s="1"/>
  <c r="BD29"/>
  <c r="BM29" s="1"/>
  <c r="AT29"/>
  <c r="AQ29"/>
  <c r="AN29"/>
  <c r="AK29"/>
  <c r="AH29"/>
  <c r="AE29"/>
  <c r="S29"/>
  <c r="O29"/>
  <c r="K29"/>
  <c r="AB29" s="1"/>
  <c r="EG29" l="1"/>
  <c r="DB29"/>
  <c r="DK29" s="1"/>
  <c r="DE29"/>
  <c r="DN29" s="1"/>
  <c r="T29"/>
  <c r="DL29"/>
  <c r="BI29"/>
  <c r="BR29" s="1"/>
  <c r="CY29"/>
  <c r="DH29" s="1"/>
  <c r="DJ29"/>
  <c r="BL29"/>
  <c r="BU29" s="1"/>
  <c r="BF29"/>
  <c r="BO29" s="1"/>
  <c r="EH29" l="1"/>
  <c r="EK29"/>
  <c r="EJ29"/>
  <c r="EF35"/>
  <c r="EC35"/>
  <c r="DZ35"/>
  <c r="DW35"/>
  <c r="DT35"/>
  <c r="DQ35"/>
  <c r="CW35"/>
  <c r="DF35" s="1"/>
  <c r="CX35"/>
  <c r="CZ35"/>
  <c r="DI35" s="1"/>
  <c r="DA35"/>
  <c r="DJ35" s="1"/>
  <c r="CV35"/>
  <c r="DD35"/>
  <c r="DM35" s="1"/>
  <c r="DC35"/>
  <c r="DL35" s="1"/>
  <c r="CP35"/>
  <c r="CM35"/>
  <c r="CJ35"/>
  <c r="CG35"/>
  <c r="CD35"/>
  <c r="CA35"/>
  <c r="BX35"/>
  <c r="BG35"/>
  <c r="BP35" s="1"/>
  <c r="BH35"/>
  <c r="BC35"/>
  <c r="BK35"/>
  <c r="BT35" s="1"/>
  <c r="BJ35"/>
  <c r="BS35" s="1"/>
  <c r="AZ35"/>
  <c r="AW35"/>
  <c r="BE35"/>
  <c r="BN35" s="1"/>
  <c r="BD35"/>
  <c r="BM35" s="1"/>
  <c r="AT35"/>
  <c r="AQ35"/>
  <c r="AN35"/>
  <c r="AK35"/>
  <c r="AH35"/>
  <c r="AE35"/>
  <c r="S35"/>
  <c r="O35"/>
  <c r="K35"/>
  <c r="AB35" s="1"/>
  <c r="EF15"/>
  <c r="EC15"/>
  <c r="DZ15"/>
  <c r="DW15"/>
  <c r="DT15"/>
  <c r="DQ15"/>
  <c r="CW15"/>
  <c r="DF15" s="1"/>
  <c r="CX15"/>
  <c r="CZ15"/>
  <c r="DI15" s="1"/>
  <c r="DA15"/>
  <c r="DJ15" s="1"/>
  <c r="DC15"/>
  <c r="DD15"/>
  <c r="DM15" s="1"/>
  <c r="CV15"/>
  <c r="CP15"/>
  <c r="CM15"/>
  <c r="CJ15"/>
  <c r="CG15"/>
  <c r="CD15"/>
  <c r="CA15"/>
  <c r="BX15"/>
  <c r="BG15"/>
  <c r="BP15" s="1"/>
  <c r="BH15"/>
  <c r="BQ15" s="1"/>
  <c r="BC15"/>
  <c r="BK15"/>
  <c r="BT15" s="1"/>
  <c r="BJ15"/>
  <c r="BS15" s="1"/>
  <c r="AZ15"/>
  <c r="AW15"/>
  <c r="BE15"/>
  <c r="BN15" s="1"/>
  <c r="BD15"/>
  <c r="BM15" s="1"/>
  <c r="AT15"/>
  <c r="AQ15"/>
  <c r="AN15"/>
  <c r="AH15"/>
  <c r="AE15"/>
  <c r="S15"/>
  <c r="O15"/>
  <c r="K15"/>
  <c r="AB15" s="1"/>
  <c r="DW38"/>
  <c r="DT38"/>
  <c r="DQ38"/>
  <c r="CZ38"/>
  <c r="DI38" s="1"/>
  <c r="DA38"/>
  <c r="DJ38" s="1"/>
  <c r="DC38"/>
  <c r="DL38" s="1"/>
  <c r="DD38"/>
  <c r="DM38" s="1"/>
  <c r="CV38"/>
  <c r="CP38"/>
  <c r="CM38"/>
  <c r="CJ38"/>
  <c r="CG38"/>
  <c r="CX38"/>
  <c r="DG38" s="1"/>
  <c r="CW38"/>
  <c r="DF38" s="1"/>
  <c r="CD38"/>
  <c r="CA38"/>
  <c r="BX38"/>
  <c r="BC38"/>
  <c r="BK38"/>
  <c r="BT38" s="1"/>
  <c r="BJ38"/>
  <c r="BS38" s="1"/>
  <c r="AZ38"/>
  <c r="AW38"/>
  <c r="BE38"/>
  <c r="BN38" s="1"/>
  <c r="BD38"/>
  <c r="BM38" s="1"/>
  <c r="AT38"/>
  <c r="AQ38"/>
  <c r="BH38"/>
  <c r="BQ38" s="1"/>
  <c r="BG38"/>
  <c r="AN38"/>
  <c r="AH38"/>
  <c r="AE38"/>
  <c r="S38"/>
  <c r="O38"/>
  <c r="K38"/>
  <c r="AB38" s="1"/>
  <c r="EF38"/>
  <c r="EC38"/>
  <c r="DZ38"/>
  <c r="DE15" l="1"/>
  <c r="DN15" s="1"/>
  <c r="DB38"/>
  <c r="DK38" s="1"/>
  <c r="DB15"/>
  <c r="DK15" s="1"/>
  <c r="T38"/>
  <c r="EG38"/>
  <c r="CY15"/>
  <c r="DH15" s="1"/>
  <c r="BI35"/>
  <c r="BR35" s="1"/>
  <c r="CY35"/>
  <c r="DH35" s="1"/>
  <c r="EG35"/>
  <c r="DB35"/>
  <c r="DK35" s="1"/>
  <c r="DE38"/>
  <c r="DN38" s="1"/>
  <c r="T15"/>
  <c r="BI15"/>
  <c r="BR15" s="1"/>
  <c r="T35"/>
  <c r="DL15"/>
  <c r="BQ35"/>
  <c r="EG15"/>
  <c r="DG35"/>
  <c r="DG15"/>
  <c r="DE35"/>
  <c r="DN35" s="1"/>
  <c r="BL35"/>
  <c r="BU35" s="1"/>
  <c r="BF35"/>
  <c r="BO35" s="1"/>
  <c r="BL15"/>
  <c r="BF15"/>
  <c r="BO15" s="1"/>
  <c r="CY38"/>
  <c r="BL38"/>
  <c r="BI38"/>
  <c r="BR38" s="1"/>
  <c r="BP38"/>
  <c r="BF38"/>
  <c r="BO38" s="1"/>
  <c r="EK15" l="1"/>
  <c r="EJ35"/>
  <c r="EI38"/>
  <c r="EK35"/>
  <c r="EJ38"/>
  <c r="EH38"/>
  <c r="EK38"/>
  <c r="EH15"/>
  <c r="EI15"/>
  <c r="EJ15"/>
  <c r="EI35"/>
  <c r="EH35"/>
  <c r="DH38"/>
  <c r="EF44" l="1"/>
  <c r="EF45"/>
  <c r="EF41"/>
  <c r="EF37"/>
  <c r="EF30"/>
  <c r="EF24"/>
  <c r="EF12"/>
  <c r="EF23"/>
  <c r="EF22"/>
  <c r="EF16"/>
  <c r="EF18"/>
  <c r="EF10"/>
  <c r="EF8"/>
  <c r="EF36"/>
  <c r="EC44"/>
  <c r="EC45"/>
  <c r="EC41"/>
  <c r="EC37"/>
  <c r="EC30"/>
  <c r="EC24"/>
  <c r="EC12"/>
  <c r="EC23"/>
  <c r="EC22"/>
  <c r="EC16"/>
  <c r="EC18"/>
  <c r="EC10"/>
  <c r="EC8"/>
  <c r="EC36"/>
  <c r="DZ44"/>
  <c r="DZ45"/>
  <c r="DZ41"/>
  <c r="DZ37"/>
  <c r="DZ30"/>
  <c r="DZ24"/>
  <c r="DZ12"/>
  <c r="DZ23"/>
  <c r="DZ22"/>
  <c r="DZ16"/>
  <c r="DZ18"/>
  <c r="DZ10"/>
  <c r="DZ8"/>
  <c r="DZ36"/>
  <c r="DW44"/>
  <c r="DW45"/>
  <c r="DW41"/>
  <c r="DW37"/>
  <c r="DW30"/>
  <c r="DW24"/>
  <c r="DW12"/>
  <c r="DW23"/>
  <c r="DW22"/>
  <c r="DW16"/>
  <c r="DW18"/>
  <c r="DW10"/>
  <c r="DW8"/>
  <c r="DW36"/>
  <c r="DT44"/>
  <c r="DT45"/>
  <c r="DT41"/>
  <c r="DT37"/>
  <c r="DT30"/>
  <c r="DT24"/>
  <c r="DT12"/>
  <c r="DT23"/>
  <c r="DT22"/>
  <c r="DT16"/>
  <c r="DT18"/>
  <c r="DT10"/>
  <c r="DT8"/>
  <c r="DT36"/>
  <c r="DQ44"/>
  <c r="DQ45"/>
  <c r="DQ41"/>
  <c r="DQ37"/>
  <c r="DQ24"/>
  <c r="DQ12"/>
  <c r="DQ23"/>
  <c r="DQ22"/>
  <c r="DQ16"/>
  <c r="DQ18"/>
  <c r="DQ10"/>
  <c r="DQ8"/>
  <c r="DQ36"/>
  <c r="CV44"/>
  <c r="CV45"/>
  <c r="CV41"/>
  <c r="CV37"/>
  <c r="CV14"/>
  <c r="CV30"/>
  <c r="CV24"/>
  <c r="CV12"/>
  <c r="CV23"/>
  <c r="CV22"/>
  <c r="CV16"/>
  <c r="CV18"/>
  <c r="CV10"/>
  <c r="CV8"/>
  <c r="CV36"/>
  <c r="CS30"/>
  <c r="CS24"/>
  <c r="CS12"/>
  <c r="CS23"/>
  <c r="CS22"/>
  <c r="CS16"/>
  <c r="CS18"/>
  <c r="CS36"/>
  <c r="CP44"/>
  <c r="CP45"/>
  <c r="CP41"/>
  <c r="CP37"/>
  <c r="CP14"/>
  <c r="CP30"/>
  <c r="CP24"/>
  <c r="CP12"/>
  <c r="CP23"/>
  <c r="CP22"/>
  <c r="CP16"/>
  <c r="CP18"/>
  <c r="CP36"/>
  <c r="CM44"/>
  <c r="CM45"/>
  <c r="CM41"/>
  <c r="CM37"/>
  <c r="CM14"/>
  <c r="CM24"/>
  <c r="CM12"/>
  <c r="CM23"/>
  <c r="CM22"/>
  <c r="CM16"/>
  <c r="CM18"/>
  <c r="CM10"/>
  <c r="CM36"/>
  <c r="CJ44"/>
  <c r="CJ45"/>
  <c r="CJ41"/>
  <c r="CJ37"/>
  <c r="CJ14"/>
  <c r="CJ24"/>
  <c r="CJ23"/>
  <c r="CJ22"/>
  <c r="CJ16"/>
  <c r="CJ18"/>
  <c r="CJ10"/>
  <c r="CJ36"/>
  <c r="CG44"/>
  <c r="CG45"/>
  <c r="CG41"/>
  <c r="CG37"/>
  <c r="CG14"/>
  <c r="CG24"/>
  <c r="CG23"/>
  <c r="CG22"/>
  <c r="CG16"/>
  <c r="CG18"/>
  <c r="CG10"/>
  <c r="CG36"/>
  <c r="CD44"/>
  <c r="CD45"/>
  <c r="CD41"/>
  <c r="CD37"/>
  <c r="CD14"/>
  <c r="CD24"/>
  <c r="CD12"/>
  <c r="CD23"/>
  <c r="CD22"/>
  <c r="CD16"/>
  <c r="CD18"/>
  <c r="CD10"/>
  <c r="CD36"/>
  <c r="CA36"/>
  <c r="CA10"/>
  <c r="CA18"/>
  <c r="CA16"/>
  <c r="CA22"/>
  <c r="CA23"/>
  <c r="CA24"/>
  <c r="CA14"/>
  <c r="CA37"/>
  <c r="CA41"/>
  <c r="CA45"/>
  <c r="CA44"/>
  <c r="BX36"/>
  <c r="BX8"/>
  <c r="BX10"/>
  <c r="BX18"/>
  <c r="BX16"/>
  <c r="BX22"/>
  <c r="BX23"/>
  <c r="BX12"/>
  <c r="BX24"/>
  <c r="BX30"/>
  <c r="BX14"/>
  <c r="BX37"/>
  <c r="BX41"/>
  <c r="BX45"/>
  <c r="BX44"/>
  <c r="BC36"/>
  <c r="BC8"/>
  <c r="BC10"/>
  <c r="BC18"/>
  <c r="BC16"/>
  <c r="BC22"/>
  <c r="BC23"/>
  <c r="BC12"/>
  <c r="BC24"/>
  <c r="BC30"/>
  <c r="BC14"/>
  <c r="BC37"/>
  <c r="BC41"/>
  <c r="BC45"/>
  <c r="BC44"/>
  <c r="AZ36"/>
  <c r="AZ8"/>
  <c r="AZ18"/>
  <c r="AZ16"/>
  <c r="AZ22"/>
  <c r="AZ23"/>
  <c r="AZ12"/>
  <c r="AZ24"/>
  <c r="AZ30"/>
  <c r="AZ14"/>
  <c r="AZ37"/>
  <c r="AZ41"/>
  <c r="AZ45"/>
  <c r="AZ44"/>
  <c r="AW36"/>
  <c r="AW8"/>
  <c r="AW18"/>
  <c r="AW16"/>
  <c r="AW22"/>
  <c r="AW23"/>
  <c r="AW12"/>
  <c r="AW24"/>
  <c r="AW30"/>
  <c r="AW14"/>
  <c r="AW37"/>
  <c r="AW41"/>
  <c r="AW45"/>
  <c r="AW44"/>
  <c r="AT36"/>
  <c r="AT8"/>
  <c r="AT10"/>
  <c r="AT18"/>
  <c r="AT16"/>
  <c r="AT22"/>
  <c r="AT23"/>
  <c r="AT12"/>
  <c r="AT24"/>
  <c r="AT30"/>
  <c r="AT14"/>
  <c r="AT37"/>
  <c r="AT41"/>
  <c r="AT45"/>
  <c r="AT44"/>
  <c r="AQ36"/>
  <c r="AQ8"/>
  <c r="AQ10"/>
  <c r="AQ18"/>
  <c r="AQ16"/>
  <c r="AQ22"/>
  <c r="AQ23"/>
  <c r="AQ12"/>
  <c r="AQ24"/>
  <c r="AQ30"/>
  <c r="AQ14"/>
  <c r="AQ37"/>
  <c r="AQ41"/>
  <c r="AQ45"/>
  <c r="AQ44"/>
  <c r="AN36"/>
  <c r="AN8"/>
  <c r="AN10"/>
  <c r="AN18"/>
  <c r="AN16"/>
  <c r="AN22"/>
  <c r="AN23"/>
  <c r="AN12"/>
  <c r="AN24"/>
  <c r="AN30"/>
  <c r="AN14"/>
  <c r="AN37"/>
  <c r="AN41"/>
  <c r="AN45"/>
  <c r="AN44"/>
  <c r="AK36"/>
  <c r="AK8"/>
  <c r="AK10"/>
  <c r="AK18"/>
  <c r="AK16"/>
  <c r="AK22"/>
  <c r="AK23"/>
  <c r="AK12"/>
  <c r="AK24"/>
  <c r="AK30"/>
  <c r="AK14"/>
  <c r="AK37"/>
  <c r="AK41"/>
  <c r="AK45"/>
  <c r="AK44"/>
  <c r="AK38"/>
  <c r="BU38" s="1"/>
  <c r="AK15"/>
  <c r="BU15" s="1"/>
  <c r="AH36"/>
  <c r="AH8"/>
  <c r="AH10"/>
  <c r="AH18"/>
  <c r="AH16"/>
  <c r="AH22"/>
  <c r="AH23"/>
  <c r="AH12"/>
  <c r="AH24"/>
  <c r="AH30"/>
  <c r="AH14"/>
  <c r="AH37"/>
  <c r="AH41"/>
  <c r="AH45"/>
  <c r="AH44"/>
  <c r="AE36"/>
  <c r="AE8"/>
  <c r="AE10"/>
  <c r="AE18"/>
  <c r="AE16"/>
  <c r="AE22"/>
  <c r="AE23"/>
  <c r="AE12"/>
  <c r="AE24"/>
  <c r="AE30"/>
  <c r="AE14"/>
  <c r="AE37"/>
  <c r="AE41"/>
  <c r="AE45"/>
  <c r="AE44"/>
  <c r="O36"/>
  <c r="O8"/>
  <c r="O10"/>
  <c r="O18"/>
  <c r="O16"/>
  <c r="O22"/>
  <c r="O23"/>
  <c r="O12"/>
  <c r="O24"/>
  <c r="O30"/>
  <c r="O14"/>
  <c r="O37"/>
  <c r="O41"/>
  <c r="O45"/>
  <c r="O44"/>
  <c r="S12"/>
  <c r="S24"/>
  <c r="S30"/>
  <c r="S14"/>
  <c r="S37"/>
  <c r="S41"/>
  <c r="S45"/>
  <c r="S44"/>
  <c r="S18"/>
  <c r="S16"/>
  <c r="S22"/>
  <c r="S23"/>
  <c r="S36"/>
  <c r="S8"/>
  <c r="S10"/>
  <c r="K44"/>
  <c r="AB44" s="1"/>
  <c r="K41"/>
  <c r="AB41" s="1"/>
  <c r="K45"/>
  <c r="AB45" s="1"/>
  <c r="K30"/>
  <c r="AB30" s="1"/>
  <c r="K14"/>
  <c r="AB14" s="1"/>
  <c r="K37"/>
  <c r="AB37" s="1"/>
  <c r="K23"/>
  <c r="AB23" s="1"/>
  <c r="K12"/>
  <c r="AB12" s="1"/>
  <c r="K24"/>
  <c r="AB24" s="1"/>
  <c r="K22"/>
  <c r="AB22" s="1"/>
  <c r="K16"/>
  <c r="AB16" s="1"/>
  <c r="K18"/>
  <c r="AB18" s="1"/>
  <c r="K36"/>
  <c r="AB36" s="1"/>
  <c r="K8"/>
  <c r="AB8" s="1"/>
  <c r="DY14"/>
  <c r="DX14"/>
  <c r="DP14"/>
  <c r="CW36"/>
  <c r="CX36"/>
  <c r="DG36" s="1"/>
  <c r="CZ36"/>
  <c r="DA36"/>
  <c r="DJ36" s="1"/>
  <c r="DC36"/>
  <c r="DL36" s="1"/>
  <c r="DD36"/>
  <c r="DM36" s="1"/>
  <c r="CW8"/>
  <c r="CX8"/>
  <c r="DG8" s="1"/>
  <c r="CZ8"/>
  <c r="DI8" s="1"/>
  <c r="DA8"/>
  <c r="DJ8" s="1"/>
  <c r="DC8"/>
  <c r="DD8"/>
  <c r="DM8" s="1"/>
  <c r="CW10"/>
  <c r="DF10" s="1"/>
  <c r="CX10"/>
  <c r="DG10" s="1"/>
  <c r="CZ10"/>
  <c r="DI10" s="1"/>
  <c r="DA10"/>
  <c r="DC10"/>
  <c r="DD10"/>
  <c r="DM10" s="1"/>
  <c r="CW18"/>
  <c r="DF18" s="1"/>
  <c r="CX18"/>
  <c r="DG18" s="1"/>
  <c r="CZ18"/>
  <c r="DA18"/>
  <c r="DJ18" s="1"/>
  <c r="DC18"/>
  <c r="DL18" s="1"/>
  <c r="DD18"/>
  <c r="DM18" s="1"/>
  <c r="CW16"/>
  <c r="CX16"/>
  <c r="DG16" s="1"/>
  <c r="CZ16"/>
  <c r="DI16" s="1"/>
  <c r="DA16"/>
  <c r="DJ16" s="1"/>
  <c r="DC16"/>
  <c r="DL16" s="1"/>
  <c r="DD16"/>
  <c r="DM16" s="1"/>
  <c r="CW22"/>
  <c r="CX22"/>
  <c r="DG22" s="1"/>
  <c r="CZ22"/>
  <c r="DA22"/>
  <c r="DJ22" s="1"/>
  <c r="DC22"/>
  <c r="DD22"/>
  <c r="DM22" s="1"/>
  <c r="CW23"/>
  <c r="CX23"/>
  <c r="CZ23"/>
  <c r="DI23" s="1"/>
  <c r="DA23"/>
  <c r="DC23"/>
  <c r="DD23"/>
  <c r="DM23" s="1"/>
  <c r="CW12"/>
  <c r="DF12" s="1"/>
  <c r="CX12"/>
  <c r="DG12" s="1"/>
  <c r="CZ12"/>
  <c r="DA12"/>
  <c r="DJ12" s="1"/>
  <c r="DC12"/>
  <c r="DL12" s="1"/>
  <c r="DD12"/>
  <c r="DM12" s="1"/>
  <c r="CW24"/>
  <c r="CX24"/>
  <c r="DG24" s="1"/>
  <c r="CZ24"/>
  <c r="DI24" s="1"/>
  <c r="DA24"/>
  <c r="DJ24" s="1"/>
  <c r="DC24"/>
  <c r="DL24" s="1"/>
  <c r="DD24"/>
  <c r="DM24" s="1"/>
  <c r="CW30"/>
  <c r="DF30" s="1"/>
  <c r="CX30"/>
  <c r="CZ30"/>
  <c r="DA30"/>
  <c r="DJ30" s="1"/>
  <c r="DC30"/>
  <c r="DD30"/>
  <c r="DM30" s="1"/>
  <c r="CW14"/>
  <c r="DF14" s="1"/>
  <c r="CX14"/>
  <c r="DG14" s="1"/>
  <c r="CZ14"/>
  <c r="DI14" s="1"/>
  <c r="DA14"/>
  <c r="DC14"/>
  <c r="DL14" s="1"/>
  <c r="DD14"/>
  <c r="DM14" s="1"/>
  <c r="CW37"/>
  <c r="DF37" s="1"/>
  <c r="CX37"/>
  <c r="DG37" s="1"/>
  <c r="CZ37"/>
  <c r="DA37"/>
  <c r="DJ37" s="1"/>
  <c r="DC37"/>
  <c r="DL37" s="1"/>
  <c r="DD37"/>
  <c r="DM37" s="1"/>
  <c r="CW41"/>
  <c r="DF41" s="1"/>
  <c r="CX41"/>
  <c r="DG41" s="1"/>
  <c r="CZ41"/>
  <c r="DA41"/>
  <c r="DJ41" s="1"/>
  <c r="DC41"/>
  <c r="DD41"/>
  <c r="DM41" s="1"/>
  <c r="CW45"/>
  <c r="DF45" s="1"/>
  <c r="CX45"/>
  <c r="DG45" s="1"/>
  <c r="CZ45"/>
  <c r="DI45" s="1"/>
  <c r="DA45"/>
  <c r="DC45"/>
  <c r="DL45" s="1"/>
  <c r="DD45"/>
  <c r="DM45" s="1"/>
  <c r="CW44"/>
  <c r="DF44" s="1"/>
  <c r="CX44"/>
  <c r="DG44" s="1"/>
  <c r="CZ44"/>
  <c r="DA44"/>
  <c r="DJ44" s="1"/>
  <c r="DC44"/>
  <c r="DD44"/>
  <c r="DM44" s="1"/>
  <c r="BG36"/>
  <c r="BP36" s="1"/>
  <c r="BH36"/>
  <c r="BJ36"/>
  <c r="BK36"/>
  <c r="BT36" s="1"/>
  <c r="BG8"/>
  <c r="BH8"/>
  <c r="BQ8" s="1"/>
  <c r="BJ8"/>
  <c r="BK8"/>
  <c r="BT8" s="1"/>
  <c r="BG10"/>
  <c r="BP10" s="1"/>
  <c r="BH10"/>
  <c r="BQ10" s="1"/>
  <c r="BJ10"/>
  <c r="BK10"/>
  <c r="BT10" s="1"/>
  <c r="BG18"/>
  <c r="BP18" s="1"/>
  <c r="BH18"/>
  <c r="BQ18" s="1"/>
  <c r="BJ18"/>
  <c r="BK18"/>
  <c r="BT18" s="1"/>
  <c r="BG16"/>
  <c r="BP16" s="1"/>
  <c r="BH16"/>
  <c r="BJ16"/>
  <c r="BS16" s="1"/>
  <c r="BK16"/>
  <c r="BT16" s="1"/>
  <c r="BG22"/>
  <c r="BH22"/>
  <c r="BQ22" s="1"/>
  <c r="BJ22"/>
  <c r="BK22"/>
  <c r="BT22" s="1"/>
  <c r="BG23"/>
  <c r="BP23" s="1"/>
  <c r="BH23"/>
  <c r="BQ23" s="1"/>
  <c r="BJ23"/>
  <c r="BS23" s="1"/>
  <c r="BK23"/>
  <c r="BT23" s="1"/>
  <c r="BG12"/>
  <c r="BP12" s="1"/>
  <c r="BH12"/>
  <c r="BQ12" s="1"/>
  <c r="BJ12"/>
  <c r="BS12" s="1"/>
  <c r="BK12"/>
  <c r="BT12" s="1"/>
  <c r="BG24"/>
  <c r="BP24" s="1"/>
  <c r="BH24"/>
  <c r="BJ24"/>
  <c r="BK24"/>
  <c r="BT24" s="1"/>
  <c r="BG30"/>
  <c r="BP30" s="1"/>
  <c r="BH30"/>
  <c r="BQ30" s="1"/>
  <c r="BJ30"/>
  <c r="BS30" s="1"/>
  <c r="BK30"/>
  <c r="BG14"/>
  <c r="BP14" s="1"/>
  <c r="BH14"/>
  <c r="BJ14"/>
  <c r="BS14" s="1"/>
  <c r="BK14"/>
  <c r="BT14" s="1"/>
  <c r="BG37"/>
  <c r="BP37" s="1"/>
  <c r="BH37"/>
  <c r="BQ37" s="1"/>
  <c r="BJ37"/>
  <c r="BK37"/>
  <c r="BT37" s="1"/>
  <c r="BG41"/>
  <c r="BH41"/>
  <c r="BQ41" s="1"/>
  <c r="BJ41"/>
  <c r="BK41"/>
  <c r="BT41" s="1"/>
  <c r="BG45"/>
  <c r="BP45" s="1"/>
  <c r="BH45"/>
  <c r="BQ45" s="1"/>
  <c r="BJ45"/>
  <c r="BS45" s="1"/>
  <c r="BK45"/>
  <c r="BT45" s="1"/>
  <c r="BG44"/>
  <c r="BH44"/>
  <c r="BQ44" s="1"/>
  <c r="BJ44"/>
  <c r="BK44"/>
  <c r="BT44" s="1"/>
  <c r="BE36"/>
  <c r="BN36" s="1"/>
  <c r="BE8"/>
  <c r="BN8" s="1"/>
  <c r="BE10"/>
  <c r="BN10" s="1"/>
  <c r="BE18"/>
  <c r="BN18" s="1"/>
  <c r="BE16"/>
  <c r="BN16" s="1"/>
  <c r="BE22"/>
  <c r="BN22" s="1"/>
  <c r="BE23"/>
  <c r="BN23" s="1"/>
  <c r="BE12"/>
  <c r="BN12" s="1"/>
  <c r="BE24"/>
  <c r="BN24" s="1"/>
  <c r="BE30"/>
  <c r="BN30" s="1"/>
  <c r="BE14"/>
  <c r="BN14" s="1"/>
  <c r="BE37"/>
  <c r="BN37" s="1"/>
  <c r="BE41"/>
  <c r="BN41" s="1"/>
  <c r="BE45"/>
  <c r="BN45" s="1"/>
  <c r="BE44"/>
  <c r="BN44" s="1"/>
  <c r="BD36"/>
  <c r="BD8"/>
  <c r="BM8" s="1"/>
  <c r="BD10"/>
  <c r="BD18"/>
  <c r="BM18" s="1"/>
  <c r="BD16"/>
  <c r="BM16" s="1"/>
  <c r="BD22"/>
  <c r="BM22" s="1"/>
  <c r="BD23"/>
  <c r="BM12"/>
  <c r="BD24"/>
  <c r="BD30"/>
  <c r="BM30" s="1"/>
  <c r="BD14"/>
  <c r="BD37"/>
  <c r="BM37" s="1"/>
  <c r="BD41"/>
  <c r="BM41" s="1"/>
  <c r="BD45"/>
  <c r="BM45" s="1"/>
  <c r="BD44"/>
  <c r="BM44" s="1"/>
  <c r="AB10"/>
  <c r="EE14"/>
  <c r="ED14"/>
  <c r="DV14"/>
  <c r="DU14"/>
  <c r="EB14"/>
  <c r="EA14"/>
  <c r="DS14"/>
  <c r="DR14"/>
  <c r="EF43"/>
  <c r="EC43"/>
  <c r="DZ43"/>
  <c r="DW43"/>
  <c r="DT43"/>
  <c r="DQ43"/>
  <c r="DL43"/>
  <c r="DG43"/>
  <c r="BT43"/>
  <c r="BN43"/>
  <c r="CV43"/>
  <c r="CS43"/>
  <c r="CP43"/>
  <c r="CM43"/>
  <c r="CJ43"/>
  <c r="CG43"/>
  <c r="CD43"/>
  <c r="CA43"/>
  <c r="BX43"/>
  <c r="BC43"/>
  <c r="AZ43"/>
  <c r="AW43"/>
  <c r="AT43"/>
  <c r="AQ43"/>
  <c r="AN43"/>
  <c r="AK43"/>
  <c r="AH43"/>
  <c r="AE43"/>
  <c r="S43"/>
  <c r="O43"/>
  <c r="K43"/>
  <c r="AB43" s="1"/>
  <c r="T41" l="1"/>
  <c r="T22"/>
  <c r="T14"/>
  <c r="T16"/>
  <c r="EG30"/>
  <c r="EG8"/>
  <c r="EG23"/>
  <c r="EG45"/>
  <c r="EG22"/>
  <c r="EG14"/>
  <c r="EG37"/>
  <c r="EG18"/>
  <c r="BF24"/>
  <c r="BO24" s="1"/>
  <c r="T37"/>
  <c r="T10"/>
  <c r="BF36"/>
  <c r="BO36" s="1"/>
  <c r="EG41"/>
  <c r="EG16"/>
  <c r="EG12"/>
  <c r="EG24"/>
  <c r="EG36"/>
  <c r="EG10"/>
  <c r="T44"/>
  <c r="CY22"/>
  <c r="DH22" s="1"/>
  <c r="EG44"/>
  <c r="DE10"/>
  <c r="DN10" s="1"/>
  <c r="CY24"/>
  <c r="DE22"/>
  <c r="BI22"/>
  <c r="BR22" s="1"/>
  <c r="BI8"/>
  <c r="BR8" s="1"/>
  <c r="DB44"/>
  <c r="DK44" s="1"/>
  <c r="DB30"/>
  <c r="DB12"/>
  <c r="DK12" s="1"/>
  <c r="CY23"/>
  <c r="DH23" s="1"/>
  <c r="BL37"/>
  <c r="BU37" s="1"/>
  <c r="BL18"/>
  <c r="BU18" s="1"/>
  <c r="BI44"/>
  <c r="BR44" s="1"/>
  <c r="BI41"/>
  <c r="BR41" s="1"/>
  <c r="DB41"/>
  <c r="DK41" s="1"/>
  <c r="DQ14"/>
  <c r="T18"/>
  <c r="DW14"/>
  <c r="BF23"/>
  <c r="DE12"/>
  <c r="DN12" s="1"/>
  <c r="CY16"/>
  <c r="DH16" s="1"/>
  <c r="DE8"/>
  <c r="DN8" s="1"/>
  <c r="BL44"/>
  <c r="BU44" s="1"/>
  <c r="BL41"/>
  <c r="BU41" s="1"/>
  <c r="BL24"/>
  <c r="BU24" s="1"/>
  <c r="BL10"/>
  <c r="BL36"/>
  <c r="BU36" s="1"/>
  <c r="DE30"/>
  <c r="DN30" s="1"/>
  <c r="DI30"/>
  <c r="DF23"/>
  <c r="DZ14"/>
  <c r="EC14"/>
  <c r="DT14"/>
  <c r="BF14"/>
  <c r="DE44"/>
  <c r="CY14"/>
  <c r="DH14" s="1"/>
  <c r="CY8"/>
  <c r="EF14"/>
  <c r="BS10"/>
  <c r="BP22"/>
  <c r="BS36"/>
  <c r="BF41"/>
  <c r="BO41" s="1"/>
  <c r="BF16"/>
  <c r="BI37"/>
  <c r="BR37" s="1"/>
  <c r="BI18"/>
  <c r="BR18" s="1"/>
  <c r="BL14"/>
  <c r="BU14" s="1"/>
  <c r="CY44"/>
  <c r="DH44" s="1"/>
  <c r="DE36"/>
  <c r="DN36" s="1"/>
  <c r="DE24"/>
  <c r="EK24" s="1"/>
  <c r="BP41"/>
  <c r="BM23"/>
  <c r="BF45"/>
  <c r="BF22"/>
  <c r="BO22" s="1"/>
  <c r="BI16"/>
  <c r="BR16" s="1"/>
  <c r="CY45"/>
  <c r="DH45" s="1"/>
  <c r="DB23"/>
  <c r="BF44"/>
  <c r="BI45"/>
  <c r="BR45" s="1"/>
  <c r="BL16"/>
  <c r="CY41"/>
  <c r="DB22"/>
  <c r="DK22" s="1"/>
  <c r="DB45"/>
  <c r="DE23"/>
  <c r="DN23" s="1"/>
  <c r="BM24"/>
  <c r="T12"/>
  <c r="BF12"/>
  <c r="BO12" s="1"/>
  <c r="BI23"/>
  <c r="BL45"/>
  <c r="BU45" s="1"/>
  <c r="BL22"/>
  <c r="BU22" s="1"/>
  <c r="CY18"/>
  <c r="DH18" s="1"/>
  <c r="CY37"/>
  <c r="DB16"/>
  <c r="DE45"/>
  <c r="BS24"/>
  <c r="DN44"/>
  <c r="T24"/>
  <c r="BI12"/>
  <c r="BL23"/>
  <c r="BU23" s="1"/>
  <c r="CY10"/>
  <c r="DH10" s="1"/>
  <c r="DB18"/>
  <c r="DK18" s="1"/>
  <c r="DB37"/>
  <c r="DE16"/>
  <c r="DE41"/>
  <c r="DN41" s="1"/>
  <c r="BO23"/>
  <c r="BT30"/>
  <c r="T30"/>
  <c r="BF30"/>
  <c r="BO30" s="1"/>
  <c r="BF8"/>
  <c r="BO8" s="1"/>
  <c r="BI24"/>
  <c r="BR24" s="1"/>
  <c r="BI36"/>
  <c r="BL12"/>
  <c r="CY30"/>
  <c r="DH30" s="1"/>
  <c r="DB10"/>
  <c r="DK10" s="1"/>
  <c r="DB14"/>
  <c r="DK14" s="1"/>
  <c r="DE18"/>
  <c r="DN18" s="1"/>
  <c r="DE37"/>
  <c r="DN37" s="1"/>
  <c r="BQ14"/>
  <c r="BQ16"/>
  <c r="BF10"/>
  <c r="BO10" s="1"/>
  <c r="BI30"/>
  <c r="BR30" s="1"/>
  <c r="CY36"/>
  <c r="DH36" s="1"/>
  <c r="DB8"/>
  <c r="DE14"/>
  <c r="DN14" s="1"/>
  <c r="BM36"/>
  <c r="BF37"/>
  <c r="BF18"/>
  <c r="BO18" s="1"/>
  <c r="BI14"/>
  <c r="BI10"/>
  <c r="BL30"/>
  <c r="BU30" s="1"/>
  <c r="BL8"/>
  <c r="BU8" s="1"/>
  <c r="CY12"/>
  <c r="DH12" s="1"/>
  <c r="DB36"/>
  <c r="DK36" s="1"/>
  <c r="DB24"/>
  <c r="T36"/>
  <c r="T23"/>
  <c r="T8"/>
  <c r="T45"/>
  <c r="BP44"/>
  <c r="BM14"/>
  <c r="BM10"/>
  <c r="DI22"/>
  <c r="BO16"/>
  <c r="BR23"/>
  <c r="BU16"/>
  <c r="BS41"/>
  <c r="BS22"/>
  <c r="DL44"/>
  <c r="DG23"/>
  <c r="BQ24"/>
  <c r="BP8"/>
  <c r="BQ36"/>
  <c r="DI41"/>
  <c r="DG30"/>
  <c r="BS44"/>
  <c r="BS8"/>
  <c r="BS37"/>
  <c r="BS18"/>
  <c r="DJ45"/>
  <c r="DL41"/>
  <c r="DJ14"/>
  <c r="DL30"/>
  <c r="DF24"/>
  <c r="DJ23"/>
  <c r="DL22"/>
  <c r="DF16"/>
  <c r="DJ10"/>
  <c r="DL8"/>
  <c r="DF36"/>
  <c r="DI44"/>
  <c r="DI37"/>
  <c r="DI12"/>
  <c r="DI18"/>
  <c r="DL23"/>
  <c r="DF22"/>
  <c r="DL10"/>
  <c r="DF8"/>
  <c r="DI36"/>
  <c r="EG43"/>
  <c r="BS43"/>
  <c r="CY43"/>
  <c r="DH43" s="1"/>
  <c r="DM43"/>
  <c r="BP43"/>
  <c r="BQ43"/>
  <c r="BI43"/>
  <c r="DE43"/>
  <c r="DN43" s="1"/>
  <c r="DJ43"/>
  <c r="BF43"/>
  <c r="DB43"/>
  <c r="DK43" s="1"/>
  <c r="DI43"/>
  <c r="BM43"/>
  <c r="DF43"/>
  <c r="BL43"/>
  <c r="T43"/>
  <c r="EK16" l="1"/>
  <c r="DN16"/>
  <c r="EJ37"/>
  <c r="EJ24"/>
  <c r="DK37"/>
  <c r="EH16"/>
  <c r="EI44"/>
  <c r="EH37"/>
  <c r="BR10"/>
  <c r="EK44"/>
  <c r="EJ16"/>
  <c r="EI41"/>
  <c r="EJ23"/>
  <c r="EI37"/>
  <c r="DK16"/>
  <c r="EJ8"/>
  <c r="EK37"/>
  <c r="DK23"/>
  <c r="EI8"/>
  <c r="BU12"/>
  <c r="BR12"/>
  <c r="EK10"/>
  <c r="BR36"/>
  <c r="DN24"/>
  <c r="DH8"/>
  <c r="DK8"/>
  <c r="DK24"/>
  <c r="DH24"/>
  <c r="EJ45"/>
  <c r="DK45"/>
  <c r="DH41"/>
  <c r="EH45"/>
  <c r="EK30"/>
  <c r="EH22"/>
  <c r="EI16"/>
  <c r="EI22"/>
  <c r="EI18"/>
  <c r="EK8"/>
  <c r="EK22"/>
  <c r="BO37"/>
  <c r="EJ10"/>
  <c r="EI45"/>
  <c r="EJ41"/>
  <c r="EJ44"/>
  <c r="EJ30"/>
  <c r="EH30"/>
  <c r="EI10"/>
  <c r="EK45"/>
  <c r="EH44"/>
  <c r="EJ12"/>
  <c r="EH8"/>
  <c r="EJ18"/>
  <c r="BO45"/>
  <c r="EH12"/>
  <c r="EH41"/>
  <c r="EH14"/>
  <c r="EI23"/>
  <c r="DN45"/>
  <c r="BO14"/>
  <c r="DK30"/>
  <c r="EI12"/>
  <c r="EI24"/>
  <c r="EH36"/>
  <c r="EK36"/>
  <c r="BR14"/>
  <c r="EJ43"/>
  <c r="DH37"/>
  <c r="DN22"/>
  <c r="EJ22"/>
  <c r="EK18"/>
  <c r="EH23"/>
  <c r="EI29"/>
  <c r="EI14"/>
  <c r="EH24"/>
  <c r="EK41"/>
  <c r="BU10"/>
  <c r="EJ14"/>
  <c r="EH18"/>
  <c r="EK14"/>
  <c r="EH10"/>
  <c r="EK43"/>
  <c r="EK23"/>
  <c r="EK12"/>
  <c r="EJ36"/>
  <c r="EI36"/>
  <c r="EI30"/>
  <c r="BO44"/>
  <c r="EH43"/>
  <c r="BR43"/>
  <c r="BU43"/>
  <c r="EI43"/>
  <c r="BO43"/>
</calcChain>
</file>

<file path=xl/sharedStrings.xml><?xml version="1.0" encoding="utf-8"?>
<sst xmlns="http://schemas.openxmlformats.org/spreadsheetml/2006/main" count="2042" uniqueCount="400">
  <si>
    <t>Government</t>
  </si>
  <si>
    <t>Government Aided</t>
  </si>
  <si>
    <t>Government Unaided</t>
  </si>
  <si>
    <t>Total</t>
  </si>
  <si>
    <t>Schools</t>
  </si>
  <si>
    <t>Appeared</t>
  </si>
  <si>
    <t>Passed</t>
  </si>
  <si>
    <t>Pass %</t>
  </si>
  <si>
    <t>100%-90%</t>
  </si>
  <si>
    <t>90%-80%</t>
  </si>
  <si>
    <t>80%-70%</t>
  </si>
  <si>
    <t>70%-60%</t>
  </si>
  <si>
    <t>60%-50%</t>
  </si>
  <si>
    <t>Total Differ</t>
  </si>
  <si>
    <t>Board Name</t>
  </si>
  <si>
    <t>Sr No.</t>
  </si>
  <si>
    <t>All Boys</t>
  </si>
  <si>
    <t>All girls</t>
  </si>
  <si>
    <t xml:space="preserve">All </t>
  </si>
  <si>
    <t xml:space="preserve">SC Boys </t>
  </si>
  <si>
    <t>SC Girls</t>
  </si>
  <si>
    <t>SC all</t>
  </si>
  <si>
    <t xml:space="preserve">ST Boys </t>
  </si>
  <si>
    <t>ST girls</t>
  </si>
  <si>
    <t>ST All</t>
  </si>
  <si>
    <t>Regular Appeared</t>
  </si>
  <si>
    <t>Regular Passed</t>
  </si>
  <si>
    <t>Regular Supplementary Passed</t>
  </si>
  <si>
    <t>Regular Total Passed</t>
  </si>
  <si>
    <t>Private Appeared</t>
  </si>
  <si>
    <t>Private Passed</t>
  </si>
  <si>
    <t>Private Supplementary Passed</t>
  </si>
  <si>
    <t>Private Total Passed</t>
  </si>
  <si>
    <t>Passed with percentage(60% &amp; Above)</t>
  </si>
  <si>
    <t>Passed with percentage(Below 60% )</t>
  </si>
  <si>
    <t>Total Passed</t>
  </si>
  <si>
    <t>All</t>
  </si>
  <si>
    <t>SC</t>
  </si>
  <si>
    <t>ST</t>
  </si>
  <si>
    <t>Regular Student Pass %</t>
  </si>
  <si>
    <t>Private Student Pass %</t>
  </si>
  <si>
    <t xml:space="preserve"> (Schoolwise Vs Reg+Private)</t>
  </si>
  <si>
    <t>Name of the Board</t>
  </si>
  <si>
    <t>Boys</t>
  </si>
  <si>
    <t>Girls</t>
  </si>
  <si>
    <t>Name of Examination</t>
  </si>
  <si>
    <t>Date of Annual Exam</t>
  </si>
  <si>
    <t>Date of Supplementry Exam</t>
  </si>
  <si>
    <t>Commencement</t>
  </si>
  <si>
    <t>Completion</t>
  </si>
  <si>
    <r>
      <rPr>
        <b/>
        <sz val="11"/>
        <rFont val="Cambria"/>
        <family val="1"/>
      </rPr>
      <t xml:space="preserve">New Delhi </t>
    </r>
    <r>
      <rPr>
        <sz val="11"/>
        <rFont val="Cambria"/>
        <family val="1"/>
      </rPr>
      <t>Rashtriya Sanskrit Sansthan</t>
    </r>
  </si>
  <si>
    <t>Annual</t>
  </si>
  <si>
    <r>
      <rPr>
        <b/>
        <sz val="11"/>
        <rFont val="Cambria"/>
        <family val="1"/>
      </rPr>
      <t>Banasthali Vidyapith</t>
    </r>
    <r>
      <rPr>
        <sz val="11"/>
        <rFont val="Cambria"/>
        <family val="1"/>
      </rPr>
      <t xml:space="preserve"> , </t>
    </r>
    <r>
      <rPr>
        <b/>
        <sz val="11"/>
        <rFont val="Cambria"/>
        <family val="1"/>
      </rPr>
      <t>Rajasthan</t>
    </r>
  </si>
  <si>
    <t>Secondary School Certificate (Class - X)</t>
  </si>
  <si>
    <r>
      <t>Bihar</t>
    </r>
    <r>
      <rPr>
        <sz val="11"/>
        <rFont val="Cambria"/>
        <family val="1"/>
      </rPr>
      <t xml:space="preserve"> School Education Board</t>
    </r>
  </si>
  <si>
    <t>Secondary School Examination 2017 (Annual)</t>
  </si>
  <si>
    <r>
      <t>Chhattisgarh</t>
    </r>
    <r>
      <rPr>
        <sz val="11"/>
        <rFont val="Cambria"/>
        <family val="1"/>
      </rPr>
      <t xml:space="preserve"> Board of Secondary Education</t>
    </r>
  </si>
  <si>
    <t>High School Certificate Examination</t>
  </si>
  <si>
    <r>
      <t xml:space="preserve">Chhatisgarh </t>
    </r>
    <r>
      <rPr>
        <sz val="11"/>
        <rFont val="Cambria"/>
        <family val="1"/>
      </rPr>
      <t>Sanskriti Vidya Mandalam</t>
    </r>
  </si>
  <si>
    <t>Purva Madhyama class (X)</t>
  </si>
  <si>
    <r>
      <t>Goa</t>
    </r>
    <r>
      <rPr>
        <sz val="11"/>
        <rFont val="Cambria"/>
        <family val="1"/>
      </rPr>
      <t xml:space="preserve"> Board of Secondary &amp; Higher Secondary Education</t>
    </r>
  </si>
  <si>
    <t>Secondary School Certificate Examination</t>
  </si>
  <si>
    <r>
      <t>Gujarat</t>
    </r>
    <r>
      <rPr>
        <sz val="11"/>
        <rFont val="Cambria"/>
        <family val="1"/>
      </rPr>
      <t xml:space="preserve"> Secondary &amp; Higher Secondary Education Board</t>
    </r>
  </si>
  <si>
    <t>SSC Examination - 2017</t>
  </si>
  <si>
    <r>
      <t xml:space="preserve">Board of School Education </t>
    </r>
    <r>
      <rPr>
        <b/>
        <sz val="11"/>
        <rFont val="Cambria"/>
        <family val="1"/>
      </rPr>
      <t>Haryana</t>
    </r>
  </si>
  <si>
    <r>
      <t>H.P.</t>
    </r>
    <r>
      <rPr>
        <sz val="11"/>
        <rFont val="Cambria"/>
        <family val="1"/>
      </rPr>
      <t xml:space="preserve"> Board of School Education</t>
    </r>
  </si>
  <si>
    <t>HPBOSE</t>
  </si>
  <si>
    <r>
      <rPr>
        <b/>
        <sz val="11"/>
        <rFont val="Cambria"/>
        <family val="1"/>
      </rPr>
      <t>Madhya Pradesh</t>
    </r>
    <r>
      <rPr>
        <sz val="11"/>
        <rFont val="Cambria"/>
        <family val="1"/>
      </rPr>
      <t xml:space="preserve"> Maharshi Patanjali Sanskrit Sansthan</t>
    </r>
  </si>
  <si>
    <t>Poorv Madhyama (X)</t>
  </si>
  <si>
    <t>Annual High School Certificate Examination</t>
  </si>
  <si>
    <r>
      <t>Punjab</t>
    </r>
    <r>
      <rPr>
        <sz val="11"/>
        <rFont val="Cambria"/>
        <family val="1"/>
      </rPr>
      <t xml:space="preserve"> School Education Board</t>
    </r>
  </si>
  <si>
    <t>Matric Examination</t>
  </si>
  <si>
    <t>Purva Madhyma</t>
  </si>
  <si>
    <r>
      <t xml:space="preserve">U.P. </t>
    </r>
    <r>
      <rPr>
        <sz val="11"/>
        <rFont val="Cambria"/>
        <family val="1"/>
      </rPr>
      <t>Dayalbag Education Institute</t>
    </r>
  </si>
  <si>
    <t xml:space="preserve">High School   </t>
  </si>
  <si>
    <t>Nil</t>
  </si>
  <si>
    <r>
      <t xml:space="preserve">Uttarakhand </t>
    </r>
    <r>
      <rPr>
        <sz val="11"/>
        <rFont val="Cambria"/>
        <family val="1"/>
      </rPr>
      <t>Sanskriti Shiksha   Parishad</t>
    </r>
  </si>
  <si>
    <t>Porva Madhayama(High School)Exam-2017</t>
  </si>
  <si>
    <r>
      <t xml:space="preserve">Uttarakhand </t>
    </r>
    <r>
      <rPr>
        <sz val="11"/>
        <rFont val="Cambria"/>
        <family val="1"/>
      </rPr>
      <t>Board of School Education</t>
    </r>
  </si>
  <si>
    <r>
      <t xml:space="preserve">State Madrassa Education Board, </t>
    </r>
    <r>
      <rPr>
        <b/>
        <sz val="11"/>
        <rFont val="Cambria"/>
        <family val="1"/>
      </rPr>
      <t>Assam</t>
    </r>
  </si>
  <si>
    <t>Fadilul Ma arif(F.M.) Examination</t>
  </si>
  <si>
    <r>
      <rPr>
        <b/>
        <sz val="11"/>
        <rFont val="Cambria"/>
        <family val="1"/>
      </rPr>
      <t>Nagaland</t>
    </r>
    <r>
      <rPr>
        <sz val="11"/>
        <rFont val="Cambria"/>
        <family val="1"/>
      </rPr>
      <t xml:space="preserve"> Board of School Education</t>
    </r>
  </si>
  <si>
    <t>Secondary School Examination (Class-X)</t>
  </si>
  <si>
    <t>High School Leaving Certificate Examination</t>
  </si>
  <si>
    <r>
      <t>Madhya Pradesh</t>
    </r>
    <r>
      <rPr>
        <sz val="11"/>
        <rFont val="Cambria"/>
        <family val="1"/>
      </rPr>
      <t xml:space="preserve"> Board of Secondary Education 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</si>
  <si>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Shiksha Parishad</t>
    </r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</si>
  <si>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Sanskrit Board</t>
    </r>
  </si>
  <si>
    <t xml:space="preserve">Secondary School Examination (Class X) </t>
  </si>
  <si>
    <r>
      <rPr>
        <b/>
        <sz val="11"/>
        <rFont val="Cambria"/>
        <family val="1"/>
      </rPr>
      <t>Aligarh Muslim University</t>
    </r>
    <r>
      <rPr>
        <sz val="11"/>
        <rFont val="Cambria"/>
        <family val="1"/>
      </rPr>
      <t xml:space="preserve"> Board of Secondary &amp; Sr.Secondary Education</t>
    </r>
  </si>
  <si>
    <t>Secondary School Certificate Examination (Part-II)</t>
  </si>
  <si>
    <r>
      <t xml:space="preserve">Central Board of Secondary Education, </t>
    </r>
    <r>
      <rPr>
        <b/>
        <sz val="11"/>
        <rFont val="Cambria"/>
        <family val="1"/>
      </rPr>
      <t>New Delhi</t>
    </r>
  </si>
  <si>
    <r>
      <rPr>
        <sz val="11"/>
        <rFont val="Cambria"/>
        <family val="1"/>
      </rPr>
      <t>Director of Government Examination</t>
    </r>
    <r>
      <rPr>
        <b/>
        <sz val="11"/>
        <rFont val="Cambria"/>
        <family val="1"/>
      </rPr>
      <t xml:space="preserve"> Telangana</t>
    </r>
  </si>
  <si>
    <t>Secondary School Certificate Public Examination</t>
  </si>
  <si>
    <t>Chhattisgarh Madarsa Board</t>
  </si>
  <si>
    <t>High School Correspondence Course Examination</t>
  </si>
  <si>
    <r>
      <t>Jharkhand</t>
    </r>
    <r>
      <rPr>
        <sz val="11"/>
        <rFont val="Cambria"/>
        <family val="1"/>
      </rPr>
      <t xml:space="preserve"> Academic Council, Ranchi</t>
    </r>
  </si>
  <si>
    <t>Board of Academic Council -2017</t>
  </si>
  <si>
    <r>
      <t xml:space="preserve">J.K </t>
    </r>
    <r>
      <rPr>
        <sz val="11"/>
        <rFont val="Cambria"/>
        <family val="1"/>
      </rPr>
      <t>State Board of School Education</t>
    </r>
  </si>
  <si>
    <t>Jammu and Kashmir board Class - X</t>
  </si>
  <si>
    <r>
      <t xml:space="preserve">Council for the Indian School Certificate Examinations,                     </t>
    </r>
    <r>
      <rPr>
        <b/>
        <sz val="11"/>
        <rFont val="Cambria"/>
        <family val="1"/>
      </rPr>
      <t>New Delhi</t>
    </r>
  </si>
  <si>
    <t>Indian Certificate of Secondary Education</t>
  </si>
  <si>
    <t>N.A</t>
  </si>
  <si>
    <r>
      <t xml:space="preserve">Tripura </t>
    </r>
    <r>
      <rPr>
        <sz val="11"/>
        <rFont val="Cambria"/>
        <family val="1"/>
      </rPr>
      <t>Board of Secondary Education</t>
    </r>
  </si>
  <si>
    <t>Madhyamik Pariksha(Secondary Examination)</t>
  </si>
  <si>
    <r>
      <t>West Bengal</t>
    </r>
    <r>
      <rPr>
        <sz val="11"/>
        <rFont val="Cambria"/>
        <family val="1"/>
      </rPr>
      <t xml:space="preserve"> Board of Secondary Education</t>
    </r>
  </si>
  <si>
    <t>Board of Secondary education</t>
  </si>
  <si>
    <r>
      <t>Meghalaya</t>
    </r>
    <r>
      <rPr>
        <sz val="11"/>
        <color indexed="8"/>
        <rFont val="Cambria"/>
        <family val="1"/>
      </rPr>
      <t xml:space="preserve"> Board of School Education</t>
    </r>
  </si>
  <si>
    <r>
      <rPr>
        <b/>
        <sz val="11"/>
        <rFont val="Cambria"/>
        <family val="1"/>
      </rPr>
      <t>Maharashtra</t>
    </r>
    <r>
      <rPr>
        <sz val="11"/>
        <rFont val="Cambria"/>
        <family val="1"/>
      </rPr>
      <t xml:space="preserve"> State Board of Secondary Education</t>
    </r>
  </si>
  <si>
    <r>
      <rPr>
        <b/>
        <sz val="11"/>
        <rFont val="Cambria"/>
        <family val="1"/>
      </rPr>
      <t>Andhra Pradesh</t>
    </r>
    <r>
      <rPr>
        <sz val="11"/>
        <rFont val="Cambria"/>
        <family val="1"/>
      </rPr>
      <t xml:space="preserve">, Board of Secondary Education </t>
    </r>
  </si>
  <si>
    <t>Maharashtra State Board of Secondary Education</t>
  </si>
  <si>
    <r>
      <rPr>
        <b/>
        <sz val="11"/>
        <rFont val="Cambria"/>
        <family val="1"/>
      </rPr>
      <t>Kerala</t>
    </r>
    <r>
      <rPr>
        <sz val="11"/>
        <rFont val="Cambria"/>
        <family val="1"/>
      </rPr>
      <t xml:space="preserve"> Board of Public Examination (Secondary Wing)</t>
    </r>
  </si>
  <si>
    <r>
      <rPr>
        <b/>
        <sz val="11"/>
        <color theme="1"/>
        <rFont val="Calibri"/>
        <family val="2"/>
        <scheme val="minor"/>
      </rPr>
      <t>West Bengal</t>
    </r>
    <r>
      <rPr>
        <sz val="11"/>
        <color theme="1"/>
        <rFont val="Calibri"/>
        <family val="2"/>
        <scheme val="minor"/>
      </rPr>
      <t xml:space="preserve"> Board of Madrasah Education </t>
    </r>
  </si>
  <si>
    <t>High Madrasah Examination</t>
  </si>
  <si>
    <r>
      <t xml:space="preserve">Karnataka, </t>
    </r>
    <r>
      <rPr>
        <sz val="11"/>
        <rFont val="Cambria"/>
        <family val="1"/>
      </rPr>
      <t>Secondary Education Examination Board</t>
    </r>
  </si>
  <si>
    <t>Secondary School Leaving Certificate</t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</si>
  <si>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State Madrasa Education Board, Vidyapati Marg, Patna</t>
    </r>
  </si>
  <si>
    <r>
      <t xml:space="preserve"> Board of Secondary Education,</t>
    </r>
    <r>
      <rPr>
        <b/>
        <sz val="11"/>
        <rFont val="Cambria"/>
        <family val="1"/>
      </rPr>
      <t xml:space="preserve"> Rajasthan</t>
    </r>
  </si>
  <si>
    <t>Board of Secondary education (Class X)</t>
  </si>
  <si>
    <t>10-013-2017</t>
  </si>
  <si>
    <t>High School Leaving Certificate Examination(HSLC)</t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</si>
  <si>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Board of Secondary Education </t>
    </r>
    <r>
      <rPr>
        <b/>
        <sz val="11"/>
        <rFont val="Cambria"/>
        <family val="1"/>
      </rPr>
      <t xml:space="preserve"> </t>
    </r>
  </si>
  <si>
    <r>
      <t xml:space="preserve">Board of Secondary Education, </t>
    </r>
    <r>
      <rPr>
        <b/>
        <sz val="11"/>
        <rFont val="Cambria"/>
        <family val="1"/>
      </rPr>
      <t>Manipur</t>
    </r>
  </si>
  <si>
    <r>
      <t xml:space="preserve">Board of Secondary Education, </t>
    </r>
    <r>
      <rPr>
        <b/>
        <sz val="11"/>
        <rFont val="Cambria"/>
        <family val="1"/>
      </rPr>
      <t>Odisha</t>
    </r>
  </si>
  <si>
    <t>Secondary examination</t>
  </si>
  <si>
    <r>
      <rPr>
        <b/>
        <sz val="11"/>
        <color theme="1"/>
        <rFont val="Calibri"/>
        <family val="2"/>
        <scheme val="minor"/>
      </rPr>
      <t>Mizoram</t>
    </r>
    <r>
      <rPr>
        <sz val="11"/>
        <color theme="1"/>
        <rFont val="Calibri"/>
        <family val="2"/>
        <scheme val="minor"/>
      </rPr>
      <t xml:space="preserve"> Board of School Education</t>
    </r>
  </si>
  <si>
    <r>
      <rPr>
        <b/>
        <sz val="11"/>
        <color theme="1"/>
        <rFont val="Calibri"/>
        <family val="2"/>
        <scheme val="minor"/>
      </rPr>
      <t>Tamilnadu</t>
    </r>
    <r>
      <rPr>
        <sz val="11"/>
        <color theme="1"/>
        <rFont val="Calibri"/>
        <family val="2"/>
        <scheme val="minor"/>
      </rPr>
      <t xml:space="preserve"> board of Secondary Education</t>
    </r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</si>
  <si>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Sanskrit Board of Education</t>
    </r>
  </si>
  <si>
    <t>High School</t>
  </si>
  <si>
    <r>
      <t>Maharshi Patanjali Sanskrit Sansthan,Bhopal(</t>
    </r>
    <r>
      <rPr>
        <b/>
        <sz val="11"/>
        <color theme="1"/>
        <rFont val="Calibri"/>
        <family val="2"/>
        <scheme val="minor"/>
      </rPr>
      <t>Madhya Pradesh)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</si>
  <si>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Sanskrit Shiksha Parishad</t>
    </r>
  </si>
  <si>
    <t>Row Labels</t>
  </si>
  <si>
    <t xml:space="preserve"> Board of Secondary Education, Rajasthan</t>
  </si>
  <si>
    <t>Aligarh Muslim University Board of Secondary &amp; Sr.Secondary Education</t>
  </si>
  <si>
    <t xml:space="preserve">Andhra Pradesh, Board of Secondary Education </t>
  </si>
  <si>
    <t xml:space="preserve">Assam Board of Secondary Education  </t>
  </si>
  <si>
    <t>Assam Sanskrit Board</t>
  </si>
  <si>
    <t>Banasthali Vidyapith , Rajasthan</t>
  </si>
  <si>
    <t>Bihar Sanskrit Board of Education</t>
  </si>
  <si>
    <t>Bihar School Education Board</t>
  </si>
  <si>
    <t>Bihar State Madrasa Education Board, Vidyapati Marg, Patna</t>
  </si>
  <si>
    <t>Board of School Education Haryana</t>
  </si>
  <si>
    <t>Board of Secondary Education, Manipur</t>
  </si>
  <si>
    <t>Board of Secondary Education, Odisha</t>
  </si>
  <si>
    <t>Central Board of Secondary Education, New Delhi</t>
  </si>
  <si>
    <t>Chhatisgarh Sanskriti Vidya Mandalam</t>
  </si>
  <si>
    <t>Chhattisgarh Board of Secondary Education</t>
  </si>
  <si>
    <t>Council for the Indian School Certificate Examinations,                     New Delhi</t>
  </si>
  <si>
    <t>Director of Government Examination Telangana</t>
  </si>
  <si>
    <t>Goa Board of Secondary &amp; Higher Secondary Education</t>
  </si>
  <si>
    <t>Gujarat Secondary &amp; Higher Secondary Education Board</t>
  </si>
  <si>
    <t>H.P. Board of School Education</t>
  </si>
  <si>
    <t>J.K State Board of School Education</t>
  </si>
  <si>
    <t>Jharkhand Academic Council, Ranchi</t>
  </si>
  <si>
    <t>Karnataka, Secondary Education Examination Board</t>
  </si>
  <si>
    <t>Kerala Board of Public Examination (Secondary Wing)</t>
  </si>
  <si>
    <t xml:space="preserve">Madhya Pradesh Board of Secondary Education </t>
  </si>
  <si>
    <t>Madhya Pradesh Maharshi Patanjali Sanskrit Sansthan</t>
  </si>
  <si>
    <t>Maharshi Patanjali Sanskrit Sansthan,Bhopal(Madhya Pradesh)</t>
  </si>
  <si>
    <t>Meghalaya Board of School Education</t>
  </si>
  <si>
    <t>Mizoram Board of School Education</t>
  </si>
  <si>
    <t>Nagaland Board of School Education</t>
  </si>
  <si>
    <t>New Delhi Rashtriya Sanskrit Sansthan</t>
  </si>
  <si>
    <t>Punjab School Education Board</t>
  </si>
  <si>
    <t>State Madrassa Education Board, Assam</t>
  </si>
  <si>
    <t>Tamilnadu board of Secondary Education</t>
  </si>
  <si>
    <t>Tripura Board of Secondary Education</t>
  </si>
  <si>
    <t>U.P. Dayalbag Education Institute</t>
  </si>
  <si>
    <t>UP Madhyamik Sanskrit Shiksha Parishad</t>
  </si>
  <si>
    <t>UP Madhyamik Shiksha Parishad</t>
  </si>
  <si>
    <t>Uttarakhand Board of School Education</t>
  </si>
  <si>
    <t>Uttarakhand Sanskriti Shiksha   Parishad</t>
  </si>
  <si>
    <t xml:space="preserve">West Bengal Board of Madrasah Education </t>
  </si>
  <si>
    <t>West Bengal Board of Secondary Education</t>
  </si>
  <si>
    <t>Grand Total</t>
  </si>
  <si>
    <t>P_All Boys</t>
  </si>
  <si>
    <t>PP_All Boys</t>
  </si>
  <si>
    <t>PPS_All Boys</t>
  </si>
  <si>
    <t>(blank)</t>
  </si>
  <si>
    <t>Values</t>
  </si>
  <si>
    <t>Table 1- Annual and Supplementary Examination Results - Regular Students - All Categories</t>
  </si>
  <si>
    <t>Table 2 -Annual and Supplementary Examination Results - Private Students - All Categories</t>
  </si>
  <si>
    <t>Table 3 -Annual and Supplementary Examination Results - Regular and Private Students - All Categories</t>
  </si>
  <si>
    <t>Table 4 -Annual and Supplementary Examination Results - Regular SC Students</t>
  </si>
  <si>
    <t>Table 5 -Annual and Supplementary Examination Results - Private SC Students</t>
  </si>
  <si>
    <t>Table 6 -Annual and Supplementary Examination Results - Regular and Private SC Students</t>
  </si>
  <si>
    <t>Table 7 -Annual and Supplementary Examination Results - Regular ST Students</t>
  </si>
  <si>
    <t>Table 8 -Annual and Supplementary Examination Results - Private ST Students</t>
  </si>
  <si>
    <t>Table 9 -Annual and Supplementary Examination Results - Regular and Private ST Students</t>
  </si>
  <si>
    <t>Number of Students</t>
  </si>
  <si>
    <t>Pass %age</t>
  </si>
  <si>
    <t>Supplementary</t>
  </si>
  <si>
    <t>Annual &amp; Supplementary</t>
  </si>
  <si>
    <t>Sl. No.</t>
  </si>
  <si>
    <t>Total Number of Students Passed</t>
  </si>
  <si>
    <t>Out of the Total, Number of Students passed with marks</t>
  </si>
  <si>
    <t>Percentage of Students passed with marks</t>
  </si>
  <si>
    <t>60% &amp; above</t>
  </si>
  <si>
    <t>pas All Boys</t>
  </si>
  <si>
    <t>Pas All girls</t>
  </si>
  <si>
    <t>Sum of All 11</t>
  </si>
  <si>
    <t>Sum of SC all11</t>
  </si>
  <si>
    <t>Sum of ST All11</t>
  </si>
  <si>
    <t>Sum of pas All Boys</t>
  </si>
  <si>
    <t>Sum of Pas All girls</t>
  </si>
  <si>
    <t>Sum of SC Boys 11</t>
  </si>
  <si>
    <t>Sum of SC Girls11</t>
  </si>
  <si>
    <t>Sum of ST Boys 11</t>
  </si>
  <si>
    <t>Sum of ST girls11</t>
  </si>
  <si>
    <t>RESULTS OF SECONDARY EXAMINATION- 2017</t>
  </si>
  <si>
    <t>Table 10 -Annual and Supplementary Examination Results - Percentage-wise-All Categories</t>
  </si>
  <si>
    <t>Table 11 -Annual and Supplementary Examination Results - Percentage-wise-SC Students</t>
  </si>
  <si>
    <t>Table 12 -Annual and Supplementary Examination Results - Percentage-wise-ST Students</t>
  </si>
  <si>
    <t>Board of Secondary Education, Rajasthan</t>
  </si>
  <si>
    <t>Board of Secondary Education, Telangana</t>
  </si>
  <si>
    <t>Uttarakhand Sanskriti Shiksha Parishad</t>
  </si>
  <si>
    <t>Council for the Indian School Certificate Examinations,New Delhi</t>
  </si>
  <si>
    <t>Central Boards</t>
  </si>
  <si>
    <t>State Boards</t>
  </si>
  <si>
    <t>Year</t>
  </si>
  <si>
    <t>All Categories</t>
  </si>
  <si>
    <t>Scheduled Caste</t>
  </si>
  <si>
    <t>Scheduled Tribe</t>
  </si>
  <si>
    <t>Telangana Open School Society, Hyderabad</t>
  </si>
  <si>
    <t>Chhattisgarh State Open School</t>
  </si>
  <si>
    <t>Rajasthan State Open School</t>
  </si>
  <si>
    <t>MP State Open School Education board, Bhopal</t>
  </si>
  <si>
    <t xml:space="preserve">National Institute of Open Schooling </t>
  </si>
  <si>
    <t xml:space="preserve">Note: In Open Schooling System, candidates are not classified as 'Regular' or 'Private". </t>
  </si>
  <si>
    <t>Black cell indicates that either system does not exist or information is not available.</t>
  </si>
  <si>
    <t>75% &amp; above</t>
  </si>
  <si>
    <t>60% to below 75%</t>
  </si>
  <si>
    <t>Council for the Indian School Certificate Examinations, New Delhi</t>
  </si>
  <si>
    <r>
      <t xml:space="preserve">Board of Secondary Education, </t>
    </r>
    <r>
      <rPr>
        <b/>
        <sz val="11"/>
        <rFont val="Cambria"/>
        <family val="1"/>
      </rPr>
      <t>Andhra Pradesh</t>
    </r>
  </si>
  <si>
    <r>
      <t xml:space="preserve">Board of Secondary Education </t>
    </r>
    <r>
      <rPr>
        <b/>
        <sz val="11"/>
        <rFont val="Cambria"/>
        <family val="1"/>
      </rPr>
      <t>Assam</t>
    </r>
  </si>
  <si>
    <r>
      <t xml:space="preserve">Banasthali Vidyapith,  </t>
    </r>
    <r>
      <rPr>
        <b/>
        <sz val="11"/>
        <rFont val="Cambria"/>
        <family val="1"/>
      </rPr>
      <t>Rajasthan #</t>
    </r>
  </si>
  <si>
    <r>
      <t>Bihar</t>
    </r>
    <r>
      <rPr>
        <sz val="11"/>
        <rFont val="Cambria"/>
        <family val="1"/>
      </rPr>
      <t xml:space="preserve"> State Madrasa Education Board</t>
    </r>
  </si>
  <si>
    <r>
      <t>Karnataka</t>
    </r>
    <r>
      <rPr>
        <sz val="11"/>
        <rFont val="Cambria"/>
        <family val="1"/>
      </rPr>
      <t xml:space="preserve"> Secondary Education Examination Board</t>
    </r>
  </si>
  <si>
    <r>
      <t xml:space="preserve">Kerala </t>
    </r>
    <r>
      <rPr>
        <sz val="11"/>
        <rFont val="Cambria"/>
        <family val="1"/>
      </rPr>
      <t>Board of Public Examination</t>
    </r>
  </si>
  <si>
    <r>
      <t>Maharasthra</t>
    </r>
    <r>
      <rPr>
        <sz val="11"/>
        <rFont val="Cambria"/>
        <family val="1"/>
      </rPr>
      <t xml:space="preserve"> State Board of Secondary &amp; Higher Secondary Education</t>
    </r>
  </si>
  <si>
    <r>
      <t xml:space="preserve">Board of Secondary Education, </t>
    </r>
    <r>
      <rPr>
        <b/>
        <sz val="11"/>
        <rFont val="Cambria"/>
        <family val="1"/>
      </rPr>
      <t>Madhya Pradesh</t>
    </r>
  </si>
  <si>
    <r>
      <t>Mizoram</t>
    </r>
    <r>
      <rPr>
        <sz val="11"/>
        <rFont val="Cambria"/>
        <family val="1"/>
      </rPr>
      <t xml:space="preserve"> Board of School Education</t>
    </r>
  </si>
  <si>
    <r>
      <t>Nagaland</t>
    </r>
    <r>
      <rPr>
        <sz val="11"/>
        <rFont val="Cambria"/>
        <family val="1"/>
      </rPr>
      <t xml:space="preserve"> Board of School Education</t>
    </r>
  </si>
  <si>
    <r>
      <t xml:space="preserve">Board of Secondary Education, </t>
    </r>
    <r>
      <rPr>
        <b/>
        <sz val="11"/>
        <rFont val="Cambria"/>
        <family val="1"/>
      </rPr>
      <t>Orissa</t>
    </r>
  </si>
  <si>
    <r>
      <t xml:space="preserve">Board of Secondary Education, </t>
    </r>
    <r>
      <rPr>
        <b/>
        <sz val="11"/>
        <rFont val="Cambria"/>
        <family val="1"/>
      </rPr>
      <t>Rajasthan</t>
    </r>
  </si>
  <si>
    <r>
      <t>Tamil Nadu</t>
    </r>
    <r>
      <rPr>
        <sz val="11"/>
        <rFont val="Cambria"/>
        <family val="1"/>
      </rPr>
      <t xml:space="preserve"> State Board of School Examination</t>
    </r>
  </si>
  <si>
    <r>
      <t xml:space="preserve">UP </t>
    </r>
    <r>
      <rPr>
        <sz val="11"/>
        <rFont val="Cambria"/>
        <family val="1"/>
      </rPr>
      <t>Board of High School &amp; Intermediate Education</t>
    </r>
  </si>
  <si>
    <r>
      <t>U.P.</t>
    </r>
    <r>
      <rPr>
        <sz val="11"/>
        <rFont val="Cambria"/>
        <family val="1"/>
      </rPr>
      <t>Madhymik Shiksha Parisad, Sanskriti Shiksha Parishad</t>
    </r>
  </si>
  <si>
    <r>
      <t>Uttranchal</t>
    </r>
    <r>
      <rPr>
        <sz val="11"/>
        <rFont val="Cambria"/>
        <family val="1"/>
      </rPr>
      <t xml:space="preserve"> Shiksha Evm Pariksha Parishad</t>
    </r>
  </si>
  <si>
    <t># The Institute is mainly meant for Women, Boys enrolment pertains to wards of the staff.</t>
  </si>
  <si>
    <r>
      <t xml:space="preserve">National Institute of Open Schooling, </t>
    </r>
    <r>
      <rPr>
        <b/>
        <sz val="11"/>
        <rFont val="Cambria"/>
        <family val="1"/>
      </rPr>
      <t>New Delhi</t>
    </r>
  </si>
  <si>
    <r>
      <t>A.P</t>
    </r>
    <r>
      <rPr>
        <sz val="11"/>
        <rFont val="Cambria"/>
        <family val="1"/>
      </rPr>
      <t>. Open School Society, Hyderabad</t>
    </r>
  </si>
  <si>
    <r>
      <t>Chhattisgarh</t>
    </r>
    <r>
      <rPr>
        <sz val="11"/>
        <rFont val="Cambria"/>
        <family val="1"/>
      </rPr>
      <t xml:space="preserve"> State Open School</t>
    </r>
  </si>
  <si>
    <r>
      <t>M.P.</t>
    </r>
    <r>
      <rPr>
        <sz val="11"/>
        <rFont val="Cambria"/>
        <family val="1"/>
      </rPr>
      <t xml:space="preserve"> State Open School Board of Secondary Education, Bhopal </t>
    </r>
  </si>
  <si>
    <r>
      <t>Rajasthan State Open School,</t>
    </r>
    <r>
      <rPr>
        <b/>
        <sz val="11"/>
        <rFont val="Cambria"/>
        <family val="1"/>
      </rPr>
      <t xml:space="preserve"> Rajasthan</t>
    </r>
  </si>
  <si>
    <r>
      <t xml:space="preserve">Telangana </t>
    </r>
    <r>
      <rPr>
        <sz val="11"/>
        <rFont val="Cambria"/>
        <family val="1"/>
      </rPr>
      <t>Open School Society, Hyderabad</t>
    </r>
  </si>
  <si>
    <t>Rabindra Mukta Vidyalaya (West Bengal State Open School), Kolkata#</t>
  </si>
  <si>
    <t>Open Boards</t>
  </si>
  <si>
    <t>RESULTS OF SECONDARY  EXAMINATION- 2015</t>
  </si>
  <si>
    <t>Table 3 -Annual and Supplementary Examination Results - Regular &amp; Private Students - All Categories</t>
  </si>
  <si>
    <t>Table 10 -Annual and Supplementary Examination Results - Performance-wise-All Categories</t>
  </si>
  <si>
    <t xml:space="preserve">                                                                              </t>
  </si>
  <si>
    <t xml:space="preserve"> Percentage of Students passed with marks</t>
  </si>
  <si>
    <t>Annual + Supplementary</t>
  </si>
  <si>
    <t>Board of Secondary Education, Andhra Pradesh</t>
  </si>
  <si>
    <t>Board of Secondary Education Assam</t>
  </si>
  <si>
    <t>Assam Sankrit Board</t>
  </si>
  <si>
    <t>Banasthali Vidyapith,  Rajasthan #</t>
  </si>
  <si>
    <t>Bihar State Madrasa Education Board</t>
  </si>
  <si>
    <t>Chhatisgarh Madrasa Board</t>
  </si>
  <si>
    <t>Karnataka Secondary Education Examination Board*</t>
  </si>
  <si>
    <t>Kerala Board of Public Examination*</t>
  </si>
  <si>
    <t>Maharasthra State Board of Secondary &amp; Higher Secondary Education</t>
  </si>
  <si>
    <t>Board of Secondary Education, Madhya Pradesh</t>
  </si>
  <si>
    <t>Board of Secondary Education, Orissa</t>
  </si>
  <si>
    <t>Tamil Nadu State Board of School Examination</t>
  </si>
  <si>
    <t>UP Board of High School &amp; Intermediate Education</t>
  </si>
  <si>
    <t>Board of School Education Uttarakhand</t>
  </si>
  <si>
    <t>Board of Madarsa Education, West Bengal, Kolkata **</t>
  </si>
  <si>
    <t>** Figures pertains to 'ALIM' and 'High Madarsa' as both are equivalent to High School Examination.</t>
  </si>
  <si>
    <t>*In Karnataka Secondary Education Examination Board &amp; Kerala Board of Public Examination , figure of 60% and above is recorded in coloum 60% to below 75%.</t>
  </si>
  <si>
    <t>National Institute of Open Schooling, New Delhi</t>
  </si>
  <si>
    <t>M.P. State Open School Board of Secondary Education, Bhopal@</t>
  </si>
  <si>
    <t>Rajasthan State Open School, Rajasthan</t>
  </si>
  <si>
    <t>RESULTS OF SECONDARY  EXAMINATION- 2014</t>
  </si>
  <si>
    <t>Board of School Education, Haryana</t>
  </si>
  <si>
    <t>Karnataka Secondary Education Examination Board</t>
  </si>
  <si>
    <t>Kerala Board of Public Examination</t>
  </si>
  <si>
    <t>Board of School Education, Uttarakhand</t>
  </si>
  <si>
    <t>A.P. Open School Society, Hyderabad</t>
  </si>
  <si>
    <t xml:space="preserve">M.P. State Open School Board of Secondary Education, Bhopal </t>
  </si>
  <si>
    <t>RESULTS OF SECONDARY EXAMINATION-2013</t>
  </si>
  <si>
    <r>
      <rPr>
        <sz val="11"/>
        <color indexed="8"/>
        <rFont val="Cambria"/>
        <family val="1"/>
      </rPr>
      <t>Telangana State Board of Secondary Education-Hyderabad</t>
    </r>
  </si>
  <si>
    <r>
      <t xml:space="preserve">Tripura </t>
    </r>
    <r>
      <rPr>
        <sz val="11"/>
        <color indexed="8"/>
        <rFont val="Cambria"/>
        <family val="1"/>
      </rPr>
      <t>Board of Secondary Education*</t>
    </r>
  </si>
  <si>
    <t>*In Tripura Board of Secondary Education, figure of 60% and above is recorded in coloum 60% to below 75%.</t>
  </si>
  <si>
    <r>
      <rPr>
        <b/>
        <sz val="11"/>
        <rFont val="Cambria"/>
        <family val="1"/>
      </rPr>
      <t>A.P.</t>
    </r>
    <r>
      <rPr>
        <sz val="11"/>
        <rFont val="Cambria"/>
        <family val="1"/>
      </rPr>
      <t xml:space="preserve"> Open School Society, Hyderabad</t>
    </r>
  </si>
  <si>
    <r>
      <t>Rajasthan State Open School,</t>
    </r>
    <r>
      <rPr>
        <b/>
        <sz val="11"/>
        <rFont val="Cambria"/>
        <family val="1"/>
      </rPr>
      <t xml:space="preserve"> Rajasthan@</t>
    </r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</si>
  <si>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School), Kolkata*</t>
    </r>
  </si>
  <si>
    <t>RESULTS OF SECONDARY EXAMINATION- 2012</t>
  </si>
  <si>
    <t>Chhattisgarh Madarsa Board*</t>
  </si>
  <si>
    <t>Meghalaya Board of School Education@</t>
  </si>
  <si>
    <t>Board of Secondary Education, Orissa*</t>
  </si>
  <si>
    <t>Tripura Board of Secondary Education*</t>
  </si>
  <si>
    <t>UP Board of High School &amp; Intermediate Education@</t>
  </si>
  <si>
    <t xml:space="preserve"> @Data repeated from previous year 2011, MHRD</t>
  </si>
  <si>
    <t>RESULTS OF SECONDARY EXAMINATION- 2011</t>
  </si>
  <si>
    <t>Chhatisgarh Madrasa Board*</t>
  </si>
  <si>
    <r>
      <t xml:space="preserve">UP </t>
    </r>
    <r>
      <rPr>
        <sz val="10"/>
        <rFont val="Cambria"/>
        <family val="1"/>
      </rPr>
      <t>Board of High School &amp; Intermediate Education@</t>
    </r>
  </si>
  <si>
    <t xml:space="preserve"> @Data repeated from previous year publication  2010, MHRD</t>
  </si>
  <si>
    <t>Rabindra Mukta Vidyalaya (West Bengal State Open School), Kolkata</t>
  </si>
  <si>
    <t>Board of Madrasah Education, West Bengal, Kolkata</t>
  </si>
  <si>
    <t xml:space="preserve"> @ Examination has not been contained by Board</t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</si>
  <si>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School), Kolkata</t>
    </r>
  </si>
  <si>
    <t xml:space="preserve"> @Data repeated from previous year   2012, MHRD</t>
  </si>
  <si>
    <t>*In Rabindra Mukta Vidyalaya (West Bengal State Open School) , figure of 60% and above is recorded in coloum 60% to below 75%.</t>
  </si>
  <si>
    <t>West Bengal Board of Secondary Education**</t>
  </si>
  <si>
    <t>Banasthali Vidyapith , Rajasthan#</t>
  </si>
  <si>
    <t xml:space="preserve"> @Data for december 2017 isrepeated from previous year 2016, MHRD</t>
  </si>
  <si>
    <t>@ Data is provisional.</t>
  </si>
  <si>
    <t>Central Board of Secondary Education, New Delhi@</t>
  </si>
  <si>
    <t>-</t>
  </si>
  <si>
    <t xml:space="preserve">Table 13 - Open School Board </t>
  </si>
  <si>
    <t xml:space="preserve"> @Data for December 2017 is repeated from December 2016, MHRD</t>
  </si>
  <si>
    <t>Andhra Pradesh Open School Society</t>
  </si>
  <si>
    <t>West Bengal Council of Rabindra Open Schooling@</t>
  </si>
  <si>
    <t>Schedule Caste</t>
  </si>
  <si>
    <t>Schedule Tribe</t>
  </si>
  <si>
    <t>Table 14 - Open School Board - Percentage-wise number of students</t>
  </si>
  <si>
    <t>Coverage (No. of Boards)</t>
  </si>
  <si>
    <t>RESULTS OF SECONDARY EXAMINATION- 2016</t>
  </si>
  <si>
    <t>Table 11 - SECONDARY EXAMINATION RESULTS DURING 2010 - 2017 (CENTRAL/STATE BOARDS)</t>
  </si>
  <si>
    <t>Table 12 -SECONDARY EXAMINATION RESULTS DURING 2010 - 2017 (OPEN SCHOOL BOARDS)</t>
  </si>
  <si>
    <t>Table 13 - SECONDARY EXAMINATION RESULTS DURING 2010 - 2017 (ALL BOARDS)</t>
  </si>
  <si>
    <t xml:space="preserve">Details information is available at MHRD portal.  </t>
  </si>
  <si>
    <t>http://mhrd.gov.in/statistics-new?shs_term_node_tid_depth=381</t>
  </si>
  <si>
    <t>Table 1 -Annual and Supplementary Examination Results - Regular and Private Students - All Categories</t>
  </si>
  <si>
    <t>Table 2 -Annual and Supplementary Examination Results - Percentage-wise-All Categories</t>
  </si>
  <si>
    <t>Table 4 -Annual and Supplementary Examination Results - Performance-wise-All Categories</t>
  </si>
  <si>
    <t>Table 5 -Annual and Supplementary Examination Results - Regular &amp; Private Students - All Categories</t>
  </si>
  <si>
    <t>Table 6 -Annual and Supplementary Examination Results - Performance-wise-All Categories</t>
  </si>
  <si>
    <t>Table 7 -Annual and Supplementary Examination Results - Regular &amp; Private Students - All Categories</t>
  </si>
  <si>
    <t>Table 8 -Annual and Supplementary Examination Results - Performance-wise-All Categories</t>
  </si>
  <si>
    <t>Table 9 -Annual and Supplementary Examination Results - Regular &amp; Private Students - All Categories</t>
  </si>
  <si>
    <t>Table 11 -Annual and Supplementary Examination Results - Regular &amp; Private Students - All Categories</t>
  </si>
  <si>
    <t>Table 12 -Annual and Supplementary Examination Results - Performance-wise-All Categories</t>
  </si>
  <si>
    <t xml:space="preserve"> </t>
  </si>
  <si>
    <t>Open School Board, Punjab</t>
  </si>
  <si>
    <t>UP Board of Secondary Sanskrit Education</t>
  </si>
  <si>
    <t>Bihar School Examinaiton Board, Patna</t>
  </si>
  <si>
    <t>Chhattisgarh Madarsa Board, Raipur</t>
  </si>
  <si>
    <t>Chhatisgarh Sanskriti Vidya Mandalam, Raipur</t>
  </si>
  <si>
    <t>Maharashtra State Board of Secondary &amp; Higher Secondary Education</t>
  </si>
  <si>
    <t xml:space="preserve">Board of Secondary Education Madhya Pradesh </t>
  </si>
  <si>
    <t>State Board of School Educaiton Tamil Nadu</t>
  </si>
  <si>
    <t>Madhyamik Shiksha Parishad Uttar Pradesh</t>
  </si>
  <si>
    <t>Bihar Sanskrit Shiksha Board Patna</t>
  </si>
  <si>
    <t>Rashtriya Sanskrit Sansthan New delhi</t>
  </si>
  <si>
    <t xml:space="preserve">Directorate of Government Examination, Telangana State </t>
  </si>
  <si>
    <t xml:space="preserve">Table 14 - Open School Board </t>
  </si>
  <si>
    <t xml:space="preserve">Table 15 - Open School Board </t>
  </si>
  <si>
    <t>Table 16 - Open School Board - Percentage-wise number of students</t>
  </si>
  <si>
    <t>Table 17 - Open School Board - Percentage-wise number of students</t>
  </si>
  <si>
    <t>Table 18 - Open School Board - Percentage-wise number of students</t>
  </si>
  <si>
    <t>RESULTS OF SECONDARY EXAMINATION- 2020</t>
  </si>
  <si>
    <t xml:space="preserve">State Madrassa Education Board, Assam </t>
  </si>
  <si>
    <t>West Bengal Council of Rabindra Open Schooling</t>
  </si>
  <si>
    <t>Table 16 - SECONDARY EXAMINATION RESULTS DURING 2010 - 2020 (CENTRAL/STATE BOARDS)</t>
  </si>
  <si>
    <t>Table 17 -SECONDARY EXAMINATION RESULTS DURING 2010 - 2020 (OPEN SCHOOL BOARDS)</t>
  </si>
  <si>
    <t>Table 18 - SECONDARY EXAMINATION RESULTS DURING 2010 - 2020 (ALL BOARDS)</t>
  </si>
  <si>
    <t>State</t>
  </si>
  <si>
    <t>Central</t>
  </si>
  <si>
    <t>Andhra Pradesh</t>
  </si>
  <si>
    <t>Telangana</t>
  </si>
  <si>
    <t>Assam</t>
  </si>
  <si>
    <t>Rajasthan</t>
  </si>
  <si>
    <t>Bihar</t>
  </si>
  <si>
    <t>Chhattisgarh</t>
  </si>
  <si>
    <t>Goa</t>
  </si>
  <si>
    <t>Gujarat</t>
  </si>
  <si>
    <t>Haryana</t>
  </si>
  <si>
    <t>Himachal Pradesh</t>
  </si>
  <si>
    <t>Himachal Pradesh Board of School Education</t>
  </si>
  <si>
    <t>Jammu and Kashmir State Board of School Education</t>
  </si>
  <si>
    <t>Jammu and Kashmir</t>
  </si>
  <si>
    <t>Jharkhand</t>
  </si>
  <si>
    <t>Karnataka</t>
  </si>
  <si>
    <t>Kerala</t>
  </si>
  <si>
    <t>Maharashtra</t>
  </si>
  <si>
    <t>Madhya Pradesh</t>
  </si>
  <si>
    <t>Manipur</t>
  </si>
  <si>
    <t>Meghalaya</t>
  </si>
  <si>
    <t>Mizoram</t>
  </si>
  <si>
    <t>Nagaland</t>
  </si>
  <si>
    <t>Odisha</t>
  </si>
  <si>
    <t>Punjab</t>
  </si>
  <si>
    <t>Tamil Nadu</t>
  </si>
  <si>
    <t>Tripura</t>
  </si>
  <si>
    <t xml:space="preserve"> Uttar Pradesh</t>
  </si>
  <si>
    <t>Uttarakhand</t>
  </si>
  <si>
    <t>West Bengal</t>
  </si>
  <si>
    <t>New Delhi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</si>
</sst>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0.0"/>
    <numFmt numFmtId="165" formatCode="0;\-0;;@"/>
    <numFmt numFmtId="166" formatCode="0.00;\-0.00;;@"/>
    <numFmt numFmtId="167" formatCode="0.0;\-0.0;;@"/>
    <numFmt numFmtId="168" formatCode="_ * #,##0_ ;_ * \-#,##0_ ;_ * &quot;-&quot;??_ ;_ @_ "/>
  </numFmts>
  <fonts count="5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i/>
      <sz val="9"/>
      <name val="Cambria"/>
      <family val="1"/>
    </font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i/>
      <sz val="9"/>
      <color indexed="8"/>
      <name val="Cambria"/>
      <family val="1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i/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4"/>
      <name val="Arial Narrow"/>
      <family val="2"/>
    </font>
    <font>
      <b/>
      <sz val="13"/>
      <name val="Cambria"/>
      <family val="1"/>
    </font>
    <font>
      <sz val="12"/>
      <name val="Cambria"/>
      <family val="1"/>
    </font>
    <font>
      <i/>
      <sz val="12"/>
      <name val="Cambria"/>
      <family val="1"/>
    </font>
    <font>
      <i/>
      <sz val="12"/>
      <color indexed="8"/>
      <name val="Cambria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i/>
      <sz val="10"/>
      <name val="Cambria"/>
      <family val="1"/>
    </font>
    <font>
      <sz val="11"/>
      <name val="Arial Narrow"/>
      <family val="2"/>
    </font>
    <font>
      <b/>
      <sz val="12"/>
      <color indexed="12"/>
      <name val="Arial Narrow"/>
      <family val="2"/>
    </font>
    <font>
      <sz val="10"/>
      <name val="Arial Narrow"/>
      <family val="2"/>
    </font>
    <font>
      <sz val="8"/>
      <name val="Cambria"/>
      <family val="1"/>
      <scheme val="major"/>
    </font>
    <font>
      <sz val="9"/>
      <name val="Cambria"/>
      <family val="1"/>
      <scheme val="major"/>
    </font>
    <font>
      <sz val="11"/>
      <color indexed="60"/>
      <name val="Cambria"/>
      <family val="1"/>
    </font>
    <font>
      <sz val="11"/>
      <color theme="1"/>
      <name val="Cambria"/>
      <family val="1"/>
    </font>
    <font>
      <i/>
      <sz val="8"/>
      <name val="Cambria"/>
      <family val="1"/>
      <scheme val="major"/>
    </font>
    <font>
      <sz val="8"/>
      <name val="Cambria"/>
      <family val="1"/>
    </font>
    <font>
      <sz val="10"/>
      <name val="Cambria"/>
      <family val="1"/>
    </font>
    <font>
      <i/>
      <sz val="8"/>
      <name val="Calibri"/>
      <family val="2"/>
    </font>
    <font>
      <i/>
      <sz val="11"/>
      <name val="Calibri"/>
      <family val="2"/>
    </font>
    <font>
      <b/>
      <sz val="12"/>
      <color indexed="12"/>
      <name val="Cambria"/>
      <family val="1"/>
      <scheme val="major"/>
    </font>
    <font>
      <sz val="1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8"/>
      <color theme="1"/>
      <name val="Cambria"/>
      <family val="1"/>
    </font>
    <font>
      <sz val="1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8" fillId="0" borderId="0"/>
  </cellStyleXfs>
  <cellXfs count="52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9" fontId="2" fillId="5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0" fillId="8" borderId="1" xfId="0" applyFill="1" applyBorder="1"/>
    <xf numFmtId="0" fontId="2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0" xfId="0" applyFont="1" applyFill="1"/>
    <xf numFmtId="0" fontId="4" fillId="11" borderId="5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0" fontId="0" fillId="11" borderId="1" xfId="0" applyFill="1" applyBorder="1"/>
    <xf numFmtId="0" fontId="1" fillId="11" borderId="1" xfId="0" applyFont="1" applyFill="1" applyBorder="1"/>
    <xf numFmtId="0" fontId="5" fillId="11" borderId="1" xfId="0" applyFont="1" applyFill="1" applyBorder="1" applyAlignment="1" applyProtection="1">
      <alignment vertical="center"/>
      <protection locked="0"/>
    </xf>
    <xf numFmtId="0" fontId="5" fillId="11" borderId="1" xfId="0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>
      <alignment vertical="center"/>
    </xf>
    <xf numFmtId="0" fontId="5" fillId="11" borderId="1" xfId="0" quotePrefix="1" applyFont="1" applyFill="1" applyBorder="1" applyAlignment="1" applyProtection="1">
      <alignment horizontal="right" vertical="center"/>
      <protection locked="0"/>
    </xf>
    <xf numFmtId="0" fontId="5" fillId="11" borderId="0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1" fontId="5" fillId="11" borderId="1" xfId="0" quotePrefix="1" applyNumberFormat="1" applyFont="1" applyFill="1" applyBorder="1" applyAlignment="1">
      <alignment horizontal="right" vertical="center"/>
    </xf>
    <xf numFmtId="1" fontId="5" fillId="11" borderId="1" xfId="0" applyNumberFormat="1" applyFont="1" applyFill="1" applyBorder="1" applyAlignment="1">
      <alignment vertical="center"/>
    </xf>
    <xf numFmtId="1" fontId="5" fillId="11" borderId="1" xfId="0" applyNumberFormat="1" applyFont="1" applyFill="1" applyBorder="1" applyAlignment="1">
      <alignment horizontal="center" vertical="center"/>
    </xf>
    <xf numFmtId="0" fontId="5" fillId="11" borderId="1" xfId="0" quotePrefix="1" applyFont="1" applyFill="1" applyBorder="1" applyAlignment="1" applyProtection="1">
      <alignment vertical="center"/>
      <protection locked="0"/>
    </xf>
    <xf numFmtId="3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6" fillId="11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wrapText="1"/>
    </xf>
    <xf numFmtId="0" fontId="0" fillId="0" borderId="6" xfId="0" applyFill="1" applyBorder="1"/>
    <xf numFmtId="0" fontId="0" fillId="2" borderId="6" xfId="0" applyFill="1" applyBorder="1"/>
    <xf numFmtId="0" fontId="0" fillId="0" borderId="5" xfId="0" applyFill="1" applyBorder="1"/>
    <xf numFmtId="0" fontId="0" fillId="2" borderId="5" xfId="0" applyFill="1" applyBorder="1"/>
    <xf numFmtId="0" fontId="0" fillId="6" borderId="5" xfId="0" applyFill="1" applyBorder="1"/>
    <xf numFmtId="0" fontId="1" fillId="0" borderId="5" xfId="0" applyFont="1" applyFill="1" applyBorder="1"/>
    <xf numFmtId="0" fontId="0" fillId="11" borderId="5" xfId="0" applyFill="1" applyBorder="1"/>
    <xf numFmtId="0" fontId="5" fillId="11" borderId="1" xfId="0" applyFont="1" applyFill="1" applyBorder="1" applyAlignment="1">
      <alignment horizontal="center" vertical="center" wrapText="1"/>
    </xf>
    <xf numFmtId="14" fontId="5" fillId="11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11" borderId="5" xfId="0" applyFont="1" applyFill="1" applyBorder="1" applyAlignment="1">
      <alignment vertical="center" wrapText="1"/>
    </xf>
    <xf numFmtId="14" fontId="5" fillId="11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0" fillId="5" borderId="5" xfId="0" applyFill="1" applyBorder="1"/>
    <xf numFmtId="0" fontId="1" fillId="11" borderId="5" xfId="0" applyFont="1" applyFill="1" applyBorder="1"/>
    <xf numFmtId="0" fontId="5" fillId="11" borderId="5" xfId="0" applyFont="1" applyFill="1" applyBorder="1" applyAlignment="1" applyProtection="1">
      <alignment vertical="center"/>
      <protection locked="0"/>
    </xf>
    <xf numFmtId="0" fontId="5" fillId="11" borderId="5" xfId="0" applyFont="1" applyFill="1" applyBorder="1" applyAlignment="1" applyProtection="1">
      <alignment horizontal="right" vertical="center"/>
      <protection locked="0"/>
    </xf>
    <xf numFmtId="0" fontId="5" fillId="11" borderId="5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5" xfId="0" quotePrefix="1" applyFont="1" applyFill="1" applyBorder="1" applyAlignment="1" applyProtection="1">
      <alignment horizontal="right" vertical="center"/>
      <protection locked="0"/>
    </xf>
    <xf numFmtId="0" fontId="5" fillId="11" borderId="6" xfId="0" applyFont="1" applyFill="1" applyBorder="1" applyAlignment="1">
      <alignment vertical="center"/>
    </xf>
    <xf numFmtId="0" fontId="0" fillId="3" borderId="5" xfId="0" applyFill="1" applyBorder="1"/>
    <xf numFmtId="0" fontId="0" fillId="11" borderId="1" xfId="0" applyNumberFormat="1" applyFill="1" applyBorder="1"/>
    <xf numFmtId="43" fontId="0" fillId="11" borderId="1" xfId="1" applyFont="1" applyFill="1" applyBorder="1"/>
    <xf numFmtId="0" fontId="18" fillId="0" borderId="1" xfId="0" applyFont="1" applyBorder="1" applyAlignment="1">
      <alignment horizontal="center"/>
    </xf>
    <xf numFmtId="0" fontId="19" fillId="11" borderId="1" xfId="0" applyFont="1" applyFill="1" applyBorder="1" applyAlignment="1" applyProtection="1">
      <alignment horizontal="right" vertical="center"/>
      <protection locked="0"/>
    </xf>
    <xf numFmtId="0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11" borderId="1" xfId="0" applyFont="1" applyFill="1" applyBorder="1" applyAlignment="1">
      <alignment horizontal="right" vertical="center"/>
    </xf>
    <xf numFmtId="0" fontId="18" fillId="11" borderId="1" xfId="0" applyNumberFormat="1" applyFont="1" applyFill="1" applyBorder="1" applyAlignment="1">
      <alignment horizontal="right" vertical="center"/>
    </xf>
    <xf numFmtId="43" fontId="18" fillId="11" borderId="1" xfId="1" applyFont="1" applyFill="1" applyBorder="1" applyAlignment="1">
      <alignment horizontal="right" vertical="center"/>
    </xf>
    <xf numFmtId="0" fontId="19" fillId="11" borderId="1" xfId="0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right" vertical="center"/>
    </xf>
    <xf numFmtId="0" fontId="18" fillId="12" borderId="1" xfId="0" applyNumberFormat="1" applyFont="1" applyFill="1" applyBorder="1" applyAlignment="1">
      <alignment horizontal="right" vertical="center"/>
    </xf>
    <xf numFmtId="0" fontId="0" fillId="12" borderId="1" xfId="0" applyNumberFormat="1" applyFill="1" applyBorder="1"/>
    <xf numFmtId="0" fontId="0" fillId="12" borderId="1" xfId="0" applyFill="1" applyBorder="1"/>
    <xf numFmtId="0" fontId="5" fillId="12" borderId="1" xfId="0" applyFont="1" applyFill="1" applyBorder="1" applyAlignment="1" applyProtection="1">
      <alignment horizontal="right" vertical="center"/>
      <protection locked="0"/>
    </xf>
    <xf numFmtId="0" fontId="5" fillId="12" borderId="1" xfId="0" applyFont="1" applyFill="1" applyBorder="1" applyAlignment="1">
      <alignment vertical="center"/>
    </xf>
    <xf numFmtId="43" fontId="0" fillId="12" borderId="1" xfId="1" applyFont="1" applyFill="1" applyBorder="1"/>
    <xf numFmtId="43" fontId="18" fillId="12" borderId="1" xfId="1" applyFont="1" applyFill="1" applyBorder="1" applyAlignment="1">
      <alignment horizontal="right" vertical="center"/>
    </xf>
    <xf numFmtId="0" fontId="19" fillId="12" borderId="1" xfId="0" applyFont="1" applyFill="1" applyBorder="1" applyAlignment="1" applyProtection="1">
      <alignment horizontal="right" vertical="center"/>
      <protection locked="0"/>
    </xf>
    <xf numFmtId="10" fontId="18" fillId="12" borderId="1" xfId="0" applyNumberFormat="1" applyFont="1" applyFill="1" applyBorder="1" applyAlignment="1">
      <alignment horizontal="right" vertical="center"/>
    </xf>
    <xf numFmtId="0" fontId="19" fillId="12" borderId="1" xfId="0" quotePrefix="1" applyFont="1" applyFill="1" applyBorder="1" applyAlignment="1" applyProtection="1">
      <alignment horizontal="right" vertical="center"/>
      <protection locked="0"/>
    </xf>
    <xf numFmtId="10" fontId="0" fillId="12" borderId="1" xfId="0" applyNumberFormat="1" applyFill="1" applyBorder="1"/>
    <xf numFmtId="0" fontId="11" fillId="13" borderId="1" xfId="0" applyFont="1" applyFill="1" applyBorder="1" applyAlignment="1">
      <alignment horizontal="center" vertical="center"/>
    </xf>
    <xf numFmtId="10" fontId="18" fillId="13" borderId="1" xfId="0" applyNumberFormat="1" applyFont="1" applyFill="1" applyBorder="1" applyAlignment="1">
      <alignment horizontal="right" vertical="center"/>
    </xf>
    <xf numFmtId="10" fontId="0" fillId="13" borderId="1" xfId="0" applyNumberFormat="1" applyFill="1" applyBorder="1"/>
    <xf numFmtId="0" fontId="18" fillId="0" borderId="1" xfId="0" applyFont="1" applyFill="1" applyBorder="1" applyAlignment="1">
      <alignment vertical="center" wrapText="1"/>
    </xf>
    <xf numFmtId="0" fontId="5" fillId="14" borderId="0" xfId="0" applyFont="1" applyFill="1" applyBorder="1" applyAlignment="1">
      <alignment vertical="center"/>
    </xf>
    <xf numFmtId="10" fontId="18" fillId="2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18" fillId="0" borderId="0" xfId="0" applyFont="1" applyBorder="1" applyAlignment="1">
      <alignment wrapText="1"/>
    </xf>
    <xf numFmtId="0" fontId="5" fillId="14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vertical="top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/>
    <xf numFmtId="0" fontId="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164" fontId="5" fillId="16" borderId="1" xfId="0" applyNumberFormat="1" applyFont="1" applyFill="1" applyBorder="1" applyAlignment="1">
      <alignment vertical="center"/>
    </xf>
    <xf numFmtId="164" fontId="5" fillId="16" borderId="1" xfId="0" applyNumberFormat="1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16" borderId="1" xfId="0" applyFont="1" applyFill="1" applyBorder="1" applyAlignment="1" applyProtection="1">
      <alignment horizontal="right" vertical="center"/>
      <protection locked="0"/>
    </xf>
    <xf numFmtId="0" fontId="5" fillId="17" borderId="1" xfId="0" applyFont="1" applyFill="1" applyBorder="1" applyAlignment="1">
      <alignment vertical="center"/>
    </xf>
    <xf numFmtId="164" fontId="5" fillId="11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>
      <alignment vertical="center"/>
    </xf>
    <xf numFmtId="164" fontId="34" fillId="0" borderId="1" xfId="0" applyNumberFormat="1" applyFont="1" applyFill="1" applyBorder="1" applyAlignment="1">
      <alignment vertical="center"/>
    </xf>
    <xf numFmtId="0" fontId="34" fillId="16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right" vertical="center"/>
    </xf>
    <xf numFmtId="164" fontId="34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>
      <alignment horizontal="right" vertical="center"/>
    </xf>
    <xf numFmtId="164" fontId="5" fillId="11" borderId="5" xfId="0" applyNumberFormat="1" applyFont="1" applyFill="1" applyBorder="1" applyAlignment="1">
      <alignment horizontal="right" vertical="center"/>
    </xf>
    <xf numFmtId="0" fontId="5" fillId="16" borderId="5" xfId="0" applyFont="1" applyFill="1" applyBorder="1" applyAlignment="1">
      <alignment horizontal="right" vertical="center"/>
    </xf>
    <xf numFmtId="164" fontId="5" fillId="16" borderId="5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17" borderId="5" xfId="0" applyFont="1" applyFill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164" fontId="31" fillId="0" borderId="0" xfId="0" applyNumberFormat="1" applyFont="1" applyFill="1" applyBorder="1" applyAlignment="1">
      <alignment horizontal="left" vertical="center"/>
    </xf>
    <xf numFmtId="0" fontId="31" fillId="17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11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18" borderId="1" xfId="0" applyFont="1" applyFill="1" applyBorder="1" applyAlignment="1">
      <alignment horizontal="right" vertical="center"/>
    </xf>
    <xf numFmtId="0" fontId="5" fillId="11" borderId="5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4" fontId="5" fillId="16" borderId="1" xfId="0" applyNumberFormat="1" applyFont="1" applyFill="1" applyBorder="1" applyAlignment="1">
      <alignment horizontal="right" vertical="center"/>
    </xf>
    <xf numFmtId="164" fontId="5" fillId="11" borderId="1" xfId="0" applyNumberFormat="1" applyFont="1" applyFill="1" applyBorder="1" applyAlignment="1">
      <alignment horizontal="right" vertical="center"/>
    </xf>
    <xf numFmtId="165" fontId="4" fillId="15" borderId="1" xfId="0" applyNumberFormat="1" applyFont="1" applyFill="1" applyBorder="1" applyAlignment="1">
      <alignment vertical="center"/>
    </xf>
    <xf numFmtId="166" fontId="4" fillId="15" borderId="1" xfId="0" applyNumberFormat="1" applyFont="1" applyFill="1" applyBorder="1" applyAlignment="1">
      <alignment vertical="center"/>
    </xf>
    <xf numFmtId="167" fontId="4" fillId="15" borderId="1" xfId="0" applyNumberFormat="1" applyFont="1" applyFill="1" applyBorder="1" applyAlignment="1">
      <alignment vertical="center"/>
    </xf>
    <xf numFmtId="0" fontId="19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vertical="center" wrapText="1"/>
    </xf>
    <xf numFmtId="164" fontId="5" fillId="13" borderId="1" xfId="0" applyNumberFormat="1" applyFont="1" applyFill="1" applyBorder="1" applyAlignment="1">
      <alignment horizontal="right" vertical="center"/>
    </xf>
    <xf numFmtId="0" fontId="5" fillId="18" borderId="1" xfId="0" applyFont="1" applyFill="1" applyBorder="1" applyAlignment="1">
      <alignment vertical="center"/>
    </xf>
    <xf numFmtId="164" fontId="5" fillId="18" borderId="1" xfId="0" applyNumberFormat="1" applyFont="1" applyFill="1" applyBorder="1" applyAlignment="1">
      <alignment vertical="center"/>
    </xf>
    <xf numFmtId="0" fontId="5" fillId="18" borderId="1" xfId="0" applyFont="1" applyFill="1" applyBorder="1" applyAlignment="1" applyProtection="1">
      <alignment horizontal="right" vertical="center"/>
      <protection locked="0"/>
    </xf>
    <xf numFmtId="167" fontId="5" fillId="0" borderId="1" xfId="0" applyNumberFormat="1" applyFont="1" applyBorder="1" applyAlignment="1">
      <alignment vertical="center"/>
    </xf>
    <xf numFmtId="0" fontId="5" fillId="11" borderId="1" xfId="0" applyFont="1" applyFill="1" applyBorder="1" applyAlignment="1">
      <alignment horizontal="right" vertical="center"/>
    </xf>
    <xf numFmtId="164" fontId="5" fillId="18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 applyProtection="1">
      <alignment horizontal="right" vertical="center"/>
      <protection locked="0"/>
    </xf>
    <xf numFmtId="165" fontId="5" fillId="0" borderId="1" xfId="0" applyNumberFormat="1" applyFont="1" applyFill="1" applyBorder="1" applyAlignment="1">
      <alignment horizontal="right" vertical="center"/>
    </xf>
    <xf numFmtId="167" fontId="5" fillId="1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165" fontId="5" fillId="17" borderId="1" xfId="0" applyNumberFormat="1" applyFont="1" applyFill="1" applyBorder="1" applyAlignment="1">
      <alignment vertical="center"/>
    </xf>
    <xf numFmtId="0" fontId="19" fillId="11" borderId="5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vertical="center" wrapText="1"/>
    </xf>
    <xf numFmtId="164" fontId="5" fillId="13" borderId="5" xfId="0" applyNumberFormat="1" applyFont="1" applyFill="1" applyBorder="1" applyAlignment="1">
      <alignment horizontal="right" vertical="center"/>
    </xf>
    <xf numFmtId="0" fontId="5" fillId="18" borderId="5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4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right" vertical="center" wrapText="1"/>
    </xf>
    <xf numFmtId="0" fontId="5" fillId="11" borderId="5" xfId="0" applyFont="1" applyFill="1" applyBorder="1" applyAlignment="1">
      <alignment horizontal="right" vertical="center" wrapText="1"/>
    </xf>
    <xf numFmtId="0" fontId="34" fillId="11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2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7" borderId="1" xfId="0" applyFont="1" applyFill="1" applyBorder="1" applyAlignment="1" applyProtection="1">
      <alignment vertical="center"/>
      <protection locked="0"/>
    </xf>
    <xf numFmtId="164" fontId="5" fillId="17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horizontal="right" vertical="center"/>
    </xf>
    <xf numFmtId="164" fontId="5" fillId="12" borderId="1" xfId="0" applyNumberFormat="1" applyFont="1" applyFill="1" applyBorder="1" applyAlignment="1">
      <alignment vertical="center"/>
    </xf>
    <xf numFmtId="164" fontId="5" fillId="12" borderId="1" xfId="0" applyNumberFormat="1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right" vertical="center"/>
    </xf>
    <xf numFmtId="164" fontId="5" fillId="17" borderId="1" xfId="0" applyNumberFormat="1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4" fillId="21" borderId="4" xfId="0" applyFont="1" applyFill="1" applyBorder="1" applyAlignment="1">
      <alignment vertical="center"/>
    </xf>
    <xf numFmtId="164" fontId="5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5" fillId="11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17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11" borderId="1" xfId="0" applyFont="1" applyFill="1" applyBorder="1" applyAlignment="1">
      <alignment vertical="center"/>
    </xf>
    <xf numFmtId="164" fontId="19" fillId="13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11" borderId="1" xfId="0" applyFont="1" applyFill="1" applyBorder="1" applyAlignment="1" applyProtection="1">
      <alignment vertical="center"/>
      <protection locked="0"/>
    </xf>
    <xf numFmtId="0" fontId="19" fillId="0" borderId="1" xfId="0" applyFont="1" applyBorder="1" applyAlignment="1">
      <alignment vertical="center"/>
    </xf>
    <xf numFmtId="0" fontId="19" fillId="16" borderId="1" xfId="0" applyFont="1" applyFill="1" applyBorder="1" applyAlignment="1">
      <alignment vertical="center"/>
    </xf>
    <xf numFmtId="164" fontId="19" fillId="16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vertical="center"/>
    </xf>
    <xf numFmtId="0" fontId="19" fillId="22" borderId="2" xfId="0" applyFont="1" applyFill="1" applyBorder="1" applyAlignment="1">
      <alignment vertical="center"/>
    </xf>
    <xf numFmtId="0" fontId="19" fillId="22" borderId="3" xfId="0" applyFont="1" applyFill="1" applyBorder="1" applyAlignment="1">
      <alignment vertical="center"/>
    </xf>
    <xf numFmtId="0" fontId="19" fillId="22" borderId="4" xfId="0" applyFont="1" applyFill="1" applyBorder="1" applyAlignment="1">
      <alignment vertical="center"/>
    </xf>
    <xf numFmtId="0" fontId="34" fillId="11" borderId="1" xfId="0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65" fontId="19" fillId="16" borderId="1" xfId="0" applyNumberFormat="1" applyFont="1" applyFill="1" applyBorder="1" applyAlignment="1">
      <alignment vertical="center"/>
    </xf>
    <xf numFmtId="165" fontId="19" fillId="0" borderId="1" xfId="0" applyNumberFormat="1" applyFont="1" applyFill="1" applyBorder="1" applyAlignment="1" applyProtection="1">
      <alignment vertical="center"/>
      <protection locked="0"/>
    </xf>
    <xf numFmtId="165" fontId="19" fillId="0" borderId="1" xfId="0" applyNumberFormat="1" applyFont="1" applyFill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7" fontId="19" fillId="16" borderId="1" xfId="0" applyNumberFormat="1" applyFont="1" applyFill="1" applyBorder="1" applyAlignment="1">
      <alignment vertical="center"/>
    </xf>
    <xf numFmtId="167" fontId="19" fillId="0" borderId="1" xfId="0" applyNumberFormat="1" applyFont="1" applyBorder="1" applyAlignment="1">
      <alignment vertical="center"/>
    </xf>
    <xf numFmtId="164" fontId="19" fillId="11" borderId="1" xfId="0" applyNumberFormat="1" applyFont="1" applyFill="1" applyBorder="1" applyAlignment="1">
      <alignment vertical="center"/>
    </xf>
    <xf numFmtId="165" fontId="19" fillId="17" borderId="1" xfId="0" applyNumberFormat="1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0" fontId="37" fillId="11" borderId="1" xfId="0" applyFont="1" applyFill="1" applyBorder="1" applyAlignment="1">
      <alignment vertical="center" wrapText="1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11" borderId="5" xfId="0" applyFont="1" applyFill="1" applyBorder="1" applyAlignment="1">
      <alignment vertical="center"/>
    </xf>
    <xf numFmtId="164" fontId="19" fillId="13" borderId="5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17" borderId="5" xfId="0" applyFont="1" applyFill="1" applyBorder="1" applyAlignment="1">
      <alignment vertical="center"/>
    </xf>
    <xf numFmtId="164" fontId="19" fillId="0" borderId="5" xfId="0" applyNumberFormat="1" applyFont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11" borderId="0" xfId="0" applyFont="1" applyFill="1" applyBorder="1" applyAlignment="1">
      <alignment vertical="center"/>
    </xf>
    <xf numFmtId="164" fontId="36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11" borderId="0" xfId="0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34" fillId="16" borderId="1" xfId="0" applyNumberFormat="1" applyFont="1" applyFill="1" applyBorder="1" applyAlignment="1">
      <alignment horizontal="right" vertical="center"/>
    </xf>
    <xf numFmtId="0" fontId="4" fillId="14" borderId="2" xfId="0" applyFont="1" applyFill="1" applyBorder="1" applyAlignment="1">
      <alignment vertical="center"/>
    </xf>
    <xf numFmtId="0" fontId="4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horizontal="right" vertical="center"/>
    </xf>
    <xf numFmtId="0" fontId="5" fillId="14" borderId="4" xfId="0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0" fontId="5" fillId="17" borderId="5" xfId="0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quotePrefix="1" applyFont="1" applyFill="1" applyBorder="1" applyAlignment="1">
      <alignment horizontal="left" vertical="center"/>
    </xf>
    <xf numFmtId="0" fontId="39" fillId="0" borderId="0" xfId="0" applyFont="1" applyFill="1" applyBorder="1" applyAlignment="1">
      <alignment vertical="center"/>
    </xf>
    <xf numFmtId="0" fontId="39" fillId="0" borderId="0" xfId="0" quotePrefix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23" borderId="2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1" xfId="0" applyFont="1" applyFill="1" applyBorder="1" applyAlignment="1">
      <alignment horizontal="right" vertical="center"/>
    </xf>
    <xf numFmtId="164" fontId="5" fillId="23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wrapText="1"/>
    </xf>
    <xf numFmtId="0" fontId="5" fillId="16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vertical="center"/>
    </xf>
    <xf numFmtId="164" fontId="5" fillId="16" borderId="5" xfId="0" applyNumberFormat="1" applyFont="1" applyFill="1" applyBorder="1" applyAlignment="1">
      <alignment vertical="center"/>
    </xf>
    <xf numFmtId="164" fontId="5" fillId="11" borderId="5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0" fontId="36" fillId="0" borderId="0" xfId="0" applyFont="1" applyBorder="1"/>
    <xf numFmtId="0" fontId="19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43" fontId="18" fillId="2" borderId="1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wrapText="1"/>
    </xf>
    <xf numFmtId="0" fontId="23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11" borderId="1" xfId="0" applyFont="1" applyFill="1" applyBorder="1" applyAlignment="1">
      <alignment vertical="center"/>
    </xf>
    <xf numFmtId="164" fontId="25" fillId="11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10" borderId="1" xfId="0" applyFont="1" applyFill="1" applyBorder="1" applyAlignment="1">
      <alignment vertical="center"/>
    </xf>
    <xf numFmtId="164" fontId="26" fillId="1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43" fillId="0" borderId="0" xfId="2" applyFont="1" applyFill="1" applyBorder="1" applyAlignment="1">
      <alignment vertical="center"/>
    </xf>
    <xf numFmtId="0" fontId="0" fillId="2" borderId="1" xfId="0" applyNumberFormat="1" applyFill="1" applyBorder="1"/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2" fontId="18" fillId="11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2" fontId="19" fillId="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center" vertical="center" wrapText="1"/>
    </xf>
    <xf numFmtId="0" fontId="44" fillId="0" borderId="0" xfId="0" applyFont="1"/>
    <xf numFmtId="0" fontId="0" fillId="11" borderId="0" xfId="0" applyFill="1"/>
    <xf numFmtId="0" fontId="25" fillId="18" borderId="1" xfId="0" applyFont="1" applyFill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32" fillId="0" borderId="12" xfId="0" applyFont="1" applyBorder="1" applyAlignment="1">
      <alignment vertical="top" wrapText="1"/>
    </xf>
    <xf numFmtId="0" fontId="0" fillId="0" borderId="0" xfId="0" applyFont="1" applyBorder="1"/>
    <xf numFmtId="0" fontId="45" fillId="11" borderId="1" xfId="0" applyFont="1" applyFill="1" applyBorder="1" applyAlignment="1">
      <alignment vertical="center"/>
    </xf>
    <xf numFmtId="164" fontId="45" fillId="11" borderId="1" xfId="0" applyNumberFormat="1" applyFont="1" applyFill="1" applyBorder="1" applyAlignment="1">
      <alignment vertical="center"/>
    </xf>
    <xf numFmtId="0" fontId="19" fillId="0" borderId="1" xfId="3" applyFont="1" applyFill="1" applyBorder="1" applyAlignment="1" applyProtection="1">
      <alignment vertical="center"/>
      <protection locked="0"/>
    </xf>
    <xf numFmtId="0" fontId="19" fillId="0" borderId="1" xfId="3" applyFont="1" applyBorder="1" applyAlignment="1">
      <alignment vertical="center"/>
    </xf>
    <xf numFmtId="0" fontId="44" fillId="0" borderId="0" xfId="0" applyFont="1" applyAlignment="1">
      <alignment vertical="center"/>
    </xf>
    <xf numFmtId="0" fontId="49" fillId="0" borderId="0" xfId="0" applyFont="1"/>
    <xf numFmtId="0" fontId="4" fillId="10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/>
    </xf>
    <xf numFmtId="0" fontId="19" fillId="0" borderId="1" xfId="0" applyNumberFormat="1" applyFont="1" applyBorder="1" applyAlignment="1">
      <alignment horizontal="right" vertical="center"/>
    </xf>
    <xf numFmtId="0" fontId="19" fillId="11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10" fontId="19" fillId="13" borderId="1" xfId="0" applyNumberFormat="1" applyFont="1" applyFill="1" applyBorder="1" applyAlignment="1">
      <alignment horizontal="right" vertical="center"/>
    </xf>
    <xf numFmtId="0" fontId="19" fillId="12" borderId="1" xfId="0" applyNumberFormat="1" applyFont="1" applyFill="1" applyBorder="1" applyAlignment="1">
      <alignment horizontal="right" vertical="center"/>
    </xf>
    <xf numFmtId="0" fontId="19" fillId="18" borderId="1" xfId="0" applyNumberFormat="1" applyFont="1" applyFill="1" applyBorder="1" applyAlignment="1">
      <alignment horizontal="right" vertical="center"/>
    </xf>
    <xf numFmtId="0" fontId="19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vertical="center"/>
    </xf>
    <xf numFmtId="0" fontId="1" fillId="12" borderId="1" xfId="0" applyNumberFormat="1" applyFont="1" applyFill="1" applyBorder="1" applyAlignment="1">
      <alignment vertical="center"/>
    </xf>
    <xf numFmtId="0" fontId="25" fillId="11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68" fontId="22" fillId="0" borderId="1" xfId="1" applyNumberFormat="1" applyFont="1" applyFill="1" applyBorder="1" applyAlignment="1">
      <alignment horizontal="right" vertical="center"/>
    </xf>
    <xf numFmtId="168" fontId="22" fillId="0" borderId="1" xfId="1" applyNumberFormat="1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vertical="center" wrapText="1"/>
    </xf>
    <xf numFmtId="0" fontId="19" fillId="11" borderId="9" xfId="0" applyFont="1" applyFill="1" applyBorder="1" applyAlignment="1">
      <alignment vertical="center" wrapText="1"/>
    </xf>
    <xf numFmtId="0" fontId="19" fillId="11" borderId="9" xfId="0" applyFont="1" applyFill="1" applyBorder="1" applyAlignment="1">
      <alignment vertical="center"/>
    </xf>
    <xf numFmtId="43" fontId="19" fillId="11" borderId="1" xfId="1" applyFont="1" applyFill="1" applyBorder="1" applyAlignment="1">
      <alignment horizontal="right" vertical="center"/>
    </xf>
    <xf numFmtId="0" fontId="19" fillId="12" borderId="1" xfId="0" applyFont="1" applyFill="1" applyBorder="1" applyAlignment="1">
      <alignment horizontal="right" vertical="center"/>
    </xf>
    <xf numFmtId="0" fontId="19" fillId="18" borderId="1" xfId="0" applyFont="1" applyFill="1" applyBorder="1" applyAlignment="1">
      <alignment horizontal="right" vertical="center"/>
    </xf>
    <xf numFmtId="43" fontId="19" fillId="18" borderId="1" xfId="1" applyFont="1" applyFill="1" applyBorder="1" applyAlignment="1">
      <alignment horizontal="right" vertical="center"/>
    </xf>
    <xf numFmtId="0" fontId="19" fillId="12" borderId="1" xfId="0" applyNumberFormat="1" applyFont="1" applyFill="1" applyBorder="1" applyAlignment="1">
      <alignment vertical="center"/>
    </xf>
    <xf numFmtId="0" fontId="19" fillId="18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>
      <alignment vertical="center"/>
    </xf>
    <xf numFmtId="10" fontId="19" fillId="18" borderId="1" xfId="0" applyNumberFormat="1" applyFont="1" applyFill="1" applyBorder="1" applyAlignment="1">
      <alignment horizontal="right" vertical="center"/>
    </xf>
    <xf numFmtId="43" fontId="19" fillId="12" borderId="1" xfId="1" applyFont="1" applyFill="1" applyBorder="1" applyAlignment="1">
      <alignment horizontal="right" vertical="center"/>
    </xf>
    <xf numFmtId="0" fontId="19" fillId="18" borderId="1" xfId="0" applyFont="1" applyFill="1" applyBorder="1" applyAlignment="1">
      <alignment vertical="center"/>
    </xf>
    <xf numFmtId="43" fontId="19" fillId="18" borderId="1" xfId="1" applyFont="1" applyFill="1" applyBorder="1" applyAlignment="1">
      <alignment vertical="center"/>
    </xf>
    <xf numFmtId="0" fontId="19" fillId="0" borderId="1" xfId="3" applyFont="1" applyBorder="1" applyAlignment="1">
      <alignment horizontal="center" vertical="center"/>
    </xf>
    <xf numFmtId="43" fontId="19" fillId="11" borderId="1" xfId="1" applyFont="1" applyFill="1" applyBorder="1" applyAlignment="1">
      <alignment vertical="center"/>
    </xf>
    <xf numFmtId="2" fontId="19" fillId="11" borderId="1" xfId="0" applyNumberFormat="1" applyFont="1" applyFill="1" applyBorder="1" applyAlignment="1">
      <alignment vertical="center"/>
    </xf>
    <xf numFmtId="2" fontId="19" fillId="11" borderId="1" xfId="1" applyNumberFormat="1" applyFont="1" applyFill="1" applyBorder="1" applyAlignment="1">
      <alignment vertical="center"/>
    </xf>
    <xf numFmtId="0" fontId="19" fillId="0" borderId="1" xfId="3" applyFont="1" applyFill="1" applyBorder="1" applyAlignment="1" applyProtection="1">
      <alignment horizontal="right" vertical="center"/>
      <protection locked="0"/>
    </xf>
    <xf numFmtId="0" fontId="19" fillId="11" borderId="1" xfId="3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0" fontId="18" fillId="2" borderId="1" xfId="0" applyNumberFormat="1" applyFont="1" applyFill="1" applyBorder="1" applyAlignment="1">
      <alignment vertical="center"/>
    </xf>
    <xf numFmtId="43" fontId="18" fillId="2" borderId="1" xfId="1" applyFont="1" applyFill="1" applyBorder="1" applyAlignment="1">
      <alignment horizontal="right" vertical="center"/>
    </xf>
    <xf numFmtId="43" fontId="18" fillId="2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11" borderId="2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41" fillId="0" borderId="12" xfId="0" applyFont="1" applyBorder="1" applyAlignment="1">
      <alignment horizontal="left" vertical="top" wrapText="1"/>
    </xf>
    <xf numFmtId="0" fontId="26" fillId="10" borderId="2" xfId="0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26" fillId="11" borderId="1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5" fillId="14" borderId="2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horizontal="right" vertical="center"/>
    </xf>
    <xf numFmtId="0" fontId="5" fillId="14" borderId="4" xfId="0" applyFont="1" applyFill="1" applyBorder="1" applyAlignment="1">
      <alignment horizontal="right" vertical="center"/>
    </xf>
    <xf numFmtId="0" fontId="4" fillId="21" borderId="1" xfId="0" applyFont="1" applyFill="1" applyBorder="1" applyAlignment="1">
      <alignment horizontal="left" vertical="center"/>
    </xf>
    <xf numFmtId="0" fontId="4" fillId="21" borderId="2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left" vertical="center"/>
    </xf>
    <xf numFmtId="0" fontId="19" fillId="22" borderId="2" xfId="0" applyFont="1" applyFill="1" applyBorder="1" applyAlignment="1">
      <alignment vertical="center"/>
    </xf>
    <xf numFmtId="0" fontId="19" fillId="22" borderId="3" xfId="0" applyFont="1" applyFill="1" applyBorder="1" applyAlignment="1">
      <alignment vertical="center"/>
    </xf>
    <xf numFmtId="0" fontId="19" fillId="22" borderId="4" xfId="0" applyFont="1" applyFill="1" applyBorder="1" applyAlignment="1">
      <alignment vertical="center"/>
    </xf>
    <xf numFmtId="0" fontId="5" fillId="22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6" fillId="0" borderId="12" xfId="0" applyFont="1" applyFill="1" applyBorder="1" applyAlignment="1">
      <alignment vertical="center"/>
    </xf>
    <xf numFmtId="0" fontId="4" fillId="23" borderId="1" xfId="0" applyFont="1" applyFill="1" applyBorder="1" applyAlignment="1">
      <alignment horizontal="left" vertical="center"/>
    </xf>
    <xf numFmtId="0" fontId="5" fillId="23" borderId="2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4" xfId="0" applyFont="1" applyFill="1" applyBorder="1" applyAlignment="1">
      <alignment horizontal="right" vertical="center"/>
    </xf>
    <xf numFmtId="0" fontId="5" fillId="23" borderId="2" xfId="0" applyFont="1" applyFill="1" applyBorder="1" applyAlignment="1">
      <alignment horizontal="center" vertical="center"/>
    </xf>
    <xf numFmtId="0" fontId="5" fillId="23" borderId="3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ama/Downloads/sheets%20dated%2020-07-2020/Users/HP/Desktop/Examination%202017-%20Analysis/Users/Jaishree/Downloads/X2010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ama/Downloads/sheets%20dated%2020-07-2020/Users/HP/Desktop/Examination%202017-%20Analysis/2017%20X_Examination%20Results(Lates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ama/Downloads/sheets%20dated%2020-07-2020/Users/HP/Desktop/Examination%202017-%20Analysis/X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Chart"/>
    </sheetNames>
    <sheetDataSet>
      <sheetData sheetId="0">
        <row r="44">
          <cell r="AG44">
            <v>9374906</v>
          </cell>
          <cell r="AH44">
            <v>7351211</v>
          </cell>
          <cell r="AI44">
            <v>16726117</v>
          </cell>
          <cell r="AP44">
            <v>6862354</v>
          </cell>
          <cell r="AQ44">
            <v>5687118</v>
          </cell>
          <cell r="AR44">
            <v>12549472</v>
          </cell>
          <cell r="BZ44">
            <v>1517853</v>
          </cell>
          <cell r="CA44">
            <v>1169643</v>
          </cell>
          <cell r="CB44">
            <v>2687496</v>
          </cell>
          <cell r="CI44">
            <v>1020344</v>
          </cell>
          <cell r="CJ44">
            <v>834309</v>
          </cell>
          <cell r="CK44">
            <v>1854653</v>
          </cell>
          <cell r="DS44">
            <v>613490</v>
          </cell>
          <cell r="DT44">
            <v>476366</v>
          </cell>
          <cell r="DU44">
            <v>1089856</v>
          </cell>
          <cell r="EB44">
            <v>382583</v>
          </cell>
          <cell r="EC44">
            <v>293139</v>
          </cell>
          <cell r="ED44">
            <v>675722</v>
          </cell>
        </row>
      </sheetData>
      <sheetData sheetId="1">
        <row r="14">
          <cell r="C14">
            <v>309135</v>
          </cell>
          <cell r="D14">
            <v>214714</v>
          </cell>
          <cell r="E14">
            <v>523849</v>
          </cell>
          <cell r="F14">
            <v>166883</v>
          </cell>
          <cell r="G14">
            <v>106029</v>
          </cell>
          <cell r="H14">
            <v>272912</v>
          </cell>
          <cell r="I14">
            <v>44666</v>
          </cell>
          <cell r="J14">
            <v>27770</v>
          </cell>
          <cell r="K14">
            <v>72436</v>
          </cell>
          <cell r="L14">
            <v>23557</v>
          </cell>
          <cell r="M14">
            <v>13670</v>
          </cell>
          <cell r="N14">
            <v>37227</v>
          </cell>
          <cell r="O14">
            <v>29962</v>
          </cell>
          <cell r="P14">
            <v>25670</v>
          </cell>
          <cell r="Q14">
            <v>55632</v>
          </cell>
          <cell r="R14">
            <v>14045</v>
          </cell>
          <cell r="S14">
            <v>12019</v>
          </cell>
          <cell r="T14">
            <v>26064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lass-X Boardwise"/>
      <sheetName val="Board"/>
      <sheetName val="Open Board"/>
      <sheetName val="TS"/>
      <sheetName val="2016"/>
      <sheetName val="2015"/>
      <sheetName val="2014"/>
      <sheetName val="2013"/>
      <sheetName val="2012"/>
      <sheetName val="2011"/>
    </sheetNames>
    <sheetDataSet>
      <sheetData sheetId="0" refreshError="1"/>
      <sheetData sheetId="1" refreshError="1"/>
      <sheetData sheetId="2">
        <row r="51">
          <cell r="AG51">
            <v>10340418</v>
          </cell>
          <cell r="AH51">
            <v>8973973</v>
          </cell>
          <cell r="AI51">
            <v>19314391</v>
          </cell>
          <cell r="AP51">
            <v>7872615</v>
          </cell>
          <cell r="AQ51">
            <v>7004464</v>
          </cell>
          <cell r="AR51">
            <v>14877079</v>
          </cell>
          <cell r="BZ51">
            <v>1818268</v>
          </cell>
          <cell r="CA51">
            <v>1615036</v>
          </cell>
          <cell r="CB51">
            <v>3433304</v>
          </cell>
          <cell r="CI51">
            <v>1270069</v>
          </cell>
          <cell r="CJ51">
            <v>1162453</v>
          </cell>
          <cell r="CK51">
            <v>2432522</v>
          </cell>
          <cell r="DS51">
            <v>761861</v>
          </cell>
          <cell r="DT51">
            <v>735819</v>
          </cell>
          <cell r="DU51">
            <v>1497680</v>
          </cell>
          <cell r="EB51">
            <v>510415</v>
          </cell>
          <cell r="EC51">
            <v>493280</v>
          </cell>
          <cell r="ED51">
            <v>1003695</v>
          </cell>
        </row>
      </sheetData>
      <sheetData sheetId="3">
        <row r="15">
          <cell r="C15">
            <v>416151</v>
          </cell>
          <cell r="D15">
            <v>230386</v>
          </cell>
          <cell r="E15">
            <v>646537</v>
          </cell>
          <cell r="F15">
            <v>153640</v>
          </cell>
          <cell r="G15">
            <v>97756</v>
          </cell>
          <cell r="H15">
            <v>251396</v>
          </cell>
          <cell r="I15">
            <v>62764</v>
          </cell>
          <cell r="J15">
            <v>36693</v>
          </cell>
          <cell r="K15">
            <v>99457</v>
          </cell>
          <cell r="L15">
            <v>22025</v>
          </cell>
          <cell r="M15">
            <v>15076</v>
          </cell>
          <cell r="N15">
            <v>37101</v>
          </cell>
          <cell r="O15">
            <v>43692</v>
          </cell>
          <cell r="P15">
            <v>36302</v>
          </cell>
          <cell r="Q15">
            <v>79994</v>
          </cell>
          <cell r="R15">
            <v>17229</v>
          </cell>
          <cell r="S15">
            <v>15876</v>
          </cell>
          <cell r="T15">
            <v>33105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 refreshError="1"/>
      <sheetData sheetId="1">
        <row r="14">
          <cell r="C14">
            <v>397611</v>
          </cell>
          <cell r="D14">
            <v>212752</v>
          </cell>
          <cell r="E14">
            <v>610363</v>
          </cell>
          <cell r="F14">
            <v>220126</v>
          </cell>
          <cell r="G14">
            <v>128848</v>
          </cell>
          <cell r="H14">
            <v>348974</v>
          </cell>
          <cell r="I14">
            <v>60124</v>
          </cell>
          <cell r="J14">
            <v>29784</v>
          </cell>
          <cell r="K14">
            <v>89908</v>
          </cell>
          <cell r="L14">
            <v>33032</v>
          </cell>
          <cell r="M14">
            <v>16829</v>
          </cell>
          <cell r="N14">
            <v>49861</v>
          </cell>
          <cell r="O14">
            <v>41501</v>
          </cell>
          <cell r="P14">
            <v>34982</v>
          </cell>
          <cell r="Q14">
            <v>76483</v>
          </cell>
          <cell r="R14">
            <v>22331</v>
          </cell>
          <cell r="S14">
            <v>19759</v>
          </cell>
          <cell r="T14">
            <v>42090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Jaishree" refreshedDate="43348.458288194444" createdVersion="3" refreshedVersion="3" minRefreshableVersion="3" recordCount="48">
  <cacheSource type="worksheet">
    <worksheetSource ref="A2:EK50" sheet="Class-X Boardwise"/>
  </cacheSource>
  <cacheFields count="141">
    <cacheField name="Sr No." numFmtId="0">
      <sharedItems containsString="0" containsBlank="1" containsNumber="1" containsInteger="1" minValue="1" maxValue="44" count="45">
        <n v="1"/>
        <n v="2"/>
        <n v="3"/>
        <n v="4"/>
        <n v="5"/>
        <n v="6"/>
        <n v="7"/>
        <n v="8"/>
        <n v="9"/>
        <n v="10"/>
        <n v="11"/>
        <m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</sharedItems>
    </cacheField>
    <cacheField name="Board Name" numFmtId="0">
      <sharedItems containsBlank="1" count="45">
        <s v="UP Madhyamik Shiksha Parishad"/>
        <s v="New Delhi Rashtriya Sanskrit Sansthan"/>
        <s v="Banasthali Vidyapith , Rajasthan"/>
        <s v="Bihar School Education Board"/>
        <s v="Chhattisgarh Board of Secondary Education"/>
        <s v="Chhatisgarh Sanskriti Vidya Mandalam"/>
        <s v="Goa Board of Secondary &amp; Higher Secondary Education"/>
        <s v="Gujarat Secondary &amp; Higher Secondary Education Board"/>
        <s v="Board of School Education Haryana"/>
        <s v="H.P. Board of School Education"/>
        <s v="Madhya Pradesh Maharshi Patanjali Sanskrit Sansthan"/>
        <s v="Madhya Pradesh Board of Secondary Education "/>
        <s v="Board of Secondary Education, Odisha"/>
        <s v="Punjab School Education Board"/>
        <s v="U.P. Dayalbag Education Institute"/>
        <s v="Uttarakhand Sanskriti Shiksha   Parishad"/>
        <s v="Uttarakhand Board of School Education"/>
        <s v="State Madrassa Education Board, Assam"/>
        <s v="Assam Sanskrit Board"/>
        <s v="Central Board of Secondary Education, New Delhi"/>
        <s v="Nagaland Board of School Education"/>
        <s v="Aligarh Muslim University Board of Secondary &amp; Sr.Secondary Education"/>
        <s v="Director of Government Examination Telangana"/>
        <s v="Chhattisgarh Madarsa Board"/>
        <s v="Jharkhand Academic Council, Ranchi"/>
        <s v="J.K State Board of School Education"/>
        <s v="Council for the Indian School Certificate Examinations,                     New Delhi"/>
        <s v="Tripura Board of Secondary Education"/>
        <s v="West Bengal Board of Secondary Education"/>
        <s v="Meghalaya Board of School Education"/>
        <s v="Andhra Pradesh, Board of Secondary Education "/>
        <s v="Maharashtra State Board of Secondary Education"/>
        <s v="Kerala Board of Public Examination (Secondary Wing)"/>
        <s v="West Bengal Board of Madrasah Education "/>
        <s v="Karnataka, Secondary Education Examination Board"/>
        <s v="Bihar State Madrasa Education Board, Vidyapati Marg, Patna"/>
        <s v=" Board of Secondary Education, Rajasthan"/>
        <s v="Assam Board of Secondary Education  "/>
        <s v="Board of Secondary Education, Manipur"/>
        <s v="Mizoram Board of School Education"/>
        <s v="Tamilnadu board of Secondary Education"/>
        <s v="Bihar Sanskrit Board of Education"/>
        <s v="Maharshi Patanjali Sanskrit Sansthan,Bhopal(Madhya Pradesh)"/>
        <s v="UP Madhyamik Sanskrit Shiksha Parishad"/>
        <m/>
      </sharedItems>
    </cacheField>
    <cacheField name="Name of Examination" numFmtId="0">
      <sharedItems containsBlank="1"/>
    </cacheField>
    <cacheField name="Commencement" numFmtId="0">
      <sharedItems containsDate="1" containsBlank="1" containsMixedTypes="1" minDate="2016-04-01T00:00:00" maxDate="2017-10-06T00:00:00"/>
    </cacheField>
    <cacheField name="Completion" numFmtId="0">
      <sharedItems containsDate="1" containsBlank="1" containsMixedTypes="1" minDate="2017-01-04T00:00:00" maxDate="2017-10-13T00:00:00"/>
    </cacheField>
    <cacheField name="Commencement2" numFmtId="0">
      <sharedItems containsDate="1" containsBlank="1" containsMixedTypes="1" minDate="2017-02-06T00:00:00" maxDate="2017-08-11T00:00:00"/>
    </cacheField>
    <cacheField name="Completion2" numFmtId="0">
      <sharedItems containsDate="1" containsBlank="1" containsMixedTypes="1" minDate="2017-02-18T00:00:00" maxDate="2017-10-07T00:00:00"/>
    </cacheField>
    <cacheField name="Government" numFmtId="0">
      <sharedItems containsString="0" containsBlank="1" containsNumber="1" containsInteger="1" minValue="0" maxValue="13414"/>
    </cacheField>
    <cacheField name="Government Aided" numFmtId="0">
      <sharedItems containsBlank="1" containsMixedTypes="1" containsNumber="1" containsInteger="1" minValue="0" maxValue="21684"/>
    </cacheField>
    <cacheField name="Government Unaided" numFmtId="0">
      <sharedItems containsString="0" containsBlank="1" containsNumber="1" containsInteger="1" minValue="0" maxValue="17901"/>
    </cacheField>
    <cacheField name="Total" numFmtId="0">
      <sharedItems containsString="0" containsBlank="1" containsNumber="1" containsInteger="1" minValue="0" maxValue="26758"/>
    </cacheField>
    <cacheField name="Government2" numFmtId="0">
      <sharedItems containsString="0" containsBlank="1" containsNumber="1" containsInteger="1" minValue="0" maxValue="688078"/>
    </cacheField>
    <cacheField name="Government Aided2" numFmtId="0">
      <sharedItems containsString="0" containsBlank="1" containsNumber="1" containsInteger="1" minValue="0" maxValue="1755005"/>
    </cacheField>
    <cacheField name="Government Unaided2" numFmtId="0">
      <sharedItems containsString="0" containsBlank="1" containsNumber="1" containsInteger="1" minValue="0" maxValue="1936785"/>
    </cacheField>
    <cacheField name="Total2" numFmtId="0">
      <sharedItems containsString="0" containsBlank="1" containsNumber="1" containsInteger="1" minValue="0" maxValue="2858471"/>
    </cacheField>
    <cacheField name="Government3" numFmtId="0">
      <sharedItems containsString="0" containsBlank="1" containsNumber="1" containsInteger="1" minValue="0" maxValue="395078"/>
    </cacheField>
    <cacheField name="Government Aided3" numFmtId="0">
      <sharedItems containsString="0" containsBlank="1" containsNumber="1" containsInteger="1" minValue="0" maxValue="1537034"/>
    </cacheField>
    <cacheField name="Government Unaided3" numFmtId="0">
      <sharedItems containsString="0" containsBlank="1" containsNumber="1" containsInteger="1" minValue="0" maxValue="1625513"/>
    </cacheField>
    <cacheField name="Total3" numFmtId="0">
      <sharedItems containsString="0" containsBlank="1" containsNumber="1" containsInteger="1" minValue="0" maxValue="2327610"/>
    </cacheField>
    <cacheField name="Pass %" numFmtId="0">
      <sharedItems containsMixedTypes="1" containsNumber="1" minValue="0" maxValue="98.54"/>
    </cacheField>
    <cacheField name="100%" numFmtId="0">
      <sharedItems containsString="0" containsBlank="1" containsNumber="1" containsInteger="1" minValue="0" maxValue="11413"/>
    </cacheField>
    <cacheField name="100%-90%" numFmtId="0">
      <sharedItems containsString="0" containsBlank="1" containsNumber="1" containsInteger="1" minValue="0" maxValue="8188"/>
    </cacheField>
    <cacheField name="90%-80%" numFmtId="0">
      <sharedItems containsString="0" containsBlank="1" containsNumber="1" containsInteger="1" minValue="0" maxValue="6237"/>
    </cacheField>
    <cacheField name="80%-70%" numFmtId="0">
      <sharedItems containsString="0" containsBlank="1" containsNumber="1" containsInteger="1" minValue="0" maxValue="4518"/>
    </cacheField>
    <cacheField name="70%-60%" numFmtId="0">
      <sharedItems containsString="0" containsBlank="1" containsNumber="1" containsInteger="1" minValue="0" maxValue="3344"/>
    </cacheField>
    <cacheField name="60%-50%" numFmtId="0">
      <sharedItems containsString="0" containsBlank="1" containsNumber="1" containsInteger="1" minValue="0" maxValue="2163"/>
    </cacheField>
    <cacheField name="50%" numFmtId="0">
      <sharedItems containsString="0" containsBlank="1" containsNumber="1" containsInteger="1" minValue="0" maxValue="6419"/>
    </cacheField>
    <cacheField name="Total Differ" numFmtId="0">
      <sharedItems containsSemiMixedTypes="0" containsString="0" containsNumber="1" containsInteger="1" minValue="-12188" maxValue="305"/>
    </cacheField>
    <cacheField name="All Boys" numFmtId="0">
      <sharedItems containsSemiMixedTypes="0" containsString="0" containsNumber="1" containsInteger="1" minValue="0" maxValue="1520426"/>
    </cacheField>
    <cacheField name="All girls" numFmtId="0">
      <sharedItems containsSemiMixedTypes="0" containsString="0" containsNumber="1" containsInteger="1" minValue="0" maxValue="1338045"/>
    </cacheField>
    <cacheField name="All " numFmtId="0">
      <sharedItems containsSemiMixedTypes="0" containsString="0" containsNumber="1" containsInteger="1" minValue="0" maxValue="2858471"/>
    </cacheField>
    <cacheField name="SC Boys " numFmtId="0">
      <sharedItems containsSemiMixedTypes="0" containsString="0" containsNumber="1" containsInteger="1" minValue="0" maxValue="345966"/>
    </cacheField>
    <cacheField name="SC Girls" numFmtId="0">
      <sharedItems containsSemiMixedTypes="0" containsString="0" containsNumber="1" containsInteger="1" minValue="0" maxValue="301752"/>
    </cacheField>
    <cacheField name="SC all" numFmtId="0">
      <sharedItems containsSemiMixedTypes="0" containsString="0" containsNumber="1" containsInteger="1" minValue="0" maxValue="647718"/>
    </cacheField>
    <cacheField name="ST Boys " numFmtId="0">
      <sharedItems containsSemiMixedTypes="0" containsString="0" containsNumber="1" containsInteger="1" minValue="0" maxValue="83241"/>
    </cacheField>
    <cacheField name="ST girls" numFmtId="0">
      <sharedItems containsSemiMixedTypes="0" containsString="0" containsNumber="1" containsInteger="1" minValue="0" maxValue="67356"/>
    </cacheField>
    <cacheField name="ST All" numFmtId="0">
      <sharedItems containsSemiMixedTypes="0" containsString="0" containsNumber="1" containsInteger="1" minValue="0" maxValue="149543"/>
    </cacheField>
    <cacheField name="All Boys2" numFmtId="0">
      <sharedItems containsSemiMixedTypes="0" containsString="0" containsNumber="1" containsInteger="1" minValue="0" maxValue="1167948"/>
    </cacheField>
    <cacheField name="All girls2" numFmtId="0">
      <sharedItems containsSemiMixedTypes="0" containsString="0" containsNumber="1" containsInteger="1" minValue="0" maxValue="1159662"/>
    </cacheField>
    <cacheField name="All 2" numFmtId="0">
      <sharedItems containsSemiMixedTypes="0" containsString="0" containsNumber="1" containsInteger="1" minValue="0" maxValue="2327610"/>
    </cacheField>
    <cacheField name="SC Boys 2" numFmtId="0">
      <sharedItems containsSemiMixedTypes="0" containsString="0" containsNumber="1" containsInteger="1" minValue="0" maxValue="242066"/>
    </cacheField>
    <cacheField name="SC Girls2" numFmtId="0">
      <sharedItems containsSemiMixedTypes="0" containsString="0" containsNumber="1" containsInteger="1" minValue="0" maxValue="238925"/>
    </cacheField>
    <cacheField name="SC all2" numFmtId="0">
      <sharedItems containsSemiMixedTypes="0" containsString="0" containsNumber="1" containsInteger="1" minValue="0" maxValue="480991"/>
    </cacheField>
    <cacheField name="ST Boys 2" numFmtId="0">
      <sharedItems containsSemiMixedTypes="0" containsString="0" containsNumber="1" containsInteger="1" minValue="0" maxValue="63430"/>
    </cacheField>
    <cacheField name="ST girls2" numFmtId="0">
      <sharedItems containsSemiMixedTypes="0" containsString="0" containsNumber="1" containsInteger="1" minValue="0" maxValue="54168"/>
    </cacheField>
    <cacheField name="ST All2" numFmtId="0">
      <sharedItems containsSemiMixedTypes="0" containsString="0" containsNumber="1" containsInteger="1" minValue="0" maxValue="117598"/>
    </cacheField>
    <cacheField name="All Boys3" numFmtId="0">
      <sharedItems containsString="0" containsBlank="1" containsNumber="1" containsInteger="1" minValue="0" maxValue="66564"/>
    </cacheField>
    <cacheField name="All girls3" numFmtId="0">
      <sharedItems containsString="0" containsBlank="1" containsNumber="1" containsInteger="1" minValue="0" maxValue="61994"/>
    </cacheField>
    <cacheField name="All 3" numFmtId="0">
      <sharedItems containsSemiMixedTypes="0" containsString="0" containsNumber="1" containsInteger="1" minValue="0" maxValue="124631"/>
    </cacheField>
    <cacheField name="SC Boys 3" numFmtId="0">
      <sharedItems containsString="0" containsBlank="1" containsNumber="1" containsInteger="1" minValue="0" maxValue="14209"/>
    </cacheField>
    <cacheField name="SC Girls3" numFmtId="0">
      <sharedItems containsString="0" containsBlank="1" containsNumber="1" containsInteger="1" minValue="0" maxValue="10915"/>
    </cacheField>
    <cacheField name="SC all3" numFmtId="0">
      <sharedItems containsSemiMixedTypes="0" containsString="0" containsNumber="1" containsInteger="1" minValue="0" maxValue="25124"/>
    </cacheField>
    <cacheField name="ST Boys 3" numFmtId="0">
      <sharedItems containsString="0" containsBlank="1" containsNumber="1" containsInteger="1" minValue="0" maxValue="8174"/>
    </cacheField>
    <cacheField name="ST girls3" numFmtId="0">
      <sharedItems containsString="0" containsBlank="1" containsNumber="1" containsInteger="1" minValue="0" maxValue="9909"/>
    </cacheField>
    <cacheField name="ST All3" numFmtId="0">
      <sharedItems containsSemiMixedTypes="0" containsString="0" containsNumber="1" containsInteger="1" minValue="0" maxValue="18083"/>
    </cacheField>
    <cacheField name="All Boys4" numFmtId="0">
      <sharedItems containsString="0" containsBlank="1" containsNumber="1" containsInteger="1" minValue="0" maxValue="1168129"/>
    </cacheField>
    <cacheField name="All girls4" numFmtId="0">
      <sharedItems containsString="0" containsBlank="1" containsNumber="1" containsInteger="1" minValue="0" maxValue="1159726"/>
    </cacheField>
    <cacheField name="All 4" numFmtId="0">
      <sharedItems containsSemiMixedTypes="0" containsString="0" containsNumber="1" containsInteger="1" minValue="0" maxValue="2327855"/>
    </cacheField>
    <cacheField name="SC Boys 4" numFmtId="0">
      <sharedItems containsString="0" containsBlank="1" containsNumber="1" containsInteger="1" minValue="0" maxValue="242093"/>
    </cacheField>
    <cacheField name="SC Girls4" numFmtId="0">
      <sharedItems containsString="0" containsBlank="1" containsNumber="1" containsInteger="1" minValue="0" maxValue="238941"/>
    </cacheField>
    <cacheField name="SC all4" numFmtId="0">
      <sharedItems containsSemiMixedTypes="0" containsString="0" containsNumber="1" containsInteger="1" minValue="0" maxValue="481034"/>
    </cacheField>
    <cacheField name="ST Boys 4" numFmtId="0">
      <sharedItems containsString="0" containsBlank="1" containsNumber="1" containsInteger="1" minValue="0" maxValue="65083"/>
    </cacheField>
    <cacheField name="ST girls4" numFmtId="0">
      <sharedItems containsString="0" containsBlank="1" containsNumber="1" containsInteger="1" minValue="0" maxValue="55251"/>
    </cacheField>
    <cacheField name="ST All4" numFmtId="0">
      <sharedItems containsSemiMixedTypes="0" containsString="0" containsNumber="1" containsInteger="1" minValue="0" maxValue="120334"/>
    </cacheField>
    <cacheField name="All Boys5" numFmtId="0">
      <sharedItems containsMixedTypes="1" containsNumber="1" minValue="0" maxValue="100"/>
    </cacheField>
    <cacheField name="All girls5" numFmtId="0">
      <sharedItems containsMixedTypes="1" containsNumber="1" minValue="0" maxValue="99.14"/>
    </cacheField>
    <cacheField name="All 5" numFmtId="0">
      <sharedItems containsMixedTypes="1" containsNumber="1" minValue="0" maxValue="99.21"/>
    </cacheField>
    <cacheField name="SC Boys 5" numFmtId="0">
      <sharedItems containsMixedTypes="1" containsNumber="1" minValue="0" maxValue="100"/>
    </cacheField>
    <cacheField name="SC Girls5" numFmtId="0">
      <sharedItems containsMixedTypes="1" containsNumber="1" minValue="0" maxValue="100"/>
    </cacheField>
    <cacheField name="SC all5" numFmtId="0">
      <sharedItems containsMixedTypes="1" containsNumber="1" minValue="0" maxValue="100"/>
    </cacheField>
    <cacheField name="ST Boys 5" numFmtId="0">
      <sharedItems containsMixedTypes="1" containsNumber="1" minValue="0" maxValue="97.77"/>
    </cacheField>
    <cacheField name="ST girls5" numFmtId="0">
      <sharedItems containsMixedTypes="1" containsNumber="1" minValue="0" maxValue="100"/>
    </cacheField>
    <cacheField name="ST All5" numFmtId="0">
      <sharedItems containsMixedTypes="1" containsNumber="1" minValue="0" maxValue="100"/>
    </cacheField>
    <cacheField name="P_All Boys" numFmtId="0">
      <sharedItems containsString="0" containsBlank="1" containsNumber="1" containsInteger="1" minValue="0" maxValue="184192"/>
    </cacheField>
    <cacheField name="All girls6" numFmtId="0">
      <sharedItems containsString="0" containsBlank="1" containsNumber="1" containsInteger="1" minValue="0" maxValue="130125"/>
    </cacheField>
    <cacheField name="All 6" numFmtId="0">
      <sharedItems containsSemiMixedTypes="0" containsString="0" containsNumber="1" containsInteger="1" minValue="0" maxValue="314317"/>
    </cacheField>
    <cacheField name="SC Boys 6" numFmtId="0">
      <sharedItems containsSemiMixedTypes="0" containsString="0" containsNumber="1" containsInteger="1" minValue="0" maxValue="37649"/>
    </cacheField>
    <cacheField name="SC Girls6" numFmtId="0">
      <sharedItems containsSemiMixedTypes="0" containsString="0" containsNumber="1" containsInteger="1" minValue="0" maxValue="30511"/>
    </cacheField>
    <cacheField name="SC all6" numFmtId="0">
      <sharedItems containsSemiMixedTypes="0" containsString="0" containsNumber="1" containsInteger="1" minValue="0" maxValue="64192"/>
    </cacheField>
    <cacheField name="ST Boys 6" numFmtId="0">
      <sharedItems containsSemiMixedTypes="0" containsString="0" containsNumber="1" containsInteger="1" minValue="0" maxValue="41680"/>
    </cacheField>
    <cacheField name="ST girls6" numFmtId="0">
      <sharedItems containsSemiMixedTypes="0" containsString="0" containsNumber="1" containsInteger="1" minValue="0" maxValue="33256"/>
    </cacheField>
    <cacheField name="ST All6" numFmtId="0">
      <sharedItems containsSemiMixedTypes="0" containsString="0" containsNumber="1" containsInteger="1" minValue="0" maxValue="74936"/>
    </cacheField>
    <cacheField name="PP_All Boys" numFmtId="0">
      <sharedItems containsSemiMixedTypes="0" containsString="0" containsNumber="1" containsInteger="1" minValue="0" maxValue="86223"/>
    </cacheField>
    <cacheField name="All girls7" numFmtId="0">
      <sharedItems containsSemiMixedTypes="0" containsString="0" containsNumber="1" containsInteger="1" minValue="0" maxValue="28593"/>
    </cacheField>
    <cacheField name="All 7" numFmtId="0">
      <sharedItems containsSemiMixedTypes="0" containsString="0" containsNumber="1" containsInteger="1" minValue="0" maxValue="106632"/>
    </cacheField>
    <cacheField name="SC Boys 7" numFmtId="0">
      <sharedItems containsSemiMixedTypes="0" containsString="0" containsNumber="1" containsInteger="1" minValue="0" maxValue="12768"/>
    </cacheField>
    <cacheField name="SC Girls7" numFmtId="0">
      <sharedItems containsSemiMixedTypes="0" containsString="0" containsNumber="1" containsInteger="1" minValue="0" maxValue="5331"/>
    </cacheField>
    <cacheField name="SC all7" numFmtId="0">
      <sharedItems containsSemiMixedTypes="0" containsString="0" containsNumber="1" containsInteger="1" minValue="0" maxValue="15549"/>
    </cacheField>
    <cacheField name="ST Boys 7" numFmtId="0">
      <sharedItems containsSemiMixedTypes="0" containsString="0" containsNumber="1" containsInteger="1" minValue="0" maxValue="6094"/>
    </cacheField>
    <cacheField name="ST girls7" numFmtId="0">
      <sharedItems containsSemiMixedTypes="0" containsString="0" containsNumber="1" containsInteger="1" minValue="0" maxValue="6011"/>
    </cacheField>
    <cacheField name="ST All7" numFmtId="0">
      <sharedItems containsSemiMixedTypes="0" containsString="0" containsNumber="1" containsInteger="1" minValue="0" maxValue="12105"/>
    </cacheField>
    <cacheField name="PPS_All Boys" numFmtId="0">
      <sharedItems containsSemiMixedTypes="0" containsString="0" containsNumber="1" containsInteger="1" minValue="0" maxValue="19999"/>
    </cacheField>
    <cacheField name="All girls8" numFmtId="0">
      <sharedItems containsSemiMixedTypes="0" containsString="0" containsNumber="1" containsInteger="1" minValue="0" maxValue="17113"/>
    </cacheField>
    <cacheField name="All 8" numFmtId="0">
      <sharedItems containsSemiMixedTypes="0" containsString="0" containsNumber="1" containsInteger="1" minValue="0" maxValue="37112"/>
    </cacheField>
    <cacheField name="SC Boys 8" numFmtId="0">
      <sharedItems containsSemiMixedTypes="0" containsString="0" containsNumber="1" containsInteger="1" minValue="0" maxValue="3968"/>
    </cacheField>
    <cacheField name="SC Girls8" numFmtId="0">
      <sharedItems containsSemiMixedTypes="0" containsString="0" containsNumber="1" containsInteger="1" minValue="0" maxValue="3369"/>
    </cacheField>
    <cacheField name="SC all8" numFmtId="0">
      <sharedItems containsSemiMixedTypes="0" containsString="0" containsNumber="1" containsInteger="1" minValue="0" maxValue="7337"/>
    </cacheField>
    <cacheField name="ST Boys 8" numFmtId="0">
      <sharedItems containsSemiMixedTypes="0" containsString="0" containsNumber="1" containsInteger="1" minValue="0" maxValue="3975"/>
    </cacheField>
    <cacheField name="ST girls8" numFmtId="0">
      <sharedItems containsSemiMixedTypes="0" containsString="0" containsNumber="1" containsInteger="1" minValue="0" maxValue="3548"/>
    </cacheField>
    <cacheField name="ST All8" numFmtId="0">
      <sharedItems containsSemiMixedTypes="0" containsString="0" containsNumber="1" containsInteger="1" minValue="0" maxValue="7523"/>
    </cacheField>
    <cacheField name="All Boys6" numFmtId="0">
      <sharedItems containsSemiMixedTypes="0" containsString="0" containsNumber="1" containsInteger="1" minValue="0" maxValue="86248"/>
    </cacheField>
    <cacheField name="All girls9" numFmtId="0">
      <sharedItems containsSemiMixedTypes="0" containsString="0" containsNumber="1" containsInteger="1" minValue="0" maxValue="30267"/>
    </cacheField>
    <cacheField name="All 9" numFmtId="0">
      <sharedItems containsSemiMixedTypes="0" containsString="0" containsNumber="1" containsInteger="1" minValue="0" maxValue="106660"/>
    </cacheField>
    <cacheField name="SC Boys 9" numFmtId="0">
      <sharedItems containsSemiMixedTypes="0" containsString="0" containsNumber="1" containsInteger="1" minValue="0" maxValue="12773"/>
    </cacheField>
    <cacheField name="SC Girls9" numFmtId="0">
      <sharedItems containsSemiMixedTypes="0" containsString="0" containsNumber="1" containsInteger="1" minValue="0" maxValue="5855"/>
    </cacheField>
    <cacheField name="SC all9" numFmtId="0">
      <sharedItems containsSemiMixedTypes="0" containsString="0" containsNumber="1" containsInteger="1" minValue="0" maxValue="15555"/>
    </cacheField>
    <cacheField name="ST Boys 9" numFmtId="0">
      <sharedItems containsSemiMixedTypes="0" containsString="0" containsNumber="1" containsInteger="1" minValue="0" maxValue="7902"/>
    </cacheField>
    <cacheField name="ST girls9" numFmtId="0">
      <sharedItems containsSemiMixedTypes="0" containsString="0" containsNumber="1" containsInteger="1" minValue="0" maxValue="6387"/>
    </cacheField>
    <cacheField name="ST All9" numFmtId="0">
      <sharedItems containsSemiMixedTypes="0" containsString="0" containsNumber="1" containsInteger="1" minValue="0" maxValue="14289"/>
    </cacheField>
    <cacheField name="All Boys7" numFmtId="0">
      <sharedItems containsMixedTypes="1" containsNumber="1" minValue="0" maxValue="100"/>
    </cacheField>
    <cacheField name="All girls10" numFmtId="0">
      <sharedItems containsMixedTypes="1" containsNumber="1" minValue="0" maxValue="118.5"/>
    </cacheField>
    <cacheField name="All 10" numFmtId="0">
      <sharedItems containsMixedTypes="1" containsNumber="1" minValue="0" maxValue="118.5"/>
    </cacheField>
    <cacheField name="SC Boys 10" numFmtId="0">
      <sharedItems containsMixedTypes="1" containsNumber="1" minValue="0" maxValue="84.34"/>
    </cacheField>
    <cacheField name="SC Girls10" numFmtId="0">
      <sharedItems containsMixedTypes="1" containsNumber="1" minValue="0" maxValue="100"/>
    </cacheField>
    <cacheField name="SC all10" numFmtId="0">
      <sharedItems containsMixedTypes="1" containsNumber="1" minValue="0" maxValue="100"/>
    </cacheField>
    <cacheField name="ST Boys 10" numFmtId="0">
      <sharedItems containsMixedTypes="1" containsNumber="1" minValue="0" maxValue="100"/>
    </cacheField>
    <cacheField name="ST girls10" numFmtId="0">
      <sharedItems containsMixedTypes="1" containsNumber="1" minValue="0" maxValue="77.78"/>
    </cacheField>
    <cacheField name="ST All10" numFmtId="0">
      <sharedItems containsMixedTypes="1" containsNumber="1" minValue="0" maxValue="100"/>
    </cacheField>
    <cacheField name="pas All Boys" numFmtId="0">
      <sharedItems containsString="0" containsBlank="1" containsNumber="1" containsInteger="1" minValue="0" maxValue="823632" count="35">
        <n v="823632"/>
        <n v="249"/>
        <n v="16"/>
        <n v="0"/>
        <n v="23202"/>
        <n v="3978"/>
        <n v="110087"/>
        <n v="61969"/>
        <n v="27097"/>
        <m/>
        <n v="107790"/>
        <n v="91109"/>
        <n v="92147"/>
        <n v="93"/>
        <n v="145"/>
        <n v="12783"/>
        <n v="25995"/>
        <n v="722065"/>
        <n v="2770"/>
        <n v="853"/>
        <n v="65663"/>
        <n v="21416"/>
        <n v="83269"/>
        <n v="2325"/>
        <n v="27813"/>
        <n v="677"/>
        <n v="445593"/>
        <n v="1307"/>
        <n v="193561"/>
        <n v="3"/>
        <n v="176070"/>
        <n v="486"/>
        <n v="1885"/>
        <n v="348603"/>
        <n v="6530"/>
      </sharedItems>
    </cacheField>
    <cacheField name="Pas All girls" numFmtId="0">
      <sharedItems containsString="0" containsBlank="1" containsNumber="1" containsInteger="1" minValue="0" maxValue="887607" count="36">
        <n v="887607"/>
        <n v="165"/>
        <n v="189"/>
        <n v="0"/>
        <n v="25872"/>
        <n v="5501"/>
        <n v="95894"/>
        <n v="65106"/>
        <n v="29637"/>
        <m/>
        <n v="104394"/>
        <n v="99385"/>
        <n v="98190"/>
        <n v="94"/>
        <n v="13"/>
        <n v="18737"/>
        <n v="30514"/>
        <n v="512751"/>
        <n v="3525"/>
        <n v="733"/>
        <n v="3"/>
        <n v="59738"/>
        <n v="20451"/>
        <n v="71783"/>
        <n v="2155"/>
        <n v="20599"/>
        <n v="828"/>
        <n v="452596"/>
        <n v="1846"/>
        <n v="233022"/>
        <n v="1"/>
        <n v="134498"/>
        <n v="473"/>
        <n v="2233"/>
        <n v="406794"/>
        <n v="3080"/>
      </sharedItems>
    </cacheField>
    <cacheField name="All 11" numFmtId="0">
      <sharedItems containsSemiMixedTypes="0" containsString="0" containsNumber="1" containsInteger="1" minValue="0" maxValue="1711239" count="36">
        <n v="1711239"/>
        <n v="414"/>
        <n v="205"/>
        <n v="0"/>
        <n v="49074"/>
        <n v="9479"/>
        <n v="205981"/>
        <n v="127075"/>
        <n v="56734"/>
        <n v="212184"/>
        <n v="190494"/>
        <n v="190337"/>
        <n v="187"/>
        <n v="158"/>
        <n v="31520"/>
        <n v="56509"/>
        <n v="1234816"/>
        <n v="6295"/>
        <n v="1586"/>
        <n v="3"/>
        <n v="125401"/>
        <n v="41867"/>
        <n v="155052"/>
        <n v="4480"/>
        <n v="48412"/>
        <n v="1505"/>
        <n v="898189"/>
        <n v="72371"/>
        <n v="3153"/>
        <n v="426583"/>
        <n v="4"/>
        <n v="310568"/>
        <n v="959"/>
        <n v="4118"/>
        <n v="755397"/>
        <n v="9610"/>
      </sharedItems>
    </cacheField>
    <cacheField name="SC Boys 11" numFmtId="0">
      <sharedItems containsString="0" containsBlank="1" containsNumber="1" containsInteger="1" minValue="0" maxValue="154120" count="31">
        <n v="154120"/>
        <n v="16"/>
        <n v="1"/>
        <n v="0"/>
        <n v="3074"/>
        <n v="33"/>
        <n v="6300"/>
        <n v="10210"/>
        <n v="6430"/>
        <m/>
        <n v="15997"/>
        <n v="13736"/>
        <n v="26097"/>
        <n v="15"/>
        <n v="2194"/>
        <n v="1922"/>
        <n v="48276"/>
        <n v="43"/>
        <n v="10"/>
        <n v="6526"/>
        <n v="3732"/>
        <n v="510"/>
        <n v="4152"/>
        <n v="7"/>
        <n v="50994"/>
        <n v="30451"/>
        <n v="25724"/>
        <n v="20"/>
        <n v="5"/>
        <n v="69963"/>
        <n v="550"/>
      </sharedItems>
    </cacheField>
    <cacheField name="SC Girls11" numFmtId="0">
      <sharedItems containsString="0" containsBlank="1" containsNumber="1" containsInteger="1" minValue="0" maxValue="164020" count="32">
        <n v="164020"/>
        <n v="39"/>
        <n v="3"/>
        <n v="0"/>
        <n v="3154"/>
        <n v="59"/>
        <n v="5816"/>
        <n v="11276"/>
        <n v="7738"/>
        <m/>
        <n v="13136"/>
        <n v="14621"/>
        <n v="33745"/>
        <n v="12"/>
        <n v="3389"/>
        <n v="1726"/>
        <n v="33982"/>
        <n v="27"/>
        <n v="7"/>
        <n v="4954"/>
        <n v="2965"/>
        <n v="456"/>
        <n v="2688"/>
        <n v="6"/>
        <n v="55163"/>
        <n v="11"/>
        <n v="34325"/>
        <n v="17687"/>
        <n v="38"/>
        <n v="8"/>
        <n v="89856"/>
        <n v="680"/>
      </sharedItems>
    </cacheField>
    <cacheField name="SC all11" numFmtId="0">
      <sharedItems containsSemiMixedTypes="0" containsString="0" containsNumber="1" containsInteger="1" minValue="0" maxValue="318140"/>
    </cacheField>
    <cacheField name="ST Boys 11" numFmtId="0">
      <sharedItems containsString="0" containsBlank="1" containsNumber="1" containsInteger="1" minValue="0" maxValue="27132" count="30">
        <n v="6079"/>
        <n v="4"/>
        <n v="0"/>
        <n v="4162"/>
        <n v="357"/>
        <n v="7337"/>
        <n v="26"/>
        <n v="1572"/>
        <m/>
        <n v="9372"/>
        <n v="12231"/>
        <n v="18"/>
        <n v="9"/>
        <n v="454"/>
        <n v="3797"/>
        <n v="18426"/>
        <n v="2357"/>
        <n v="11880"/>
        <n v="2150"/>
        <n v="128"/>
        <n v="253"/>
        <n v="528"/>
        <n v="27132"/>
        <n v="2"/>
        <n v="11362"/>
        <n v="13960"/>
        <n v="85"/>
        <n v="1850"/>
        <n v="2751"/>
        <n v="3"/>
      </sharedItems>
    </cacheField>
    <cacheField name="ST girls11" numFmtId="0">
      <sharedItems containsString="0" containsBlank="1" containsNumber="1" containsInteger="1" minValue="0" maxValue="26310" count="29">
        <n v="5450"/>
        <n v="5"/>
        <n v="3"/>
        <n v="0"/>
        <n v="4396"/>
        <n v="524"/>
        <n v="8507"/>
        <n v="25"/>
        <n v="1731"/>
        <m/>
        <n v="8340"/>
        <n v="15998"/>
        <n v="17"/>
        <n v="13"/>
        <n v="632"/>
        <n v="3250"/>
        <n v="15088"/>
        <n v="3127"/>
        <n v="11120"/>
        <n v="2173"/>
        <n v="104"/>
        <n v="180"/>
        <n v="683"/>
        <n v="26310"/>
        <n v="13302"/>
        <n v="9206"/>
        <n v="81"/>
        <n v="2209"/>
        <n v="3029"/>
      </sharedItems>
    </cacheField>
    <cacheField name="ST All11" numFmtId="0">
      <sharedItems containsSemiMixedTypes="0" containsString="0" containsNumber="1" containsInteger="1" minValue="0" maxValue="53442"/>
    </cacheField>
    <cacheField name="All Boys8" numFmtId="0">
      <sharedItems containsString="0" containsBlank="1" containsNumber="1" containsInteger="1" minValue="0" maxValue="430745"/>
    </cacheField>
    <cacheField name="All girls11" numFmtId="0">
      <sharedItems containsString="0" containsBlank="1" containsNumber="1" containsInteger="1" minValue="0" maxValue="319223"/>
    </cacheField>
    <cacheField name="All 12" numFmtId="0">
      <sharedItems containsSemiMixedTypes="0" containsString="0" containsNumber="1" containsInteger="1" minValue="0" maxValue="748278"/>
    </cacheField>
    <cacheField name="SC Boys 12" numFmtId="0">
      <sharedItems containsString="0" containsBlank="1" containsNumber="1" containsInteger="1" minValue="0" maxValue="100746"/>
    </cacheField>
    <cacheField name="SC Girls12" numFmtId="0">
      <sharedItems containsString="0" containsBlank="1" containsNumber="1" containsInteger="1" minValue="0" maxValue="77703"/>
    </cacheField>
    <cacheField name="SC all12" numFmtId="0">
      <sharedItems containsSemiMixedTypes="0" containsString="0" containsNumber="1" containsInteger="1" minValue="0" maxValue="178449"/>
    </cacheField>
    <cacheField name="ST Boys 12" numFmtId="0">
      <sharedItems containsString="0" containsBlank="1" containsNumber="1" containsInteger="1" minValue="0" maxValue="63129"/>
    </cacheField>
    <cacheField name="ST girls12" numFmtId="0">
      <sharedItems containsString="0" containsBlank="1" containsNumber="1" containsInteger="1" minValue="0" maxValue="57447"/>
    </cacheField>
    <cacheField name="ST All12" numFmtId="0">
      <sharedItems containsSemiMixedTypes="0" containsString="0" containsNumber="1" containsInteger="1" minValue="0" maxValue="120576"/>
    </cacheField>
    <cacheField name="Appeared" numFmtId="0">
      <sharedItems containsSemiMixedTypes="0" containsString="0" containsNumber="1" containsInteger="1" minValue="-1344682" maxValue="10832"/>
    </cacheField>
    <cacheField name="Passed" numFmtId="0">
      <sharedItems containsSemiMixedTypes="0" containsString="0" containsNumber="1" containsInteger="1" minValue="-874984" maxValue="283725"/>
    </cacheField>
    <cacheField name="All" numFmtId="0">
      <sharedItems containsSemiMixedTypes="0" containsString="0" containsNumber="1" containsInteger="1" minValue="-1573213" maxValue="926711"/>
    </cacheField>
    <cacheField name="SC" numFmtId="0">
      <sharedItems containsSemiMixedTypes="0" containsString="0" containsNumber="1" containsInteger="1" minValue="-219058" maxValue="218762"/>
    </cacheField>
    <cacheField name="ST" numFmtId="0">
      <sharedItems containsSemiMixedTypes="0" containsString="0" containsNumber="1" containsInteger="1" minValue="-54931" maxValue="410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J50" firstHeaderRow="1" firstDataRow="2" firstDataCol="1"/>
  <pivotFields count="141">
    <pivotField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11"/>
        <item t="default"/>
      </items>
    </pivotField>
    <pivotField axis="axisRow" showAll="0">
      <items count="46">
        <item x="36"/>
        <item x="21"/>
        <item x="30"/>
        <item x="37"/>
        <item x="18"/>
        <item x="2"/>
        <item x="41"/>
        <item x="3"/>
        <item x="35"/>
        <item x="8"/>
        <item x="38"/>
        <item x="12"/>
        <item x="19"/>
        <item x="5"/>
        <item x="4"/>
        <item x="23"/>
        <item x="26"/>
        <item x="22"/>
        <item x="6"/>
        <item x="7"/>
        <item x="9"/>
        <item x="25"/>
        <item x="24"/>
        <item x="34"/>
        <item x="32"/>
        <item x="11"/>
        <item x="10"/>
        <item x="31"/>
        <item x="42"/>
        <item x="29"/>
        <item x="39"/>
        <item x="20"/>
        <item x="1"/>
        <item x="13"/>
        <item x="17"/>
        <item x="40"/>
        <item x="27"/>
        <item x="14"/>
        <item x="43"/>
        <item x="0"/>
        <item x="16"/>
        <item x="15"/>
        <item x="33"/>
        <item x="28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6">
        <item x="3"/>
        <item x="29"/>
        <item x="2"/>
        <item x="13"/>
        <item x="14"/>
        <item x="1"/>
        <item x="31"/>
        <item x="25"/>
        <item x="19"/>
        <item x="27"/>
        <item x="32"/>
        <item x="23"/>
        <item x="18"/>
        <item x="5"/>
        <item x="34"/>
        <item x="15"/>
        <item x="21"/>
        <item x="4"/>
        <item x="16"/>
        <item x="8"/>
        <item x="24"/>
        <item x="7"/>
        <item x="20"/>
        <item x="22"/>
        <item x="11"/>
        <item x="12"/>
        <item x="10"/>
        <item x="6"/>
        <item x="30"/>
        <item x="28"/>
        <item x="33"/>
        <item x="26"/>
        <item x="17"/>
        <item x="0"/>
        <item x="9"/>
        <item t="default"/>
      </items>
    </pivotField>
    <pivotField dataField="1" showAll="0">
      <items count="37">
        <item x="3"/>
        <item x="30"/>
        <item x="20"/>
        <item x="14"/>
        <item x="13"/>
        <item x="1"/>
        <item x="2"/>
        <item x="32"/>
        <item x="19"/>
        <item x="26"/>
        <item x="28"/>
        <item x="24"/>
        <item x="33"/>
        <item x="35"/>
        <item x="18"/>
        <item x="5"/>
        <item x="15"/>
        <item x="22"/>
        <item x="25"/>
        <item x="4"/>
        <item x="8"/>
        <item x="16"/>
        <item x="21"/>
        <item x="7"/>
        <item x="23"/>
        <item x="6"/>
        <item x="12"/>
        <item x="11"/>
        <item x="10"/>
        <item x="31"/>
        <item x="29"/>
        <item x="34"/>
        <item x="27"/>
        <item x="17"/>
        <item x="0"/>
        <item x="9"/>
        <item t="default"/>
      </items>
    </pivotField>
    <pivotField dataField="1" showAll="0">
      <items count="37">
        <item x="3"/>
        <item x="19"/>
        <item x="30"/>
        <item x="13"/>
        <item x="12"/>
        <item x="2"/>
        <item x="1"/>
        <item x="32"/>
        <item x="25"/>
        <item x="18"/>
        <item x="28"/>
        <item x="33"/>
        <item x="23"/>
        <item x="17"/>
        <item x="5"/>
        <item x="35"/>
        <item x="14"/>
        <item x="21"/>
        <item x="24"/>
        <item x="4"/>
        <item x="15"/>
        <item x="8"/>
        <item x="27"/>
        <item x="20"/>
        <item x="7"/>
        <item x="22"/>
        <item x="11"/>
        <item x="10"/>
        <item x="6"/>
        <item x="9"/>
        <item x="31"/>
        <item x="29"/>
        <item x="34"/>
        <item x="26"/>
        <item x="16"/>
        <item x="0"/>
        <item t="default"/>
      </items>
    </pivotField>
    <pivotField dataField="1" showAll="0">
      <items count="32">
        <item x="3"/>
        <item x="2"/>
        <item x="28"/>
        <item x="23"/>
        <item x="18"/>
        <item x="13"/>
        <item x="1"/>
        <item x="27"/>
        <item x="5"/>
        <item x="17"/>
        <item x="21"/>
        <item x="30"/>
        <item x="15"/>
        <item x="14"/>
        <item x="4"/>
        <item x="20"/>
        <item x="22"/>
        <item x="6"/>
        <item x="8"/>
        <item x="19"/>
        <item x="7"/>
        <item x="11"/>
        <item x="10"/>
        <item x="26"/>
        <item x="12"/>
        <item x="25"/>
        <item x="16"/>
        <item x="24"/>
        <item x="29"/>
        <item x="0"/>
        <item x="9"/>
        <item t="default"/>
      </items>
    </pivotField>
    <pivotField dataField="1" showAll="0">
      <items count="33">
        <item x="3"/>
        <item x="2"/>
        <item x="23"/>
        <item x="18"/>
        <item x="29"/>
        <item x="25"/>
        <item x="13"/>
        <item x="17"/>
        <item x="28"/>
        <item x="1"/>
        <item x="5"/>
        <item x="21"/>
        <item x="31"/>
        <item x="15"/>
        <item x="22"/>
        <item x="20"/>
        <item x="4"/>
        <item x="14"/>
        <item x="19"/>
        <item x="6"/>
        <item x="8"/>
        <item x="7"/>
        <item x="10"/>
        <item x="11"/>
        <item x="27"/>
        <item x="12"/>
        <item x="16"/>
        <item x="26"/>
        <item x="24"/>
        <item x="30"/>
        <item x="0"/>
        <item x="9"/>
        <item t="default"/>
      </items>
    </pivotField>
    <pivotField dataField="1" showAll="0"/>
    <pivotField dataField="1" showAll="0">
      <items count="31">
        <item x="2"/>
        <item x="23"/>
        <item x="29"/>
        <item x="1"/>
        <item x="12"/>
        <item x="11"/>
        <item x="6"/>
        <item x="26"/>
        <item x="19"/>
        <item x="20"/>
        <item x="4"/>
        <item x="13"/>
        <item x="21"/>
        <item x="7"/>
        <item x="27"/>
        <item x="18"/>
        <item x="16"/>
        <item x="28"/>
        <item x="14"/>
        <item x="3"/>
        <item x="0"/>
        <item x="5"/>
        <item x="9"/>
        <item x="24"/>
        <item x="17"/>
        <item x="10"/>
        <item x="25"/>
        <item x="15"/>
        <item x="22"/>
        <item x="8"/>
        <item t="default"/>
      </items>
    </pivotField>
    <pivotField dataField="1" showAll="0">
      <items count="30">
        <item x="3"/>
        <item x="2"/>
        <item x="1"/>
        <item x="13"/>
        <item x="12"/>
        <item x="7"/>
        <item x="26"/>
        <item x="20"/>
        <item x="21"/>
        <item x="5"/>
        <item x="14"/>
        <item x="22"/>
        <item x="8"/>
        <item x="19"/>
        <item x="27"/>
        <item x="28"/>
        <item x="17"/>
        <item x="15"/>
        <item x="4"/>
        <item x="0"/>
        <item x="10"/>
        <item x="6"/>
        <item x="25"/>
        <item x="18"/>
        <item x="24"/>
        <item x="16"/>
        <item x="11"/>
        <item x="23"/>
        <item x="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pas All Boys" fld="118" baseField="0" baseItem="0"/>
    <dataField name="Sum of Pas All girls" fld="119" baseField="0" baseItem="0"/>
    <dataField name="Sum of All 11" fld="120" baseField="0" baseItem="0"/>
    <dataField name="Sum of SC Boys 11" fld="121" baseField="0" baseItem="0"/>
    <dataField name="Sum of SC all11" fld="123" baseField="0" baseItem="0"/>
    <dataField name="Sum of ST All11" fld="126" baseField="0" baseItem="0"/>
    <dataField name="Sum of SC Girls11" fld="122" baseField="0" baseItem="0"/>
    <dataField name="Sum of ST Boys 11" fld="124" baseField="0" baseItem="0"/>
    <dataField name="Sum of ST girls11" fld="12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hrd.gov.in/statistics-new?shs_term_node_tid_depth=38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50"/>
  <sheetViews>
    <sheetView topLeftCell="A27" workbookViewId="0">
      <selection activeCell="B5" sqref="B5:D48"/>
    </sheetView>
  </sheetViews>
  <sheetFormatPr defaultRowHeight="15"/>
  <cols>
    <col min="1" max="1" width="69.140625" customWidth="1"/>
    <col min="2" max="2" width="18.28515625" customWidth="1"/>
    <col min="3" max="3" width="17.85546875" customWidth="1"/>
    <col min="4" max="4" width="12.42578125" customWidth="1"/>
    <col min="5" max="5" width="16.85546875" customWidth="1"/>
    <col min="6" max="6" width="14.42578125" customWidth="1"/>
    <col min="7" max="7" width="14.5703125" customWidth="1"/>
    <col min="8" max="8" width="16.42578125" customWidth="1"/>
    <col min="9" max="9" width="16.7109375" customWidth="1"/>
    <col min="10" max="10" width="15.85546875" customWidth="1"/>
    <col min="11" max="16" width="5" customWidth="1"/>
    <col min="17" max="27" width="6" customWidth="1"/>
    <col min="28" max="35" width="7" customWidth="1"/>
    <col min="36" max="36" width="7.28515625" customWidth="1"/>
    <col min="37" max="37" width="11.28515625" customWidth="1"/>
    <col min="38" max="38" width="10.85546875" customWidth="1"/>
    <col min="39" max="39" width="7.85546875" customWidth="1"/>
    <col min="40" max="40" width="10.85546875" customWidth="1"/>
    <col min="41" max="41" width="7.85546875" customWidth="1"/>
    <col min="42" max="42" width="10.85546875" customWidth="1"/>
    <col min="43" max="43" width="7.85546875" customWidth="1"/>
    <col min="44" max="44" width="10.85546875" customWidth="1"/>
    <col min="45" max="45" width="7.85546875" customWidth="1"/>
    <col min="46" max="46" width="10.85546875" customWidth="1"/>
    <col min="47" max="47" width="7.85546875" customWidth="1"/>
    <col min="48" max="48" width="10.85546875" customWidth="1"/>
    <col min="49" max="49" width="7.85546875" customWidth="1"/>
    <col min="50" max="50" width="10.85546875" customWidth="1"/>
    <col min="51" max="51" width="7.85546875" customWidth="1"/>
    <col min="52" max="52" width="10.85546875" customWidth="1"/>
    <col min="53" max="53" width="7.85546875" customWidth="1"/>
    <col min="54" max="54" width="10.85546875" customWidth="1"/>
    <col min="55" max="55" width="8.85546875" customWidth="1"/>
    <col min="56" max="56" width="11.85546875" customWidth="1"/>
    <col min="57" max="57" width="8.85546875" customWidth="1"/>
    <col min="58" max="58" width="11.85546875" customWidth="1"/>
    <col min="59" max="59" width="8.85546875" customWidth="1"/>
    <col min="60" max="60" width="11.85546875" customWidth="1"/>
    <col min="61" max="61" width="8.85546875" customWidth="1"/>
    <col min="62" max="62" width="11.85546875" customWidth="1"/>
    <col min="63" max="63" width="8.85546875" customWidth="1"/>
    <col min="64" max="64" width="11.85546875" customWidth="1"/>
    <col min="65" max="65" width="8.85546875" customWidth="1"/>
    <col min="66" max="66" width="11.85546875" customWidth="1"/>
    <col min="67" max="67" width="8.85546875" customWidth="1"/>
    <col min="68" max="68" width="11.85546875" customWidth="1"/>
    <col min="69" max="69" width="8.85546875" customWidth="1"/>
    <col min="70" max="70" width="11.85546875" customWidth="1"/>
    <col min="71" max="71" width="9.140625" customWidth="1"/>
    <col min="72" max="72" width="12.140625" customWidth="1"/>
    <col min="73" max="73" width="11.28515625" customWidth="1"/>
    <col min="74" max="74" width="7.85546875" customWidth="1"/>
    <col min="75" max="76" width="10.85546875" customWidth="1"/>
    <col min="77" max="77" width="7.85546875" customWidth="1"/>
    <col min="78" max="79" width="10.85546875" customWidth="1"/>
    <col min="80" max="80" width="7.85546875" customWidth="1"/>
    <col min="81" max="82" width="10.85546875" customWidth="1"/>
    <col min="83" max="83" width="8.85546875" customWidth="1"/>
    <col min="84" max="85" width="11.85546875" customWidth="1"/>
    <col min="86" max="86" width="8.85546875" customWidth="1"/>
    <col min="87" max="87" width="10.85546875" customWidth="1"/>
    <col min="88" max="88" width="11.85546875" customWidth="1"/>
    <col min="89" max="89" width="8.85546875" customWidth="1"/>
    <col min="90" max="91" width="11.85546875" customWidth="1"/>
    <col min="92" max="92" width="8.85546875" customWidth="1"/>
    <col min="93" max="94" width="11.85546875" customWidth="1"/>
    <col min="95" max="95" width="8.85546875" customWidth="1"/>
    <col min="96" max="97" width="11.85546875" customWidth="1"/>
    <col min="98" max="98" width="8.85546875" customWidth="1"/>
    <col min="99" max="100" width="11.85546875" customWidth="1"/>
    <col min="101" max="101" width="8.85546875" customWidth="1"/>
    <col min="102" max="103" width="11.85546875" customWidth="1"/>
    <col min="104" max="104" width="8.85546875" customWidth="1"/>
    <col min="105" max="106" width="11.85546875" customWidth="1"/>
    <col min="107" max="107" width="9.140625" customWidth="1"/>
    <col min="108" max="109" width="12.140625" customWidth="1"/>
    <col min="110" max="110" width="11.28515625" customWidth="1"/>
    <col min="111" max="111" width="8.85546875" customWidth="1"/>
    <col min="112" max="114" width="11.85546875" customWidth="1"/>
    <col min="115" max="115" width="8.85546875" customWidth="1"/>
    <col min="116" max="116" width="11.85546875" bestFit="1" customWidth="1"/>
    <col min="117" max="117" width="10.85546875" bestFit="1" customWidth="1"/>
    <col min="118" max="118" width="11.85546875" customWidth="1"/>
    <col min="119" max="119" width="8.85546875" customWidth="1"/>
    <col min="120" max="120" width="11.85546875" customWidth="1"/>
    <col min="121" max="121" width="11.85546875" bestFit="1" customWidth="1"/>
    <col min="122" max="122" width="11.85546875" customWidth="1"/>
    <col min="123" max="123" width="8.85546875" customWidth="1"/>
    <col min="124" max="125" width="11.85546875" customWidth="1"/>
    <col min="126" max="126" width="11.85546875" bestFit="1" customWidth="1"/>
    <col min="127" max="127" width="8.85546875" customWidth="1"/>
    <col min="128" max="130" width="11.85546875" customWidth="1"/>
    <col min="131" max="131" width="8.85546875" customWidth="1"/>
    <col min="132" max="134" width="11.85546875" customWidth="1"/>
    <col min="135" max="135" width="9.85546875" customWidth="1"/>
    <col min="136" max="136" width="12.85546875" customWidth="1"/>
    <col min="137" max="138" width="11.85546875" customWidth="1"/>
    <col min="139" max="139" width="9.85546875" customWidth="1"/>
    <col min="140" max="140" width="12.85546875" customWidth="1"/>
    <col min="141" max="142" width="11.85546875" bestFit="1" customWidth="1"/>
    <col min="143" max="143" width="9.140625" customWidth="1"/>
    <col min="144" max="144" width="6.85546875" customWidth="1"/>
    <col min="145" max="146" width="12.140625" customWidth="1"/>
    <col min="147" max="147" width="11.28515625" customWidth="1"/>
    <col min="148" max="148" width="11.85546875" bestFit="1" customWidth="1"/>
    <col min="149" max="149" width="8.85546875" customWidth="1"/>
    <col min="150" max="150" width="10.85546875" bestFit="1" customWidth="1"/>
    <col min="151" max="153" width="11.85546875" bestFit="1" customWidth="1"/>
    <col min="154" max="154" width="8.85546875" customWidth="1"/>
    <col min="155" max="155" width="10.85546875" bestFit="1" customWidth="1"/>
    <col min="156" max="158" width="11.85546875" bestFit="1" customWidth="1"/>
    <col min="159" max="159" width="8.85546875" customWidth="1"/>
    <col min="160" max="160" width="10.85546875" bestFit="1" customWidth="1"/>
    <col min="161" max="163" width="11.85546875" bestFit="1" customWidth="1"/>
    <col min="164" max="164" width="8.85546875" customWidth="1"/>
    <col min="165" max="165" width="10.85546875" bestFit="1" customWidth="1"/>
    <col min="166" max="168" width="11.85546875" bestFit="1" customWidth="1"/>
    <col min="169" max="169" width="9.85546875" bestFit="1" customWidth="1"/>
    <col min="170" max="170" width="10.85546875" bestFit="1" customWidth="1"/>
    <col min="171" max="171" width="12.85546875" bestFit="1" customWidth="1"/>
    <col min="172" max="173" width="11.85546875" bestFit="1" customWidth="1"/>
    <col min="174" max="174" width="9.85546875" bestFit="1" customWidth="1"/>
    <col min="175" max="175" width="11.85546875" bestFit="1" customWidth="1"/>
    <col min="176" max="176" width="12.85546875" bestFit="1" customWidth="1"/>
    <col min="177" max="178" width="11.85546875" bestFit="1" customWidth="1"/>
    <col min="180" max="180" width="12.140625" bestFit="1" customWidth="1"/>
    <col min="181" max="181" width="6.85546875" customWidth="1"/>
    <col min="182" max="183" width="12.140625" bestFit="1" customWidth="1"/>
    <col min="184" max="184" width="11.28515625" bestFit="1" customWidth="1"/>
  </cols>
  <sheetData>
    <row r="3" spans="1:10">
      <c r="B3" s="72" t="s">
        <v>178</v>
      </c>
    </row>
    <row r="4" spans="1:10">
      <c r="A4" s="72" t="s">
        <v>130</v>
      </c>
      <c r="B4" t="s">
        <v>202</v>
      </c>
      <c r="C4" t="s">
        <v>203</v>
      </c>
      <c r="D4" t="s">
        <v>199</v>
      </c>
      <c r="E4" t="s">
        <v>204</v>
      </c>
      <c r="F4" t="s">
        <v>200</v>
      </c>
      <c r="G4" t="s">
        <v>201</v>
      </c>
      <c r="H4" t="s">
        <v>205</v>
      </c>
      <c r="I4" t="s">
        <v>206</v>
      </c>
      <c r="J4" t="s">
        <v>207</v>
      </c>
    </row>
    <row r="5" spans="1:10">
      <c r="A5" s="73" t="s">
        <v>131</v>
      </c>
      <c r="B5" s="74">
        <v>176070</v>
      </c>
      <c r="C5" s="74">
        <v>134498</v>
      </c>
      <c r="D5" s="74">
        <v>310568</v>
      </c>
      <c r="E5" s="74">
        <v>25724</v>
      </c>
      <c r="F5" s="74">
        <v>43411</v>
      </c>
      <c r="G5" s="74">
        <v>23166</v>
      </c>
      <c r="H5" s="74">
        <v>17687</v>
      </c>
      <c r="I5" s="74">
        <v>13960</v>
      </c>
      <c r="J5" s="74">
        <v>9206</v>
      </c>
    </row>
    <row r="6" spans="1:10">
      <c r="A6" s="73" t="s">
        <v>132</v>
      </c>
      <c r="B6" s="74">
        <v>853</v>
      </c>
      <c r="C6" s="74">
        <v>733</v>
      </c>
      <c r="D6" s="74">
        <v>1586</v>
      </c>
      <c r="E6" s="74">
        <v>10</v>
      </c>
      <c r="F6" s="74">
        <v>17</v>
      </c>
      <c r="G6" s="74">
        <v>0</v>
      </c>
      <c r="H6" s="74">
        <v>7</v>
      </c>
      <c r="I6" s="74">
        <v>0</v>
      </c>
      <c r="J6" s="74">
        <v>0</v>
      </c>
    </row>
    <row r="7" spans="1:10">
      <c r="A7" s="73" t="s">
        <v>133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</row>
    <row r="8" spans="1:10">
      <c r="A8" s="73" t="s">
        <v>134</v>
      </c>
      <c r="B8" s="74">
        <v>25995</v>
      </c>
      <c r="C8" s="74">
        <v>30514</v>
      </c>
      <c r="D8" s="74">
        <v>56509</v>
      </c>
      <c r="E8" s="74">
        <v>1922</v>
      </c>
      <c r="F8" s="74">
        <v>3648</v>
      </c>
      <c r="G8" s="74">
        <v>7047</v>
      </c>
      <c r="H8" s="74">
        <v>1726</v>
      </c>
      <c r="I8" s="74">
        <v>3797</v>
      </c>
      <c r="J8" s="74">
        <v>3250</v>
      </c>
    </row>
    <row r="9" spans="1:10">
      <c r="A9" s="73" t="s">
        <v>135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</row>
    <row r="10" spans="1:10">
      <c r="A10" s="73" t="s">
        <v>136</v>
      </c>
      <c r="B10" s="74">
        <v>16</v>
      </c>
      <c r="C10" s="74">
        <v>189</v>
      </c>
      <c r="D10" s="74">
        <v>205</v>
      </c>
      <c r="E10" s="74">
        <v>1</v>
      </c>
      <c r="F10" s="74">
        <v>4</v>
      </c>
      <c r="G10" s="74">
        <v>3</v>
      </c>
      <c r="H10" s="74">
        <v>3</v>
      </c>
      <c r="I10" s="74">
        <v>0</v>
      </c>
      <c r="J10" s="74">
        <v>3</v>
      </c>
    </row>
    <row r="11" spans="1:10">
      <c r="A11" s="73" t="s">
        <v>137</v>
      </c>
      <c r="B11" s="74">
        <v>93</v>
      </c>
      <c r="C11" s="74">
        <v>94</v>
      </c>
      <c r="D11" s="74">
        <v>187</v>
      </c>
      <c r="E11" s="74">
        <v>15</v>
      </c>
      <c r="F11" s="74">
        <v>27</v>
      </c>
      <c r="G11" s="74">
        <v>22</v>
      </c>
      <c r="H11" s="74">
        <v>12</v>
      </c>
      <c r="I11" s="74">
        <v>9</v>
      </c>
      <c r="J11" s="74">
        <v>13</v>
      </c>
    </row>
    <row r="12" spans="1:10">
      <c r="A12" s="73" t="s">
        <v>138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</row>
    <row r="13" spans="1:10">
      <c r="A13" s="73" t="s">
        <v>139</v>
      </c>
      <c r="B13" s="74">
        <v>3</v>
      </c>
      <c r="C13" s="74">
        <v>1</v>
      </c>
      <c r="D13" s="74">
        <v>4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</row>
    <row r="14" spans="1:10">
      <c r="A14" s="73" t="s">
        <v>140</v>
      </c>
      <c r="B14" s="74">
        <v>61969</v>
      </c>
      <c r="C14" s="74">
        <v>65106</v>
      </c>
      <c r="D14" s="74">
        <v>127075</v>
      </c>
      <c r="E14" s="74">
        <v>10210</v>
      </c>
      <c r="F14" s="74">
        <v>21486</v>
      </c>
      <c r="G14" s="74">
        <v>51</v>
      </c>
      <c r="H14" s="74">
        <v>11276</v>
      </c>
      <c r="I14" s="74">
        <v>26</v>
      </c>
      <c r="J14" s="74">
        <v>25</v>
      </c>
    </row>
    <row r="15" spans="1:10">
      <c r="A15" s="73" t="s">
        <v>141</v>
      </c>
      <c r="B15" s="74">
        <v>486</v>
      </c>
      <c r="C15" s="74">
        <v>473</v>
      </c>
      <c r="D15" s="74">
        <v>959</v>
      </c>
      <c r="E15" s="74">
        <v>20</v>
      </c>
      <c r="F15" s="74">
        <v>58</v>
      </c>
      <c r="G15" s="74">
        <v>166</v>
      </c>
      <c r="H15" s="74">
        <v>38</v>
      </c>
      <c r="I15" s="74">
        <v>85</v>
      </c>
      <c r="J15" s="74">
        <v>81</v>
      </c>
    </row>
    <row r="16" spans="1:10">
      <c r="A16" s="73" t="s">
        <v>142</v>
      </c>
      <c r="B16" s="74">
        <v>91109</v>
      </c>
      <c r="C16" s="74">
        <v>99385</v>
      </c>
      <c r="D16" s="74">
        <v>190494</v>
      </c>
      <c r="E16" s="74">
        <v>13736</v>
      </c>
      <c r="F16" s="74">
        <v>28357</v>
      </c>
      <c r="G16" s="74">
        <v>28229</v>
      </c>
      <c r="H16" s="74">
        <v>14621</v>
      </c>
      <c r="I16" s="74">
        <v>12231</v>
      </c>
      <c r="J16" s="74">
        <v>15998</v>
      </c>
    </row>
    <row r="17" spans="1:10">
      <c r="A17" s="73" t="s">
        <v>143</v>
      </c>
      <c r="B17" s="74">
        <v>722065</v>
      </c>
      <c r="C17" s="74">
        <v>512751</v>
      </c>
      <c r="D17" s="74">
        <v>1234816</v>
      </c>
      <c r="E17" s="74">
        <v>48276</v>
      </c>
      <c r="F17" s="74">
        <v>82258</v>
      </c>
      <c r="G17" s="74">
        <v>33514</v>
      </c>
      <c r="H17" s="74">
        <v>33982</v>
      </c>
      <c r="I17" s="74">
        <v>18426</v>
      </c>
      <c r="J17" s="74">
        <v>15088</v>
      </c>
    </row>
    <row r="18" spans="1:10">
      <c r="A18" s="73" t="s">
        <v>144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</row>
    <row r="19" spans="1:10">
      <c r="A19" s="73" t="s">
        <v>145</v>
      </c>
      <c r="B19" s="74">
        <v>23202</v>
      </c>
      <c r="C19" s="74">
        <v>25872</v>
      </c>
      <c r="D19" s="74">
        <v>49074</v>
      </c>
      <c r="E19" s="74">
        <v>3074</v>
      </c>
      <c r="F19" s="74">
        <v>6228</v>
      </c>
      <c r="G19" s="74">
        <v>8558</v>
      </c>
      <c r="H19" s="74">
        <v>3154</v>
      </c>
      <c r="I19" s="74">
        <v>4162</v>
      </c>
      <c r="J19" s="74">
        <v>4396</v>
      </c>
    </row>
    <row r="20" spans="1:10">
      <c r="A20" s="73" t="s">
        <v>93</v>
      </c>
      <c r="B20" s="74">
        <v>0</v>
      </c>
      <c r="C20" s="74">
        <v>3</v>
      </c>
      <c r="D20" s="74">
        <v>3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</row>
    <row r="21" spans="1:10">
      <c r="A21" s="73" t="s">
        <v>146</v>
      </c>
      <c r="B21" s="74">
        <v>83269</v>
      </c>
      <c r="C21" s="74">
        <v>71783</v>
      </c>
      <c r="D21" s="74">
        <v>155052</v>
      </c>
      <c r="E21" s="74">
        <v>3732</v>
      </c>
      <c r="F21" s="74">
        <v>6697</v>
      </c>
      <c r="G21" s="74">
        <v>4323</v>
      </c>
      <c r="H21" s="74">
        <v>2965</v>
      </c>
      <c r="I21" s="74">
        <v>2150</v>
      </c>
      <c r="J21" s="74">
        <v>2173</v>
      </c>
    </row>
    <row r="22" spans="1:10">
      <c r="A22" s="73" t="s">
        <v>147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</row>
    <row r="23" spans="1:10">
      <c r="A23" s="73" t="s">
        <v>148</v>
      </c>
      <c r="B23" s="74">
        <v>3978</v>
      </c>
      <c r="C23" s="74">
        <v>5501</v>
      </c>
      <c r="D23" s="74">
        <v>9479</v>
      </c>
      <c r="E23" s="74">
        <v>33</v>
      </c>
      <c r="F23" s="74">
        <v>92</v>
      </c>
      <c r="G23" s="74">
        <v>881</v>
      </c>
      <c r="H23" s="74">
        <v>59</v>
      </c>
      <c r="I23" s="74">
        <v>357</v>
      </c>
      <c r="J23" s="74">
        <v>524</v>
      </c>
    </row>
    <row r="24" spans="1:10">
      <c r="A24" s="73" t="s">
        <v>149</v>
      </c>
      <c r="B24" s="74">
        <v>110087</v>
      </c>
      <c r="C24" s="74">
        <v>95894</v>
      </c>
      <c r="D24" s="74">
        <v>205981</v>
      </c>
      <c r="E24" s="74">
        <v>6300</v>
      </c>
      <c r="F24" s="74">
        <v>12116</v>
      </c>
      <c r="G24" s="74">
        <v>15844</v>
      </c>
      <c r="H24" s="74">
        <v>5816</v>
      </c>
      <c r="I24" s="74">
        <v>7337</v>
      </c>
      <c r="J24" s="74">
        <v>8507</v>
      </c>
    </row>
    <row r="25" spans="1:10">
      <c r="A25" s="73" t="s">
        <v>150</v>
      </c>
      <c r="B25" s="74">
        <v>27097</v>
      </c>
      <c r="C25" s="74">
        <v>29637</v>
      </c>
      <c r="D25" s="74">
        <v>56734</v>
      </c>
      <c r="E25" s="74">
        <v>6430</v>
      </c>
      <c r="F25" s="74">
        <v>14168</v>
      </c>
      <c r="G25" s="74">
        <v>3303</v>
      </c>
      <c r="H25" s="74">
        <v>7738</v>
      </c>
      <c r="I25" s="74">
        <v>1572</v>
      </c>
      <c r="J25" s="74">
        <v>1731</v>
      </c>
    </row>
    <row r="26" spans="1:10">
      <c r="A26" s="73" t="s">
        <v>151</v>
      </c>
      <c r="B26" s="74">
        <v>21416</v>
      </c>
      <c r="C26" s="74">
        <v>20451</v>
      </c>
      <c r="D26" s="74">
        <v>41867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</row>
    <row r="27" spans="1:10">
      <c r="A27" s="73" t="s">
        <v>152</v>
      </c>
      <c r="B27" s="74">
        <v>65663</v>
      </c>
      <c r="C27" s="74">
        <v>59738</v>
      </c>
      <c r="D27" s="74">
        <v>125401</v>
      </c>
      <c r="E27" s="74">
        <v>6526</v>
      </c>
      <c r="F27" s="74">
        <v>11480</v>
      </c>
      <c r="G27" s="74">
        <v>23000</v>
      </c>
      <c r="H27" s="74">
        <v>4954</v>
      </c>
      <c r="I27" s="74">
        <v>11880</v>
      </c>
      <c r="J27" s="74">
        <v>11120</v>
      </c>
    </row>
    <row r="28" spans="1:10">
      <c r="A28" s="73" t="s">
        <v>153</v>
      </c>
      <c r="B28" s="74">
        <v>193561</v>
      </c>
      <c r="C28" s="74">
        <v>233022</v>
      </c>
      <c r="D28" s="74">
        <v>426583</v>
      </c>
      <c r="E28" s="74">
        <v>30451</v>
      </c>
      <c r="F28" s="74">
        <v>64776</v>
      </c>
      <c r="G28" s="74">
        <v>24664</v>
      </c>
      <c r="H28" s="74">
        <v>34325</v>
      </c>
      <c r="I28" s="74">
        <v>11362</v>
      </c>
      <c r="J28" s="74">
        <v>13302</v>
      </c>
    </row>
    <row r="29" spans="1:10">
      <c r="A29" s="73" t="s">
        <v>154</v>
      </c>
      <c r="B29" s="74">
        <v>0</v>
      </c>
      <c r="C29" s="74">
        <v>0</v>
      </c>
      <c r="D29" s="74">
        <v>72371</v>
      </c>
      <c r="E29" s="74">
        <v>0</v>
      </c>
      <c r="F29" s="74">
        <v>1409</v>
      </c>
      <c r="G29" s="74">
        <v>112</v>
      </c>
      <c r="H29" s="74">
        <v>0</v>
      </c>
      <c r="I29" s="74">
        <v>0</v>
      </c>
      <c r="J29" s="74">
        <v>0</v>
      </c>
    </row>
    <row r="30" spans="1:10">
      <c r="A30" s="73" t="s">
        <v>155</v>
      </c>
      <c r="B30" s="74">
        <v>107790</v>
      </c>
      <c r="C30" s="74">
        <v>104394</v>
      </c>
      <c r="D30" s="74">
        <v>212184</v>
      </c>
      <c r="E30" s="74">
        <v>15997</v>
      </c>
      <c r="F30" s="74">
        <v>29133</v>
      </c>
      <c r="G30" s="74">
        <v>17712</v>
      </c>
      <c r="H30" s="74">
        <v>13136</v>
      </c>
      <c r="I30" s="74">
        <v>9372</v>
      </c>
      <c r="J30" s="74">
        <v>8340</v>
      </c>
    </row>
    <row r="31" spans="1:10">
      <c r="A31" s="73" t="s">
        <v>156</v>
      </c>
      <c r="B31" s="74"/>
      <c r="C31" s="74"/>
      <c r="D31" s="74">
        <v>0</v>
      </c>
      <c r="E31" s="74"/>
      <c r="F31" s="74">
        <v>0</v>
      </c>
      <c r="G31" s="74">
        <v>0</v>
      </c>
      <c r="H31" s="74"/>
      <c r="I31" s="74"/>
      <c r="J31" s="74"/>
    </row>
    <row r="32" spans="1:10">
      <c r="A32" s="73" t="s">
        <v>109</v>
      </c>
      <c r="B32" s="74">
        <v>445593</v>
      </c>
      <c r="C32" s="74">
        <v>452596</v>
      </c>
      <c r="D32" s="74">
        <v>898189</v>
      </c>
      <c r="E32" s="74">
        <v>50994</v>
      </c>
      <c r="F32" s="74">
        <v>106157</v>
      </c>
      <c r="G32" s="74">
        <v>53442</v>
      </c>
      <c r="H32" s="74">
        <v>55163</v>
      </c>
      <c r="I32" s="74">
        <v>27132</v>
      </c>
      <c r="J32" s="74">
        <v>26310</v>
      </c>
    </row>
    <row r="33" spans="1:10">
      <c r="A33" s="73" t="s">
        <v>157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</row>
    <row r="34" spans="1:10">
      <c r="A34" s="73" t="s">
        <v>158</v>
      </c>
      <c r="B34" s="74">
        <v>677</v>
      </c>
      <c r="C34" s="74">
        <v>828</v>
      </c>
      <c r="D34" s="74">
        <v>1505</v>
      </c>
      <c r="E34" s="74">
        <v>7</v>
      </c>
      <c r="F34" s="74">
        <v>13</v>
      </c>
      <c r="G34" s="74">
        <v>1211</v>
      </c>
      <c r="H34" s="74">
        <v>6</v>
      </c>
      <c r="I34" s="74">
        <v>528</v>
      </c>
      <c r="J34" s="74">
        <v>683</v>
      </c>
    </row>
    <row r="35" spans="1:10">
      <c r="A35" s="73" t="s">
        <v>159</v>
      </c>
      <c r="B35" s="74">
        <v>1885</v>
      </c>
      <c r="C35" s="74">
        <v>2233</v>
      </c>
      <c r="D35" s="74">
        <v>4118</v>
      </c>
      <c r="E35" s="74">
        <v>5</v>
      </c>
      <c r="F35" s="74">
        <v>13</v>
      </c>
      <c r="G35" s="74">
        <v>4059</v>
      </c>
      <c r="H35" s="74">
        <v>8</v>
      </c>
      <c r="I35" s="74">
        <v>1850</v>
      </c>
      <c r="J35" s="74">
        <v>2209</v>
      </c>
    </row>
    <row r="36" spans="1:10">
      <c r="A36" s="73" t="s">
        <v>160</v>
      </c>
      <c r="B36" s="74">
        <v>2770</v>
      </c>
      <c r="C36" s="74">
        <v>3525</v>
      </c>
      <c r="D36" s="74">
        <v>6295</v>
      </c>
      <c r="E36" s="74">
        <v>43</v>
      </c>
      <c r="F36" s="74">
        <v>70</v>
      </c>
      <c r="G36" s="74">
        <v>5484</v>
      </c>
      <c r="H36" s="74">
        <v>27</v>
      </c>
      <c r="I36" s="74">
        <v>2357</v>
      </c>
      <c r="J36" s="74">
        <v>3127</v>
      </c>
    </row>
    <row r="37" spans="1:10">
      <c r="A37" s="73" t="s">
        <v>161</v>
      </c>
      <c r="B37" s="74">
        <v>249</v>
      </c>
      <c r="C37" s="74">
        <v>165</v>
      </c>
      <c r="D37" s="74">
        <v>414</v>
      </c>
      <c r="E37" s="74">
        <v>16</v>
      </c>
      <c r="F37" s="74">
        <v>55</v>
      </c>
      <c r="G37" s="74">
        <v>9</v>
      </c>
      <c r="H37" s="74">
        <v>39</v>
      </c>
      <c r="I37" s="74">
        <v>4</v>
      </c>
      <c r="J37" s="74">
        <v>5</v>
      </c>
    </row>
    <row r="38" spans="1:10">
      <c r="A38" s="73" t="s">
        <v>162</v>
      </c>
      <c r="B38" s="74">
        <v>92147</v>
      </c>
      <c r="C38" s="74">
        <v>98190</v>
      </c>
      <c r="D38" s="74">
        <v>190337</v>
      </c>
      <c r="E38" s="74">
        <v>26097</v>
      </c>
      <c r="F38" s="74">
        <v>59842</v>
      </c>
      <c r="G38" s="74">
        <v>35</v>
      </c>
      <c r="H38" s="74">
        <v>33745</v>
      </c>
      <c r="I38" s="74">
        <v>18</v>
      </c>
      <c r="J38" s="74">
        <v>17</v>
      </c>
    </row>
    <row r="39" spans="1:10">
      <c r="A39" s="73" t="s">
        <v>163</v>
      </c>
      <c r="B39" s="74">
        <v>25995</v>
      </c>
      <c r="C39" s="74">
        <v>30514</v>
      </c>
      <c r="D39" s="74">
        <v>56509</v>
      </c>
      <c r="E39" s="74">
        <v>1922</v>
      </c>
      <c r="F39" s="74">
        <v>3648</v>
      </c>
      <c r="G39" s="74">
        <v>7047</v>
      </c>
      <c r="H39" s="74">
        <v>1726</v>
      </c>
      <c r="I39" s="74">
        <v>3797</v>
      </c>
      <c r="J39" s="74">
        <v>3250</v>
      </c>
    </row>
    <row r="40" spans="1:10">
      <c r="A40" s="73" t="s">
        <v>164</v>
      </c>
      <c r="B40" s="74">
        <v>348603</v>
      </c>
      <c r="C40" s="74">
        <v>406794</v>
      </c>
      <c r="D40" s="74">
        <v>755397</v>
      </c>
      <c r="E40" s="74">
        <v>69963</v>
      </c>
      <c r="F40" s="74">
        <v>159819</v>
      </c>
      <c r="G40" s="74">
        <v>5780</v>
      </c>
      <c r="H40" s="74">
        <v>89856</v>
      </c>
      <c r="I40" s="74">
        <v>2751</v>
      </c>
      <c r="J40" s="74">
        <v>3029</v>
      </c>
    </row>
    <row r="41" spans="1:10">
      <c r="A41" s="73" t="s">
        <v>165</v>
      </c>
      <c r="B41" s="74">
        <v>2325</v>
      </c>
      <c r="C41" s="74">
        <v>2155</v>
      </c>
      <c r="D41" s="74">
        <v>4480</v>
      </c>
      <c r="E41" s="74">
        <v>510</v>
      </c>
      <c r="F41" s="74">
        <v>966</v>
      </c>
      <c r="G41" s="74">
        <v>232</v>
      </c>
      <c r="H41" s="74">
        <v>456</v>
      </c>
      <c r="I41" s="74">
        <v>128</v>
      </c>
      <c r="J41" s="74">
        <v>104</v>
      </c>
    </row>
    <row r="42" spans="1:10">
      <c r="A42" s="73" t="s">
        <v>166</v>
      </c>
      <c r="B42" s="74">
        <v>93</v>
      </c>
      <c r="C42" s="74">
        <v>94</v>
      </c>
      <c r="D42" s="74">
        <v>187</v>
      </c>
      <c r="E42" s="74">
        <v>15</v>
      </c>
      <c r="F42" s="74">
        <v>27</v>
      </c>
      <c r="G42" s="74">
        <v>22</v>
      </c>
      <c r="H42" s="74">
        <v>12</v>
      </c>
      <c r="I42" s="74">
        <v>9</v>
      </c>
      <c r="J42" s="74">
        <v>13</v>
      </c>
    </row>
    <row r="43" spans="1:10">
      <c r="A43" s="73" t="s">
        <v>167</v>
      </c>
      <c r="B43" s="74">
        <v>6530</v>
      </c>
      <c r="C43" s="74">
        <v>3080</v>
      </c>
      <c r="D43" s="74">
        <v>9610</v>
      </c>
      <c r="E43" s="74">
        <v>550</v>
      </c>
      <c r="F43" s="74">
        <v>1230</v>
      </c>
      <c r="G43" s="74">
        <v>3</v>
      </c>
      <c r="H43" s="74">
        <v>680</v>
      </c>
      <c r="I43" s="74">
        <v>3</v>
      </c>
      <c r="J43" s="74">
        <v>0</v>
      </c>
    </row>
    <row r="44" spans="1:10">
      <c r="A44" s="73" t="s">
        <v>168</v>
      </c>
      <c r="B44" s="74">
        <v>823632</v>
      </c>
      <c r="C44" s="74">
        <v>887607</v>
      </c>
      <c r="D44" s="74">
        <v>1711239</v>
      </c>
      <c r="E44" s="74">
        <v>154120</v>
      </c>
      <c r="F44" s="74">
        <v>318140</v>
      </c>
      <c r="G44" s="74">
        <v>11529</v>
      </c>
      <c r="H44" s="74">
        <v>164020</v>
      </c>
      <c r="I44" s="74">
        <v>6079</v>
      </c>
      <c r="J44" s="74">
        <v>5450</v>
      </c>
    </row>
    <row r="45" spans="1:10">
      <c r="A45" s="73" t="s">
        <v>169</v>
      </c>
      <c r="B45" s="74">
        <v>12783</v>
      </c>
      <c r="C45" s="74">
        <v>18737</v>
      </c>
      <c r="D45" s="74">
        <v>31520</v>
      </c>
      <c r="E45" s="74">
        <v>2194</v>
      </c>
      <c r="F45" s="74">
        <v>5583</v>
      </c>
      <c r="G45" s="74">
        <v>1086</v>
      </c>
      <c r="H45" s="74">
        <v>3389</v>
      </c>
      <c r="I45" s="74">
        <v>454</v>
      </c>
      <c r="J45" s="74">
        <v>632</v>
      </c>
    </row>
    <row r="46" spans="1:10">
      <c r="A46" s="73" t="s">
        <v>170</v>
      </c>
      <c r="B46" s="74">
        <v>145</v>
      </c>
      <c r="C46" s="74">
        <v>13</v>
      </c>
      <c r="D46" s="74">
        <v>158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</row>
    <row r="47" spans="1:10">
      <c r="A47" s="73" t="s">
        <v>171</v>
      </c>
      <c r="B47" s="74">
        <v>1307</v>
      </c>
      <c r="C47" s="74">
        <v>1846</v>
      </c>
      <c r="D47" s="74">
        <v>3153</v>
      </c>
      <c r="E47" s="74">
        <v>10</v>
      </c>
      <c r="F47" s="74">
        <v>21</v>
      </c>
      <c r="G47" s="74">
        <v>7</v>
      </c>
      <c r="H47" s="74">
        <v>11</v>
      </c>
      <c r="I47" s="74">
        <v>2</v>
      </c>
      <c r="J47" s="74">
        <v>5</v>
      </c>
    </row>
    <row r="48" spans="1:10">
      <c r="A48" s="73" t="s">
        <v>172</v>
      </c>
      <c r="B48" s="74">
        <v>27813</v>
      </c>
      <c r="C48" s="74">
        <v>20599</v>
      </c>
      <c r="D48" s="74">
        <v>48412</v>
      </c>
      <c r="E48" s="74">
        <v>4152</v>
      </c>
      <c r="F48" s="74">
        <v>6840</v>
      </c>
      <c r="G48" s="74">
        <v>433</v>
      </c>
      <c r="H48" s="74">
        <v>2688</v>
      </c>
      <c r="I48" s="74">
        <v>253</v>
      </c>
      <c r="J48" s="74">
        <v>180</v>
      </c>
    </row>
    <row r="49" spans="1:10">
      <c r="A49" s="73" t="s">
        <v>177</v>
      </c>
      <c r="B49" s="74">
        <v>279</v>
      </c>
      <c r="C49" s="74">
        <v>282</v>
      </c>
      <c r="D49" s="74">
        <v>561</v>
      </c>
      <c r="E49" s="74">
        <v>45</v>
      </c>
      <c r="F49" s="74">
        <v>81</v>
      </c>
      <c r="G49" s="74">
        <v>66</v>
      </c>
      <c r="H49" s="74">
        <v>36</v>
      </c>
      <c r="I49" s="74">
        <v>27</v>
      </c>
      <c r="J49" s="74">
        <v>39</v>
      </c>
    </row>
    <row r="50" spans="1:10">
      <c r="A50" s="73" t="s">
        <v>173</v>
      </c>
      <c r="B50" s="74">
        <v>3507548</v>
      </c>
      <c r="C50" s="74">
        <v>3419297</v>
      </c>
      <c r="D50" s="74">
        <v>6999216</v>
      </c>
      <c r="E50" s="74">
        <v>483100</v>
      </c>
      <c r="F50" s="74">
        <v>987870</v>
      </c>
      <c r="G50" s="74">
        <v>281040</v>
      </c>
      <c r="H50" s="74">
        <v>503361</v>
      </c>
      <c r="I50" s="74">
        <v>142118</v>
      </c>
      <c r="J50" s="74">
        <v>138810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L50"/>
  <sheetViews>
    <sheetView workbookViewId="0">
      <pane xSplit="2" ySplit="2" topLeftCell="DH39" activePane="bottomRight" state="frozen"/>
      <selection pane="topRight" activeCell="C1" sqref="C1"/>
      <selection pane="bottomLeft" activeCell="A3" sqref="A3"/>
      <selection pane="bottomRight" activeCell="DU3" sqref="DU3:DW47"/>
    </sheetView>
  </sheetViews>
  <sheetFormatPr defaultRowHeight="15"/>
  <cols>
    <col min="1" max="1" width="9.140625" style="3"/>
    <col min="2" max="2" width="30" style="3" bestFit="1" customWidth="1"/>
    <col min="3" max="3" width="36.5703125" style="3" bestFit="1" customWidth="1"/>
    <col min="4" max="4" width="23.5703125" style="3" customWidth="1"/>
    <col min="5" max="5" width="24.5703125" style="3" customWidth="1"/>
    <col min="6" max="6" width="25.7109375" style="3" customWidth="1"/>
    <col min="7" max="7" width="21.42578125" style="3" customWidth="1"/>
    <col min="8" max="8" width="13.140625" style="3" customWidth="1"/>
    <col min="9" max="15" width="9.140625" style="3"/>
    <col min="16" max="16" width="13.5703125" style="3" customWidth="1"/>
    <col min="17" max="20" width="9.140625" style="3"/>
    <col min="21" max="21" width="9.42578125" style="3" customWidth="1"/>
    <col min="22" max="27" width="9.140625" style="3"/>
    <col min="28" max="28" width="9.140625" style="24"/>
    <col min="29" max="128" width="9.140625" style="3"/>
    <col min="129" max="129" width="10" style="3" bestFit="1" customWidth="1"/>
    <col min="130" max="136" width="9.140625" style="3"/>
    <col min="137" max="138" width="15.140625" style="3" customWidth="1"/>
    <col min="139" max="139" width="9.140625" style="3"/>
    <col min="140" max="141" width="9.140625" style="3" customWidth="1"/>
    <col min="142" max="16384" width="9.140625" style="3"/>
  </cols>
  <sheetData>
    <row r="1" spans="1:142" s="8" customFormat="1">
      <c r="A1" s="7"/>
      <c r="B1" s="7"/>
      <c r="C1" s="25"/>
      <c r="D1" s="435" t="s">
        <v>46</v>
      </c>
      <c r="E1" s="436"/>
      <c r="F1" s="435" t="s">
        <v>47</v>
      </c>
      <c r="G1" s="436"/>
      <c r="H1" s="434" t="s">
        <v>4</v>
      </c>
      <c r="I1" s="434"/>
      <c r="J1" s="434"/>
      <c r="K1" s="434"/>
      <c r="L1" s="434" t="s">
        <v>5</v>
      </c>
      <c r="M1" s="434"/>
      <c r="N1" s="434"/>
      <c r="O1" s="434"/>
      <c r="P1" s="434" t="s">
        <v>6</v>
      </c>
      <c r="Q1" s="434"/>
      <c r="R1" s="434"/>
      <c r="S1" s="434"/>
      <c r="T1" s="434"/>
      <c r="U1" s="434" t="s">
        <v>4</v>
      </c>
      <c r="V1" s="434"/>
      <c r="W1" s="434"/>
      <c r="X1" s="434"/>
      <c r="Y1" s="434"/>
      <c r="Z1" s="434"/>
      <c r="AA1" s="434"/>
      <c r="AB1" s="434"/>
      <c r="AC1" s="434" t="s">
        <v>25</v>
      </c>
      <c r="AD1" s="434"/>
      <c r="AE1" s="434"/>
      <c r="AF1" s="434"/>
      <c r="AG1" s="434"/>
      <c r="AH1" s="434"/>
      <c r="AI1" s="434"/>
      <c r="AJ1" s="434"/>
      <c r="AK1" s="434"/>
      <c r="AL1" s="434" t="s">
        <v>26</v>
      </c>
      <c r="AM1" s="434"/>
      <c r="AN1" s="434"/>
      <c r="AO1" s="434"/>
      <c r="AP1" s="434"/>
      <c r="AQ1" s="434"/>
      <c r="AR1" s="434"/>
      <c r="AS1" s="434"/>
      <c r="AT1" s="434"/>
      <c r="AU1" s="434" t="s">
        <v>27</v>
      </c>
      <c r="AV1" s="434"/>
      <c r="AW1" s="434"/>
      <c r="AX1" s="434"/>
      <c r="AY1" s="434"/>
      <c r="AZ1" s="434"/>
      <c r="BA1" s="434"/>
      <c r="BB1" s="434"/>
      <c r="BC1" s="434"/>
      <c r="BD1" s="434" t="s">
        <v>28</v>
      </c>
      <c r="BE1" s="434"/>
      <c r="BF1" s="434"/>
      <c r="BG1" s="434"/>
      <c r="BH1" s="434"/>
      <c r="BI1" s="434"/>
      <c r="BJ1" s="434"/>
      <c r="BK1" s="434"/>
      <c r="BL1" s="434"/>
      <c r="BM1" s="443" t="s">
        <v>39</v>
      </c>
      <c r="BN1" s="444"/>
      <c r="BO1" s="444"/>
      <c r="BP1" s="444"/>
      <c r="BQ1" s="444"/>
      <c r="BR1" s="444"/>
      <c r="BS1" s="444"/>
      <c r="BT1" s="444"/>
      <c r="BU1" s="445"/>
      <c r="BV1" s="434" t="s">
        <v>29</v>
      </c>
      <c r="BW1" s="434"/>
      <c r="BX1" s="434"/>
      <c r="BY1" s="434"/>
      <c r="BZ1" s="434"/>
      <c r="CA1" s="434"/>
      <c r="CB1" s="434"/>
      <c r="CC1" s="434"/>
      <c r="CD1" s="434"/>
      <c r="CE1" s="434" t="s">
        <v>30</v>
      </c>
      <c r="CF1" s="434"/>
      <c r="CG1" s="434"/>
      <c r="CH1" s="434"/>
      <c r="CI1" s="434"/>
      <c r="CJ1" s="434"/>
      <c r="CK1" s="434"/>
      <c r="CL1" s="434"/>
      <c r="CM1" s="434"/>
      <c r="CN1" s="434" t="s">
        <v>31</v>
      </c>
      <c r="CO1" s="434"/>
      <c r="CP1" s="434"/>
      <c r="CQ1" s="434"/>
      <c r="CR1" s="434"/>
      <c r="CS1" s="434"/>
      <c r="CT1" s="434"/>
      <c r="CU1" s="434"/>
      <c r="CV1" s="434"/>
      <c r="CW1" s="434" t="s">
        <v>32</v>
      </c>
      <c r="CX1" s="434"/>
      <c r="CY1" s="434"/>
      <c r="CZ1" s="434"/>
      <c r="DA1" s="434"/>
      <c r="DB1" s="434"/>
      <c r="DC1" s="434"/>
      <c r="DD1" s="434"/>
      <c r="DE1" s="434"/>
      <c r="DF1" s="438" t="s">
        <v>40</v>
      </c>
      <c r="DG1" s="439"/>
      <c r="DH1" s="439"/>
      <c r="DI1" s="439"/>
      <c r="DJ1" s="439"/>
      <c r="DK1" s="439"/>
      <c r="DL1" s="439"/>
      <c r="DM1" s="439"/>
      <c r="DN1" s="440"/>
      <c r="DO1" s="434" t="s">
        <v>33</v>
      </c>
      <c r="DP1" s="434"/>
      <c r="DQ1" s="434"/>
      <c r="DR1" s="434"/>
      <c r="DS1" s="434"/>
      <c r="DT1" s="434"/>
      <c r="DU1" s="434"/>
      <c r="DV1" s="434"/>
      <c r="DW1" s="434"/>
      <c r="DX1" s="434" t="s">
        <v>34</v>
      </c>
      <c r="DY1" s="434"/>
      <c r="DZ1" s="434"/>
      <c r="EA1" s="434"/>
      <c r="EB1" s="434"/>
      <c r="EC1" s="434"/>
      <c r="ED1" s="434"/>
      <c r="EE1" s="434"/>
      <c r="EF1" s="434"/>
      <c r="EG1" s="441" t="s">
        <v>41</v>
      </c>
      <c r="EH1" s="442"/>
      <c r="EI1" s="437" t="s">
        <v>35</v>
      </c>
      <c r="EJ1" s="437"/>
      <c r="EK1" s="437"/>
    </row>
    <row r="2" spans="1:142" s="13" customFormat="1" ht="45">
      <c r="A2" s="9" t="s">
        <v>15</v>
      </c>
      <c r="B2" s="9" t="s">
        <v>14</v>
      </c>
      <c r="C2" s="26" t="s">
        <v>45</v>
      </c>
      <c r="D2" s="26" t="s">
        <v>48</v>
      </c>
      <c r="E2" s="26" t="s">
        <v>49</v>
      </c>
      <c r="F2" s="26" t="s">
        <v>48</v>
      </c>
      <c r="G2" s="26" t="s">
        <v>49</v>
      </c>
      <c r="H2" s="10" t="s">
        <v>0</v>
      </c>
      <c r="I2" s="10" t="s">
        <v>1</v>
      </c>
      <c r="J2" s="10" t="s">
        <v>2</v>
      </c>
      <c r="K2" s="11" t="s">
        <v>3</v>
      </c>
      <c r="L2" s="10" t="s">
        <v>0</v>
      </c>
      <c r="M2" s="10" t="s">
        <v>1</v>
      </c>
      <c r="N2" s="10" t="s">
        <v>2</v>
      </c>
      <c r="O2" s="11" t="s">
        <v>3</v>
      </c>
      <c r="P2" s="10" t="s">
        <v>0</v>
      </c>
      <c r="Q2" s="10" t="s">
        <v>1</v>
      </c>
      <c r="R2" s="10" t="s">
        <v>2</v>
      </c>
      <c r="S2" s="11" t="s">
        <v>3</v>
      </c>
      <c r="T2" s="14" t="s">
        <v>7</v>
      </c>
      <c r="U2" s="16">
        <v>1</v>
      </c>
      <c r="V2" s="10" t="s">
        <v>8</v>
      </c>
      <c r="W2" s="10" t="s">
        <v>9</v>
      </c>
      <c r="X2" s="10" t="s">
        <v>10</v>
      </c>
      <c r="Y2" s="10" t="s">
        <v>11</v>
      </c>
      <c r="Z2" s="10" t="s">
        <v>12</v>
      </c>
      <c r="AA2" s="16">
        <v>0.5</v>
      </c>
      <c r="AB2" s="17" t="s">
        <v>13</v>
      </c>
      <c r="AC2" s="20" t="s">
        <v>16</v>
      </c>
      <c r="AD2" s="20" t="s">
        <v>17</v>
      </c>
      <c r="AE2" s="11" t="s">
        <v>18</v>
      </c>
      <c r="AF2" s="20" t="s">
        <v>19</v>
      </c>
      <c r="AG2" s="20" t="s">
        <v>20</v>
      </c>
      <c r="AH2" s="11" t="s">
        <v>21</v>
      </c>
      <c r="AI2" s="20" t="s">
        <v>22</v>
      </c>
      <c r="AJ2" s="20" t="s">
        <v>23</v>
      </c>
      <c r="AK2" s="11" t="s">
        <v>24</v>
      </c>
      <c r="AL2" s="20" t="s">
        <v>16</v>
      </c>
      <c r="AM2" s="20" t="s">
        <v>17</v>
      </c>
      <c r="AN2" s="11" t="s">
        <v>18</v>
      </c>
      <c r="AO2" s="20" t="s">
        <v>19</v>
      </c>
      <c r="AP2" s="20" t="s">
        <v>20</v>
      </c>
      <c r="AQ2" s="11" t="s">
        <v>21</v>
      </c>
      <c r="AR2" s="20" t="s">
        <v>22</v>
      </c>
      <c r="AS2" s="20" t="s">
        <v>23</v>
      </c>
      <c r="AT2" s="11" t="s">
        <v>24</v>
      </c>
      <c r="AU2" s="20" t="s">
        <v>16</v>
      </c>
      <c r="AV2" s="20" t="s">
        <v>17</v>
      </c>
      <c r="AW2" s="11" t="s">
        <v>18</v>
      </c>
      <c r="AX2" s="20" t="s">
        <v>19</v>
      </c>
      <c r="AY2" s="20" t="s">
        <v>20</v>
      </c>
      <c r="AZ2" s="11" t="s">
        <v>21</v>
      </c>
      <c r="BA2" s="20" t="s">
        <v>22</v>
      </c>
      <c r="BB2" s="20" t="s">
        <v>23</v>
      </c>
      <c r="BC2" s="11" t="s">
        <v>24</v>
      </c>
      <c r="BD2" s="20" t="s">
        <v>16</v>
      </c>
      <c r="BE2" s="20" t="s">
        <v>17</v>
      </c>
      <c r="BF2" s="11" t="s">
        <v>18</v>
      </c>
      <c r="BG2" s="20" t="s">
        <v>19</v>
      </c>
      <c r="BH2" s="20" t="s">
        <v>20</v>
      </c>
      <c r="BI2" s="11" t="s">
        <v>21</v>
      </c>
      <c r="BJ2" s="20" t="s">
        <v>22</v>
      </c>
      <c r="BK2" s="20" t="s">
        <v>23</v>
      </c>
      <c r="BL2" s="11" t="s">
        <v>24</v>
      </c>
      <c r="BM2" s="14" t="s">
        <v>16</v>
      </c>
      <c r="BN2" s="14" t="s">
        <v>17</v>
      </c>
      <c r="BO2" s="14" t="s">
        <v>18</v>
      </c>
      <c r="BP2" s="14" t="s">
        <v>19</v>
      </c>
      <c r="BQ2" s="14" t="s">
        <v>20</v>
      </c>
      <c r="BR2" s="14" t="s">
        <v>21</v>
      </c>
      <c r="BS2" s="14" t="s">
        <v>22</v>
      </c>
      <c r="BT2" s="14" t="s">
        <v>23</v>
      </c>
      <c r="BU2" s="14" t="s">
        <v>24</v>
      </c>
      <c r="BV2" s="22" t="s">
        <v>174</v>
      </c>
      <c r="BW2" s="22" t="s">
        <v>17</v>
      </c>
      <c r="BX2" s="11" t="s">
        <v>18</v>
      </c>
      <c r="BY2" s="22" t="s">
        <v>19</v>
      </c>
      <c r="BZ2" s="22" t="s">
        <v>20</v>
      </c>
      <c r="CA2" s="11" t="s">
        <v>21</v>
      </c>
      <c r="CB2" s="22" t="s">
        <v>22</v>
      </c>
      <c r="CC2" s="22" t="s">
        <v>23</v>
      </c>
      <c r="CD2" s="11" t="s">
        <v>24</v>
      </c>
      <c r="CE2" s="22" t="s">
        <v>175</v>
      </c>
      <c r="CF2" s="22" t="s">
        <v>17</v>
      </c>
      <c r="CG2" s="11" t="s">
        <v>18</v>
      </c>
      <c r="CH2" s="22" t="s">
        <v>19</v>
      </c>
      <c r="CI2" s="22" t="s">
        <v>20</v>
      </c>
      <c r="CJ2" s="11" t="s">
        <v>21</v>
      </c>
      <c r="CK2" s="22" t="s">
        <v>22</v>
      </c>
      <c r="CL2" s="22" t="s">
        <v>23</v>
      </c>
      <c r="CM2" s="11" t="s">
        <v>24</v>
      </c>
      <c r="CN2" s="22" t="s">
        <v>176</v>
      </c>
      <c r="CO2" s="22" t="s">
        <v>17</v>
      </c>
      <c r="CP2" s="11" t="s">
        <v>18</v>
      </c>
      <c r="CQ2" s="22" t="s">
        <v>19</v>
      </c>
      <c r="CR2" s="22" t="s">
        <v>20</v>
      </c>
      <c r="CS2" s="11" t="s">
        <v>21</v>
      </c>
      <c r="CT2" s="22" t="s">
        <v>22</v>
      </c>
      <c r="CU2" s="22" t="s">
        <v>23</v>
      </c>
      <c r="CV2" s="11" t="s">
        <v>24</v>
      </c>
      <c r="CW2" s="22" t="s">
        <v>16</v>
      </c>
      <c r="CX2" s="22" t="s">
        <v>17</v>
      </c>
      <c r="CY2" s="11" t="s">
        <v>18</v>
      </c>
      <c r="CZ2" s="22" t="s">
        <v>19</v>
      </c>
      <c r="DA2" s="22" t="s">
        <v>20</v>
      </c>
      <c r="DB2" s="11" t="s">
        <v>21</v>
      </c>
      <c r="DC2" s="22" t="s">
        <v>22</v>
      </c>
      <c r="DD2" s="22" t="s">
        <v>23</v>
      </c>
      <c r="DE2" s="11" t="s">
        <v>24</v>
      </c>
      <c r="DF2" s="14" t="s">
        <v>16</v>
      </c>
      <c r="DG2" s="14" t="s">
        <v>17</v>
      </c>
      <c r="DH2" s="14" t="s">
        <v>18</v>
      </c>
      <c r="DI2" s="14" t="s">
        <v>19</v>
      </c>
      <c r="DJ2" s="14" t="s">
        <v>20</v>
      </c>
      <c r="DK2" s="14" t="s">
        <v>21</v>
      </c>
      <c r="DL2" s="14" t="s">
        <v>22</v>
      </c>
      <c r="DM2" s="14" t="s">
        <v>23</v>
      </c>
      <c r="DN2" s="14" t="s">
        <v>24</v>
      </c>
      <c r="DO2" s="19" t="s">
        <v>197</v>
      </c>
      <c r="DP2" s="19" t="s">
        <v>198</v>
      </c>
      <c r="DQ2" s="11" t="s">
        <v>18</v>
      </c>
      <c r="DR2" s="19" t="s">
        <v>19</v>
      </c>
      <c r="DS2" s="19" t="s">
        <v>20</v>
      </c>
      <c r="DT2" s="11" t="s">
        <v>21</v>
      </c>
      <c r="DU2" s="19" t="s">
        <v>22</v>
      </c>
      <c r="DV2" s="19" t="s">
        <v>23</v>
      </c>
      <c r="DW2" s="11" t="s">
        <v>24</v>
      </c>
      <c r="DX2" s="19" t="s">
        <v>16</v>
      </c>
      <c r="DY2" s="19" t="s">
        <v>17</v>
      </c>
      <c r="DZ2" s="11" t="s">
        <v>18</v>
      </c>
      <c r="EA2" s="19" t="s">
        <v>19</v>
      </c>
      <c r="EB2" s="19" t="s">
        <v>20</v>
      </c>
      <c r="EC2" s="11" t="s">
        <v>21</v>
      </c>
      <c r="ED2" s="19" t="s">
        <v>22</v>
      </c>
      <c r="EE2" s="19" t="s">
        <v>23</v>
      </c>
      <c r="EF2" s="11" t="s">
        <v>24</v>
      </c>
      <c r="EG2" s="12" t="s">
        <v>5</v>
      </c>
      <c r="EH2" s="12" t="s">
        <v>6</v>
      </c>
      <c r="EI2" s="12" t="s">
        <v>36</v>
      </c>
      <c r="EJ2" s="12" t="s">
        <v>37</v>
      </c>
      <c r="EK2" s="12" t="s">
        <v>38</v>
      </c>
    </row>
    <row r="3" spans="1:142" customFormat="1" ht="23.25" customHeight="1">
      <c r="A3" s="51">
        <v>36</v>
      </c>
      <c r="B3" s="43" t="s">
        <v>116</v>
      </c>
      <c r="C3" s="48" t="s">
        <v>117</v>
      </c>
      <c r="D3" s="64">
        <v>42803</v>
      </c>
      <c r="E3" s="64">
        <v>42815</v>
      </c>
      <c r="F3" s="64">
        <v>42957</v>
      </c>
      <c r="G3" s="64">
        <v>42959</v>
      </c>
      <c r="H3" s="46">
        <v>13414</v>
      </c>
      <c r="I3" s="46">
        <v>0</v>
      </c>
      <c r="J3" s="46">
        <v>13344</v>
      </c>
      <c r="K3" s="46">
        <f t="shared" ref="K3:K47" si="0">SUM(H3:J3)</f>
        <v>26758</v>
      </c>
      <c r="L3" s="46">
        <v>504107</v>
      </c>
      <c r="M3" s="46">
        <v>0</v>
      </c>
      <c r="N3" s="46">
        <v>550574</v>
      </c>
      <c r="O3" s="46">
        <f t="shared" ref="O3:O47" si="1">SUM(L3:N3)</f>
        <v>1054681</v>
      </c>
      <c r="P3" s="46">
        <v>395078</v>
      </c>
      <c r="Q3" s="46">
        <v>0</v>
      </c>
      <c r="R3" s="46">
        <v>465051</v>
      </c>
      <c r="S3" s="46">
        <f t="shared" ref="S3:S47" si="2">SUM(P3:R3)</f>
        <v>860129</v>
      </c>
      <c r="T3" s="46">
        <f t="shared" ref="T3:T50" si="3">ROUND(S3*100/O3,2)</f>
        <v>81.55</v>
      </c>
      <c r="U3" s="46">
        <v>2647</v>
      </c>
      <c r="V3" s="46">
        <v>5518</v>
      </c>
      <c r="W3" s="46">
        <v>6237</v>
      </c>
      <c r="X3" s="46">
        <v>4518</v>
      </c>
      <c r="Y3" s="46">
        <v>3344</v>
      </c>
      <c r="Z3" s="46">
        <v>2163</v>
      </c>
      <c r="AA3" s="46">
        <v>2197</v>
      </c>
      <c r="AB3" s="47">
        <f t="shared" ref="AB3:AB50" si="4">K3-U3-V3-W3-X3-Y3-Z3-AA3</f>
        <v>134</v>
      </c>
      <c r="AC3" s="46">
        <v>608759</v>
      </c>
      <c r="AD3" s="46">
        <v>458629</v>
      </c>
      <c r="AE3" s="46">
        <f t="shared" ref="AE3:AE50" si="5">AC3+AD3</f>
        <v>1067388</v>
      </c>
      <c r="AF3" s="46">
        <v>113624</v>
      </c>
      <c r="AG3" s="46">
        <v>86029</v>
      </c>
      <c r="AH3" s="46">
        <f t="shared" ref="AH3:AH50" si="6">AF3+AG3</f>
        <v>199653</v>
      </c>
      <c r="AI3" s="46">
        <v>77656</v>
      </c>
      <c r="AJ3" s="46">
        <v>67356</v>
      </c>
      <c r="AK3" s="46">
        <f t="shared" ref="AK3:AK50" si="7">AI3+AJ3</f>
        <v>145012</v>
      </c>
      <c r="AL3" s="46">
        <v>482743</v>
      </c>
      <c r="AM3" s="46">
        <v>363450</v>
      </c>
      <c r="AN3" s="46">
        <f t="shared" ref="AN3:AN50" si="8">AL3+AM3</f>
        <v>846193</v>
      </c>
      <c r="AO3" s="46">
        <v>86356</v>
      </c>
      <c r="AP3" s="46">
        <v>63950</v>
      </c>
      <c r="AQ3" s="46">
        <f t="shared" ref="AQ3:AQ50" si="9">AO3+AP3</f>
        <v>150306</v>
      </c>
      <c r="AR3" s="46">
        <v>56155</v>
      </c>
      <c r="AS3" s="46">
        <v>46530</v>
      </c>
      <c r="AT3" s="46">
        <f t="shared" ref="AT3:AT50" si="10">AR3+AS3</f>
        <v>102685</v>
      </c>
      <c r="AU3" s="46">
        <v>0</v>
      </c>
      <c r="AV3" s="46">
        <v>0</v>
      </c>
      <c r="AW3" s="46">
        <f t="shared" ref="AW3:AW50" si="11">AU3+AV3</f>
        <v>0</v>
      </c>
      <c r="AX3" s="46">
        <v>0</v>
      </c>
      <c r="AY3" s="46">
        <v>0</v>
      </c>
      <c r="AZ3" s="46">
        <f t="shared" ref="AZ3:AZ50" si="12">AX3+AY3</f>
        <v>0</v>
      </c>
      <c r="BA3" s="46">
        <v>0</v>
      </c>
      <c r="BB3" s="46">
        <v>0</v>
      </c>
      <c r="BC3" s="46">
        <f t="shared" ref="BC3:BC50" si="13">BA3+BB3</f>
        <v>0</v>
      </c>
      <c r="BD3" s="46">
        <f t="shared" ref="BD3:BE8" si="14">AL3+AU3</f>
        <v>482743</v>
      </c>
      <c r="BE3" s="46">
        <f t="shared" si="14"/>
        <v>363450</v>
      </c>
      <c r="BF3" s="46">
        <f t="shared" ref="BF3:BF50" si="15">BD3+BE3</f>
        <v>846193</v>
      </c>
      <c r="BG3" s="46">
        <f t="shared" ref="BG3:BH8" si="16">AO3+AX3</f>
        <v>86356</v>
      </c>
      <c r="BH3" s="46">
        <f t="shared" si="16"/>
        <v>63950</v>
      </c>
      <c r="BI3" s="46">
        <f t="shared" ref="BI3:BI50" si="17">BG3+BH3</f>
        <v>150306</v>
      </c>
      <c r="BJ3" s="46">
        <f t="shared" ref="BJ3:BK8" si="18">AR3+BA3</f>
        <v>56155</v>
      </c>
      <c r="BK3" s="46">
        <f t="shared" si="18"/>
        <v>46530</v>
      </c>
      <c r="BL3" s="46">
        <f t="shared" ref="BL3:BL50" si="19">BJ3+BK3</f>
        <v>102685</v>
      </c>
      <c r="BM3" s="46">
        <f t="shared" ref="BM3:BM50" si="20">ROUND(BD3*100/AC3,2)</f>
        <v>79.3</v>
      </c>
      <c r="BN3" s="46">
        <f t="shared" ref="BN3:BN50" si="21">ROUND(BE3*100/AD3,2)</f>
        <v>79.25</v>
      </c>
      <c r="BO3" s="46">
        <f t="shared" ref="BO3:BO50" si="22">ROUND(BF3*100/AE3,2)</f>
        <v>79.28</v>
      </c>
      <c r="BP3" s="46">
        <f t="shared" ref="BP3:BP50" si="23">ROUND(BG3*100/AF3,2)</f>
        <v>76</v>
      </c>
      <c r="BQ3" s="46">
        <f t="shared" ref="BQ3:BQ50" si="24">ROUND(BH3*100/AG3,2)</f>
        <v>74.34</v>
      </c>
      <c r="BR3" s="46">
        <f t="shared" ref="BR3:BR50" si="25">ROUND(BI3*100/AH3,2)</f>
        <v>75.28</v>
      </c>
      <c r="BS3" s="46">
        <f t="shared" ref="BS3:BS50" si="26">ROUND(BJ3*100/AI3,2)</f>
        <v>72.31</v>
      </c>
      <c r="BT3" s="46">
        <f t="shared" ref="BT3:BT50" si="27">ROUND(BK3*100/AJ3,2)</f>
        <v>69.08</v>
      </c>
      <c r="BU3" s="46">
        <f t="shared" ref="BU3:BU50" si="28">ROUND(BL3*100/AK3,2)</f>
        <v>70.81</v>
      </c>
      <c r="BV3" s="46">
        <v>2930</v>
      </c>
      <c r="BW3" s="46">
        <v>2481</v>
      </c>
      <c r="BX3" s="46">
        <f t="shared" ref="BX3:BX50" si="29">BV3+BW3</f>
        <v>5411</v>
      </c>
      <c r="BY3" s="46">
        <v>590</v>
      </c>
      <c r="BZ3" s="46">
        <v>493</v>
      </c>
      <c r="CA3" s="46">
        <f t="shared" ref="CA3:CA11" si="30">BY3+BZ3</f>
        <v>1083</v>
      </c>
      <c r="CB3" s="46">
        <v>158</v>
      </c>
      <c r="CC3" s="46">
        <v>135</v>
      </c>
      <c r="CD3" s="46">
        <f t="shared" ref="CD3:CD50" si="31">CB3+CC3</f>
        <v>293</v>
      </c>
      <c r="CE3" s="46">
        <v>539</v>
      </c>
      <c r="CF3" s="46">
        <v>331</v>
      </c>
      <c r="CG3" s="46">
        <f t="shared" ref="CG3:CG11" si="32">CE3+CF3</f>
        <v>870</v>
      </c>
      <c r="CH3" s="46">
        <v>59</v>
      </c>
      <c r="CI3" s="46">
        <v>34</v>
      </c>
      <c r="CJ3" s="46">
        <f t="shared" ref="CJ3:CJ50" si="33">CH3+CI3</f>
        <v>93</v>
      </c>
      <c r="CK3" s="46">
        <v>8</v>
      </c>
      <c r="CL3" s="46">
        <v>9</v>
      </c>
      <c r="CM3" s="46">
        <f t="shared" ref="CM3:CM50" si="34">CK3+CL3</f>
        <v>17</v>
      </c>
      <c r="CN3" s="46">
        <v>0</v>
      </c>
      <c r="CO3" s="46">
        <v>0</v>
      </c>
      <c r="CP3" s="46">
        <f t="shared" ref="CP3:CP50" si="35">CN3+CO3</f>
        <v>0</v>
      </c>
      <c r="CQ3" s="46">
        <v>0</v>
      </c>
      <c r="CR3" s="46">
        <v>0</v>
      </c>
      <c r="CS3" s="46">
        <f t="shared" ref="CS3:CS50" si="36">CQ3+CR3</f>
        <v>0</v>
      </c>
      <c r="CT3" s="46">
        <v>0</v>
      </c>
      <c r="CU3" s="46">
        <v>0</v>
      </c>
      <c r="CV3" s="46">
        <f t="shared" ref="CV3:CV50" si="37">CT3+CU3</f>
        <v>0</v>
      </c>
      <c r="CW3" s="46">
        <f t="shared" ref="CW3:CX8" si="38">CE3+CN3</f>
        <v>539</v>
      </c>
      <c r="CX3" s="46">
        <f t="shared" si="38"/>
        <v>331</v>
      </c>
      <c r="CY3" s="46">
        <f t="shared" ref="CY3:CY50" si="39">CW3+CX3</f>
        <v>870</v>
      </c>
      <c r="CZ3" s="46">
        <f t="shared" ref="CZ3:DA8" si="40">CH3+CQ3</f>
        <v>59</v>
      </c>
      <c r="DA3" s="46">
        <f t="shared" si="40"/>
        <v>34</v>
      </c>
      <c r="DB3" s="46">
        <f t="shared" ref="DB3:DB50" si="41">CZ3+DA3</f>
        <v>93</v>
      </c>
      <c r="DC3" s="46">
        <f t="shared" ref="DC3:DD8" si="42">CK3+CT3</f>
        <v>8</v>
      </c>
      <c r="DD3" s="46">
        <f t="shared" si="42"/>
        <v>9</v>
      </c>
      <c r="DE3" s="46">
        <f t="shared" ref="DE3:DE50" si="43">DC3+DD3</f>
        <v>17</v>
      </c>
      <c r="DF3" s="46">
        <f t="shared" ref="DF3:DF50" si="44">ROUND(CW3*100/BV3,2)</f>
        <v>18.399999999999999</v>
      </c>
      <c r="DG3" s="46">
        <f t="shared" ref="DG3:DG50" si="45">ROUND(CX3*100/BW3,2)</f>
        <v>13.34</v>
      </c>
      <c r="DH3" s="46">
        <f t="shared" ref="DH3:DH50" si="46">ROUND(CY3*100/BX3,2)</f>
        <v>16.079999999999998</v>
      </c>
      <c r="DI3" s="46">
        <f t="shared" ref="DI3:DI50" si="47">ROUND(CZ3*100/BY3,2)</f>
        <v>10</v>
      </c>
      <c r="DJ3" s="46">
        <f t="shared" ref="DJ3:DJ50" si="48">ROUND(DA3*100/BZ3,2)</f>
        <v>6.9</v>
      </c>
      <c r="DK3" s="46">
        <f t="shared" ref="DK3:DK50" si="49">ROUND(DB3*100/CA3,2)</f>
        <v>8.59</v>
      </c>
      <c r="DL3" s="46">
        <f t="shared" ref="DL3:DL50" si="50">ROUND(DC3*100/CB3,2)</f>
        <v>5.0599999999999996</v>
      </c>
      <c r="DM3" s="46">
        <f t="shared" ref="DM3:DM50" si="51">ROUND(DD3*100/CC3,2)</f>
        <v>6.67</v>
      </c>
      <c r="DN3" s="46">
        <f t="shared" ref="DN3:DN50" si="52">ROUND(DE3*100/CD3,2)</f>
        <v>5.8</v>
      </c>
      <c r="DO3" s="46">
        <v>176070</v>
      </c>
      <c r="DP3" s="46">
        <v>134498</v>
      </c>
      <c r="DQ3" s="46">
        <f t="shared" ref="DQ3:DQ27" si="53">DO3+DP3</f>
        <v>310568</v>
      </c>
      <c r="DR3" s="46">
        <v>25724</v>
      </c>
      <c r="DS3" s="46">
        <v>17687</v>
      </c>
      <c r="DT3" s="46">
        <f t="shared" ref="DT3:DT27" si="54">DR3+DS3</f>
        <v>43411</v>
      </c>
      <c r="DU3" s="46">
        <v>13960</v>
      </c>
      <c r="DV3" s="46">
        <v>9206</v>
      </c>
      <c r="DW3" s="46">
        <f t="shared" ref="DW3:DW27" si="55">DU3+DV3</f>
        <v>23166</v>
      </c>
      <c r="DX3" s="46">
        <v>429055</v>
      </c>
      <c r="DY3" s="46">
        <v>319223</v>
      </c>
      <c r="DZ3" s="46">
        <f t="shared" ref="DZ3:DZ27" si="56">DX3+DY3</f>
        <v>748278</v>
      </c>
      <c r="EA3" s="46">
        <v>86920</v>
      </c>
      <c r="EB3" s="46">
        <v>67160</v>
      </c>
      <c r="EC3" s="46">
        <f t="shared" ref="EC3:EC27" si="57">EA3+EB3</f>
        <v>154080</v>
      </c>
      <c r="ED3" s="46">
        <v>63129</v>
      </c>
      <c r="EE3" s="46">
        <v>57447</v>
      </c>
      <c r="EF3" s="46">
        <f t="shared" ref="EF3:EF27" si="58">ED3+EE3</f>
        <v>120576</v>
      </c>
      <c r="EG3" s="46">
        <f t="shared" ref="EG3:EG50" si="59">O3-AE3-BX3</f>
        <v>-18118</v>
      </c>
      <c r="EH3" s="46">
        <f t="shared" ref="EH3:EH50" si="60">S3-BF3-CY3</f>
        <v>13066</v>
      </c>
      <c r="EI3" s="46">
        <f t="shared" ref="EI3:EI28" si="61">DQ3+DZ3-CY3-BF3</f>
        <v>211783</v>
      </c>
      <c r="EJ3" s="46">
        <f t="shared" ref="EJ3:EJ50" si="62">DT3+EC3-DB3-BI3</f>
        <v>47092</v>
      </c>
      <c r="EK3" s="46">
        <f t="shared" ref="EK3:EK50" si="63">DW3+EF3-DE3-BL3</f>
        <v>41040</v>
      </c>
      <c r="EL3" s="3"/>
    </row>
    <row r="4" spans="1:142" s="34" customFormat="1" ht="34.5" customHeight="1">
      <c r="A4" s="51">
        <v>20</v>
      </c>
      <c r="B4" s="43" t="s">
        <v>88</v>
      </c>
      <c r="C4" s="48" t="s">
        <v>89</v>
      </c>
      <c r="D4" s="64">
        <v>42798</v>
      </c>
      <c r="E4" s="64">
        <v>42823</v>
      </c>
      <c r="F4" s="64">
        <v>42916</v>
      </c>
      <c r="G4" s="64">
        <v>42921</v>
      </c>
      <c r="H4" s="46">
        <v>8</v>
      </c>
      <c r="I4" s="46">
        <v>0</v>
      </c>
      <c r="J4" s="46">
        <v>0</v>
      </c>
      <c r="K4" s="2">
        <f t="shared" si="0"/>
        <v>8</v>
      </c>
      <c r="L4" s="46">
        <v>1638</v>
      </c>
      <c r="M4" s="46">
        <v>0</v>
      </c>
      <c r="N4" s="46">
        <v>0</v>
      </c>
      <c r="O4" s="2">
        <f t="shared" si="1"/>
        <v>1638</v>
      </c>
      <c r="P4" s="46">
        <v>1588</v>
      </c>
      <c r="Q4" s="46">
        <v>0</v>
      </c>
      <c r="R4" s="46">
        <v>0</v>
      </c>
      <c r="S4" s="2">
        <f t="shared" si="2"/>
        <v>1588</v>
      </c>
      <c r="T4" s="15">
        <f t="shared" si="3"/>
        <v>96.95</v>
      </c>
      <c r="U4" s="46">
        <v>0</v>
      </c>
      <c r="V4" s="46">
        <v>326</v>
      </c>
      <c r="W4" s="46">
        <v>405</v>
      </c>
      <c r="X4" s="46">
        <v>348</v>
      </c>
      <c r="Y4" s="46">
        <v>303</v>
      </c>
      <c r="Z4" s="46">
        <v>204</v>
      </c>
      <c r="AA4" s="46">
        <v>52</v>
      </c>
      <c r="AB4" s="47">
        <f t="shared" si="4"/>
        <v>-1630</v>
      </c>
      <c r="AC4" s="46">
        <v>876</v>
      </c>
      <c r="AD4" s="46">
        <v>762</v>
      </c>
      <c r="AE4" s="46">
        <f t="shared" si="5"/>
        <v>1638</v>
      </c>
      <c r="AF4" s="46">
        <v>10</v>
      </c>
      <c r="AG4" s="46">
        <v>7</v>
      </c>
      <c r="AH4" s="46">
        <f t="shared" si="6"/>
        <v>17</v>
      </c>
      <c r="AI4" s="46">
        <v>0</v>
      </c>
      <c r="AJ4" s="46">
        <v>0</v>
      </c>
      <c r="AK4" s="2">
        <f t="shared" si="7"/>
        <v>0</v>
      </c>
      <c r="AL4" s="46">
        <v>854</v>
      </c>
      <c r="AM4" s="46">
        <v>719</v>
      </c>
      <c r="AN4" s="46">
        <f t="shared" si="8"/>
        <v>1573</v>
      </c>
      <c r="AO4" s="46">
        <v>10</v>
      </c>
      <c r="AP4" s="46">
        <v>7</v>
      </c>
      <c r="AQ4" s="46">
        <f t="shared" si="9"/>
        <v>17</v>
      </c>
      <c r="AR4" s="46">
        <v>0</v>
      </c>
      <c r="AS4" s="46">
        <v>0</v>
      </c>
      <c r="AT4" s="46">
        <f t="shared" si="10"/>
        <v>0</v>
      </c>
      <c r="AU4" s="46">
        <v>8</v>
      </c>
      <c r="AV4" s="46">
        <v>7</v>
      </c>
      <c r="AW4" s="46">
        <f t="shared" si="11"/>
        <v>15</v>
      </c>
      <c r="AX4" s="46">
        <v>0</v>
      </c>
      <c r="AY4" s="46">
        <v>0</v>
      </c>
      <c r="AZ4" s="2">
        <f t="shared" si="12"/>
        <v>0</v>
      </c>
      <c r="BA4" s="46">
        <v>0</v>
      </c>
      <c r="BB4" s="46">
        <v>0</v>
      </c>
      <c r="BC4" s="46">
        <f t="shared" si="13"/>
        <v>0</v>
      </c>
      <c r="BD4" s="46">
        <f t="shared" si="14"/>
        <v>862</v>
      </c>
      <c r="BE4" s="46">
        <f t="shared" si="14"/>
        <v>726</v>
      </c>
      <c r="BF4" s="46">
        <f t="shared" si="15"/>
        <v>1588</v>
      </c>
      <c r="BG4" s="46">
        <f t="shared" si="16"/>
        <v>10</v>
      </c>
      <c r="BH4" s="46">
        <f t="shared" si="16"/>
        <v>7</v>
      </c>
      <c r="BI4" s="46">
        <f t="shared" si="17"/>
        <v>17</v>
      </c>
      <c r="BJ4" s="46">
        <f t="shared" si="18"/>
        <v>0</v>
      </c>
      <c r="BK4" s="46">
        <f t="shared" si="18"/>
        <v>0</v>
      </c>
      <c r="BL4" s="46">
        <f t="shared" si="19"/>
        <v>0</v>
      </c>
      <c r="BM4" s="46">
        <f t="shared" si="20"/>
        <v>98.4</v>
      </c>
      <c r="BN4" s="46">
        <f t="shared" si="21"/>
        <v>95.28</v>
      </c>
      <c r="BO4" s="46">
        <f t="shared" si="22"/>
        <v>96.95</v>
      </c>
      <c r="BP4" s="46">
        <f t="shared" si="23"/>
        <v>100</v>
      </c>
      <c r="BQ4" s="46">
        <f t="shared" si="24"/>
        <v>100</v>
      </c>
      <c r="BR4" s="46">
        <f t="shared" si="25"/>
        <v>100</v>
      </c>
      <c r="BS4" s="46" t="e">
        <f t="shared" si="26"/>
        <v>#DIV/0!</v>
      </c>
      <c r="BT4" s="46" t="e">
        <f t="shared" si="27"/>
        <v>#DIV/0!</v>
      </c>
      <c r="BU4" s="46" t="e">
        <f t="shared" si="28"/>
        <v>#DIV/0!</v>
      </c>
      <c r="BV4" s="46">
        <v>0</v>
      </c>
      <c r="BW4" s="46">
        <v>400</v>
      </c>
      <c r="BX4" s="46">
        <f t="shared" si="29"/>
        <v>400</v>
      </c>
      <c r="BY4" s="46">
        <v>0</v>
      </c>
      <c r="BZ4" s="46">
        <v>0</v>
      </c>
      <c r="CA4" s="2">
        <f t="shared" si="30"/>
        <v>0</v>
      </c>
      <c r="CB4" s="46">
        <v>0</v>
      </c>
      <c r="CC4" s="46">
        <v>0</v>
      </c>
      <c r="CD4" s="2">
        <f t="shared" si="31"/>
        <v>0</v>
      </c>
      <c r="CE4" s="46">
        <v>0</v>
      </c>
      <c r="CF4" s="46">
        <v>150</v>
      </c>
      <c r="CG4" s="46">
        <f t="shared" si="32"/>
        <v>150</v>
      </c>
      <c r="CH4" s="46">
        <v>0</v>
      </c>
      <c r="CI4" s="46">
        <v>0</v>
      </c>
      <c r="CJ4" s="2">
        <f t="shared" si="33"/>
        <v>0</v>
      </c>
      <c r="CK4" s="46">
        <v>0</v>
      </c>
      <c r="CL4" s="46">
        <v>0</v>
      </c>
      <c r="CM4" s="2">
        <f t="shared" si="34"/>
        <v>0</v>
      </c>
      <c r="CN4" s="46">
        <v>0</v>
      </c>
      <c r="CO4" s="46">
        <f>250+74</f>
        <v>324</v>
      </c>
      <c r="CP4" s="2">
        <f t="shared" si="35"/>
        <v>324</v>
      </c>
      <c r="CQ4" s="46">
        <v>0</v>
      </c>
      <c r="CR4" s="46">
        <v>0</v>
      </c>
      <c r="CS4" s="2">
        <f t="shared" si="36"/>
        <v>0</v>
      </c>
      <c r="CT4" s="46">
        <v>0</v>
      </c>
      <c r="CU4" s="46">
        <v>0</v>
      </c>
      <c r="CV4" s="2">
        <f t="shared" si="37"/>
        <v>0</v>
      </c>
      <c r="CW4" s="46">
        <f t="shared" si="38"/>
        <v>0</v>
      </c>
      <c r="CX4" s="46">
        <f t="shared" si="38"/>
        <v>474</v>
      </c>
      <c r="CY4" s="46">
        <f t="shared" si="39"/>
        <v>474</v>
      </c>
      <c r="CZ4" s="28">
        <f t="shared" si="40"/>
        <v>0</v>
      </c>
      <c r="DA4" s="28">
        <f t="shared" si="40"/>
        <v>0</v>
      </c>
      <c r="DB4" s="2">
        <f t="shared" si="41"/>
        <v>0</v>
      </c>
      <c r="DC4" s="28">
        <f t="shared" si="42"/>
        <v>0</v>
      </c>
      <c r="DD4" s="28">
        <f t="shared" si="42"/>
        <v>0</v>
      </c>
      <c r="DE4" s="2">
        <f t="shared" si="43"/>
        <v>0</v>
      </c>
      <c r="DF4" s="46" t="e">
        <f t="shared" si="44"/>
        <v>#DIV/0!</v>
      </c>
      <c r="DG4" s="46">
        <f t="shared" si="45"/>
        <v>118.5</v>
      </c>
      <c r="DH4" s="46">
        <f t="shared" si="46"/>
        <v>118.5</v>
      </c>
      <c r="DI4" s="28" t="e">
        <f t="shared" si="47"/>
        <v>#DIV/0!</v>
      </c>
      <c r="DJ4" s="28" t="e">
        <f t="shared" si="48"/>
        <v>#DIV/0!</v>
      </c>
      <c r="DK4" s="28" t="e">
        <f t="shared" si="49"/>
        <v>#DIV/0!</v>
      </c>
      <c r="DL4" s="28" t="e">
        <f t="shared" si="50"/>
        <v>#DIV/0!</v>
      </c>
      <c r="DM4" s="28" t="e">
        <f t="shared" si="51"/>
        <v>#DIV/0!</v>
      </c>
      <c r="DN4" s="28" t="e">
        <f t="shared" si="52"/>
        <v>#DIV/0!</v>
      </c>
      <c r="DO4" s="46">
        <v>853</v>
      </c>
      <c r="DP4" s="46">
        <v>733</v>
      </c>
      <c r="DQ4" s="46">
        <f t="shared" si="53"/>
        <v>1586</v>
      </c>
      <c r="DR4" s="46">
        <v>10</v>
      </c>
      <c r="DS4" s="46">
        <v>7</v>
      </c>
      <c r="DT4" s="46">
        <f t="shared" si="54"/>
        <v>17</v>
      </c>
      <c r="DU4" s="46">
        <v>0</v>
      </c>
      <c r="DV4" s="46">
        <v>0</v>
      </c>
      <c r="DW4" s="46">
        <f t="shared" si="55"/>
        <v>0</v>
      </c>
      <c r="DX4" s="46">
        <v>23</v>
      </c>
      <c r="DY4" s="46">
        <v>29</v>
      </c>
      <c r="DZ4" s="2">
        <f t="shared" si="56"/>
        <v>52</v>
      </c>
      <c r="EA4" s="46">
        <v>0</v>
      </c>
      <c r="EB4" s="46">
        <v>0</v>
      </c>
      <c r="EC4" s="2">
        <f t="shared" si="57"/>
        <v>0</v>
      </c>
      <c r="ED4" s="46">
        <v>0</v>
      </c>
      <c r="EE4" s="46">
        <v>0</v>
      </c>
      <c r="EF4" s="2">
        <f t="shared" si="58"/>
        <v>0</v>
      </c>
      <c r="EG4" s="46">
        <f t="shared" si="59"/>
        <v>-400</v>
      </c>
      <c r="EH4" s="46">
        <f t="shared" si="60"/>
        <v>-474</v>
      </c>
      <c r="EI4" s="46">
        <f t="shared" si="61"/>
        <v>-424</v>
      </c>
      <c r="EJ4" s="46">
        <f t="shared" si="62"/>
        <v>0</v>
      </c>
      <c r="EK4" s="46">
        <f t="shared" si="63"/>
        <v>0</v>
      </c>
      <c r="EL4" s="3"/>
    </row>
    <row r="5" spans="1:142" s="34" customFormat="1" ht="40.5" customHeight="1">
      <c r="A5" s="51">
        <v>29</v>
      </c>
      <c r="B5" s="68" t="s">
        <v>108</v>
      </c>
      <c r="C5" s="48" t="s">
        <v>105</v>
      </c>
      <c r="D5" s="64">
        <v>42811</v>
      </c>
      <c r="E5" s="64">
        <v>42739</v>
      </c>
      <c r="F5" s="64">
        <v>42900</v>
      </c>
      <c r="G5" s="64">
        <v>42914</v>
      </c>
      <c r="H5" s="46">
        <v>5991</v>
      </c>
      <c r="I5" s="46">
        <v>416</v>
      </c>
      <c r="J5" s="46">
        <v>4736</v>
      </c>
      <c r="K5" s="46">
        <f t="shared" si="0"/>
        <v>11143</v>
      </c>
      <c r="L5" s="46">
        <v>356314</v>
      </c>
      <c r="M5" s="46">
        <v>21689</v>
      </c>
      <c r="N5" s="46">
        <v>231499</v>
      </c>
      <c r="O5" s="46">
        <f t="shared" si="1"/>
        <v>609502</v>
      </c>
      <c r="P5" s="46">
        <v>316337</v>
      </c>
      <c r="Q5" s="46">
        <v>18763</v>
      </c>
      <c r="R5" s="46">
        <v>225153</v>
      </c>
      <c r="S5" s="46">
        <f t="shared" si="2"/>
        <v>560253</v>
      </c>
      <c r="T5" s="46">
        <f t="shared" si="3"/>
        <v>91.92</v>
      </c>
      <c r="U5" s="46">
        <v>4102</v>
      </c>
      <c r="V5" s="46">
        <v>8188</v>
      </c>
      <c r="W5" s="46">
        <v>1555</v>
      </c>
      <c r="X5" s="46">
        <v>686</v>
      </c>
      <c r="Y5" s="46">
        <v>370</v>
      </c>
      <c r="Z5" s="46">
        <v>251</v>
      </c>
      <c r="AA5" s="46">
        <v>268</v>
      </c>
      <c r="AB5" s="47">
        <f t="shared" si="4"/>
        <v>-4277</v>
      </c>
      <c r="AC5" s="46">
        <v>314471</v>
      </c>
      <c r="AD5" s="46">
        <v>295031</v>
      </c>
      <c r="AE5" s="46">
        <f t="shared" si="5"/>
        <v>609502</v>
      </c>
      <c r="AF5" s="46">
        <v>58595</v>
      </c>
      <c r="AG5" s="46">
        <v>57980</v>
      </c>
      <c r="AH5" s="46">
        <f t="shared" si="6"/>
        <v>116575</v>
      </c>
      <c r="AI5" s="46">
        <v>14898</v>
      </c>
      <c r="AJ5" s="46">
        <v>14787</v>
      </c>
      <c r="AK5" s="46">
        <f t="shared" si="7"/>
        <v>29685</v>
      </c>
      <c r="AL5" s="46">
        <v>288909</v>
      </c>
      <c r="AM5" s="46">
        <v>271344</v>
      </c>
      <c r="AN5" s="46">
        <f t="shared" si="8"/>
        <v>560253</v>
      </c>
      <c r="AO5" s="46">
        <v>51610</v>
      </c>
      <c r="AP5" s="46">
        <v>51191</v>
      </c>
      <c r="AQ5" s="46">
        <f t="shared" si="9"/>
        <v>102801</v>
      </c>
      <c r="AR5" s="46">
        <v>12543</v>
      </c>
      <c r="AS5" s="46">
        <v>12328</v>
      </c>
      <c r="AT5" s="46">
        <f t="shared" si="10"/>
        <v>24871</v>
      </c>
      <c r="AU5" s="46">
        <v>0</v>
      </c>
      <c r="AV5" s="46">
        <v>0</v>
      </c>
      <c r="AW5" s="46">
        <f t="shared" si="11"/>
        <v>0</v>
      </c>
      <c r="AX5" s="46">
        <v>0</v>
      </c>
      <c r="AY5" s="46">
        <v>0</v>
      </c>
      <c r="AZ5" s="46">
        <f t="shared" si="12"/>
        <v>0</v>
      </c>
      <c r="BA5" s="46">
        <v>0</v>
      </c>
      <c r="BB5" s="46">
        <v>0</v>
      </c>
      <c r="BC5" s="46">
        <f t="shared" si="13"/>
        <v>0</v>
      </c>
      <c r="BD5" s="46">
        <f t="shared" si="14"/>
        <v>288909</v>
      </c>
      <c r="BE5" s="46">
        <f t="shared" si="14"/>
        <v>271344</v>
      </c>
      <c r="BF5" s="46">
        <f t="shared" si="15"/>
        <v>560253</v>
      </c>
      <c r="BG5" s="46">
        <f t="shared" si="16"/>
        <v>51610</v>
      </c>
      <c r="BH5" s="46">
        <f t="shared" si="16"/>
        <v>51191</v>
      </c>
      <c r="BI5" s="46">
        <f t="shared" si="17"/>
        <v>102801</v>
      </c>
      <c r="BJ5" s="46">
        <f t="shared" si="18"/>
        <v>12543</v>
      </c>
      <c r="BK5" s="46">
        <f t="shared" si="18"/>
        <v>12328</v>
      </c>
      <c r="BL5" s="46">
        <f t="shared" si="19"/>
        <v>24871</v>
      </c>
      <c r="BM5" s="46">
        <f t="shared" si="20"/>
        <v>91.87</v>
      </c>
      <c r="BN5" s="46">
        <f t="shared" si="21"/>
        <v>91.97</v>
      </c>
      <c r="BO5" s="46">
        <f t="shared" si="22"/>
        <v>91.92</v>
      </c>
      <c r="BP5" s="46">
        <f t="shared" si="23"/>
        <v>88.08</v>
      </c>
      <c r="BQ5" s="46">
        <f t="shared" si="24"/>
        <v>88.29</v>
      </c>
      <c r="BR5" s="46">
        <f t="shared" si="25"/>
        <v>88.18</v>
      </c>
      <c r="BS5" s="46">
        <f t="shared" si="26"/>
        <v>84.19</v>
      </c>
      <c r="BT5" s="46">
        <f t="shared" si="27"/>
        <v>83.37</v>
      </c>
      <c r="BU5" s="46">
        <f t="shared" si="28"/>
        <v>83.78</v>
      </c>
      <c r="BV5" s="46">
        <v>8340</v>
      </c>
      <c r="BW5" s="46">
        <v>4696</v>
      </c>
      <c r="BX5" s="46">
        <f t="shared" si="29"/>
        <v>13036</v>
      </c>
      <c r="BY5" s="46">
        <v>2425</v>
      </c>
      <c r="BZ5" s="46">
        <v>1517</v>
      </c>
      <c r="CA5" s="46">
        <f t="shared" si="30"/>
        <v>3942</v>
      </c>
      <c r="CB5" s="46">
        <v>441</v>
      </c>
      <c r="CC5" s="46">
        <v>336</v>
      </c>
      <c r="CD5" s="46">
        <f t="shared" si="31"/>
        <v>777</v>
      </c>
      <c r="CE5" s="46">
        <v>5095</v>
      </c>
      <c r="CF5" s="46">
        <v>3167</v>
      </c>
      <c r="CG5" s="46">
        <f t="shared" si="32"/>
        <v>8262</v>
      </c>
      <c r="CH5" s="46">
        <v>1379</v>
      </c>
      <c r="CI5" s="46">
        <v>964</v>
      </c>
      <c r="CJ5" s="46">
        <f t="shared" si="33"/>
        <v>2343</v>
      </c>
      <c r="CK5" s="46">
        <v>256</v>
      </c>
      <c r="CL5" s="46">
        <v>209</v>
      </c>
      <c r="CM5" s="46">
        <f t="shared" si="34"/>
        <v>465</v>
      </c>
      <c r="CN5" s="46">
        <v>0</v>
      </c>
      <c r="CO5" s="46">
        <v>0</v>
      </c>
      <c r="CP5" s="46">
        <f t="shared" si="35"/>
        <v>0</v>
      </c>
      <c r="CQ5" s="46">
        <v>0</v>
      </c>
      <c r="CR5" s="46">
        <v>0</v>
      </c>
      <c r="CS5" s="46">
        <f t="shared" si="36"/>
        <v>0</v>
      </c>
      <c r="CT5" s="46">
        <v>0</v>
      </c>
      <c r="CU5" s="46">
        <v>0</v>
      </c>
      <c r="CV5" s="46">
        <f t="shared" si="37"/>
        <v>0</v>
      </c>
      <c r="CW5" s="46">
        <f t="shared" si="38"/>
        <v>5095</v>
      </c>
      <c r="CX5" s="46">
        <f t="shared" si="38"/>
        <v>3167</v>
      </c>
      <c r="CY5" s="46">
        <f t="shared" si="39"/>
        <v>8262</v>
      </c>
      <c r="CZ5" s="28">
        <f t="shared" si="40"/>
        <v>1379</v>
      </c>
      <c r="DA5" s="28">
        <f t="shared" si="40"/>
        <v>964</v>
      </c>
      <c r="DB5" s="2">
        <f t="shared" si="41"/>
        <v>2343</v>
      </c>
      <c r="DC5" s="28">
        <f t="shared" si="42"/>
        <v>256</v>
      </c>
      <c r="DD5" s="28">
        <f t="shared" si="42"/>
        <v>209</v>
      </c>
      <c r="DE5" s="2">
        <f t="shared" si="43"/>
        <v>465</v>
      </c>
      <c r="DF5" s="46">
        <f t="shared" si="44"/>
        <v>61.09</v>
      </c>
      <c r="DG5" s="46">
        <f t="shared" si="45"/>
        <v>67.44</v>
      </c>
      <c r="DH5" s="46">
        <f t="shared" si="46"/>
        <v>63.38</v>
      </c>
      <c r="DI5" s="46">
        <f t="shared" si="47"/>
        <v>56.87</v>
      </c>
      <c r="DJ5" s="46">
        <f t="shared" si="48"/>
        <v>63.55</v>
      </c>
      <c r="DK5" s="46">
        <f t="shared" si="49"/>
        <v>59.44</v>
      </c>
      <c r="DL5" s="46">
        <f t="shared" si="50"/>
        <v>58.05</v>
      </c>
      <c r="DM5" s="46">
        <f t="shared" si="51"/>
        <v>62.2</v>
      </c>
      <c r="DN5" s="46">
        <f t="shared" si="52"/>
        <v>59.85</v>
      </c>
      <c r="DO5" s="46">
        <v>0</v>
      </c>
      <c r="DP5" s="46">
        <v>0</v>
      </c>
      <c r="DQ5" s="46">
        <f t="shared" si="53"/>
        <v>0</v>
      </c>
      <c r="DR5" s="46">
        <v>0</v>
      </c>
      <c r="DS5" s="46">
        <v>0</v>
      </c>
      <c r="DT5" s="46">
        <f t="shared" si="54"/>
        <v>0</v>
      </c>
      <c r="DU5" s="46">
        <v>0</v>
      </c>
      <c r="DV5" s="46">
        <v>0</v>
      </c>
      <c r="DW5" s="46">
        <f t="shared" si="55"/>
        <v>0</v>
      </c>
      <c r="DX5" s="46">
        <v>0</v>
      </c>
      <c r="DY5" s="46">
        <v>0</v>
      </c>
      <c r="DZ5" s="46">
        <f t="shared" si="56"/>
        <v>0</v>
      </c>
      <c r="EA5" s="46">
        <v>0</v>
      </c>
      <c r="EB5" s="46">
        <v>0</v>
      </c>
      <c r="EC5" s="46">
        <f t="shared" si="57"/>
        <v>0</v>
      </c>
      <c r="ED5" s="46">
        <v>0</v>
      </c>
      <c r="EE5" s="46">
        <v>0</v>
      </c>
      <c r="EF5" s="46">
        <f t="shared" si="58"/>
        <v>0</v>
      </c>
      <c r="EG5" s="46">
        <f t="shared" si="59"/>
        <v>-13036</v>
      </c>
      <c r="EH5" s="46">
        <f t="shared" si="60"/>
        <v>-8262</v>
      </c>
      <c r="EI5" s="46">
        <f t="shared" si="61"/>
        <v>-568515</v>
      </c>
      <c r="EJ5" s="46">
        <f t="shared" si="62"/>
        <v>-105144</v>
      </c>
      <c r="EK5" s="46">
        <f t="shared" si="63"/>
        <v>-25336</v>
      </c>
      <c r="EL5" s="3"/>
    </row>
    <row r="6" spans="1:142" s="34" customFormat="1" ht="30">
      <c r="A6" s="51">
        <v>37</v>
      </c>
      <c r="B6" s="43" t="s">
        <v>120</v>
      </c>
      <c r="C6" s="48" t="s">
        <v>119</v>
      </c>
      <c r="D6" s="64">
        <v>42783</v>
      </c>
      <c r="E6" s="69" t="s">
        <v>118</v>
      </c>
      <c r="F6" s="64">
        <v>42943</v>
      </c>
      <c r="G6" s="64">
        <v>42947</v>
      </c>
      <c r="H6" s="46">
        <v>4067</v>
      </c>
      <c r="I6" s="46">
        <v>0</v>
      </c>
      <c r="J6" s="46">
        <v>2531</v>
      </c>
      <c r="K6" s="46">
        <f t="shared" si="0"/>
        <v>6598</v>
      </c>
      <c r="L6" s="46">
        <v>283943</v>
      </c>
      <c r="M6" s="46">
        <v>0</v>
      </c>
      <c r="N6" s="46">
        <v>98813</v>
      </c>
      <c r="O6" s="46">
        <f t="shared" si="1"/>
        <v>382756</v>
      </c>
      <c r="P6" s="46">
        <v>133688</v>
      </c>
      <c r="Q6" s="46">
        <v>0</v>
      </c>
      <c r="R6" s="46">
        <v>50255</v>
      </c>
      <c r="S6" s="46">
        <f t="shared" si="2"/>
        <v>183943</v>
      </c>
      <c r="T6" s="46">
        <f t="shared" si="3"/>
        <v>48.06</v>
      </c>
      <c r="U6" s="46">
        <v>214</v>
      </c>
      <c r="V6" s="46">
        <v>401</v>
      </c>
      <c r="W6" s="46">
        <v>429</v>
      </c>
      <c r="X6" s="46">
        <v>510</v>
      </c>
      <c r="Y6" s="46">
        <v>669</v>
      </c>
      <c r="Z6" s="46">
        <v>846</v>
      </c>
      <c r="AA6" s="46">
        <v>3565</v>
      </c>
      <c r="AB6" s="47">
        <f t="shared" si="4"/>
        <v>-36</v>
      </c>
      <c r="AC6" s="46">
        <v>188722</v>
      </c>
      <c r="AD6" s="46">
        <v>194034</v>
      </c>
      <c r="AE6" s="46">
        <f t="shared" si="5"/>
        <v>382756</v>
      </c>
      <c r="AF6" s="46">
        <v>17883</v>
      </c>
      <c r="AG6" s="46">
        <v>18381</v>
      </c>
      <c r="AH6" s="46">
        <f t="shared" si="6"/>
        <v>36264</v>
      </c>
      <c r="AI6" s="46">
        <v>37511</v>
      </c>
      <c r="AJ6" s="46">
        <v>37893</v>
      </c>
      <c r="AK6" s="46">
        <f t="shared" si="7"/>
        <v>75404</v>
      </c>
      <c r="AL6" s="46">
        <v>93470</v>
      </c>
      <c r="AM6" s="46">
        <v>90464</v>
      </c>
      <c r="AN6" s="46">
        <f t="shared" si="8"/>
        <v>183934</v>
      </c>
      <c r="AO6" s="46">
        <v>7656</v>
      </c>
      <c r="AP6" s="46">
        <v>7191</v>
      </c>
      <c r="AQ6" s="46">
        <f t="shared" si="9"/>
        <v>14847</v>
      </c>
      <c r="AR6" s="46">
        <v>15255</v>
      </c>
      <c r="AS6" s="46">
        <v>14072</v>
      </c>
      <c r="AT6" s="46">
        <f t="shared" si="10"/>
        <v>29327</v>
      </c>
      <c r="AU6" s="46">
        <v>17722</v>
      </c>
      <c r="AV6" s="46">
        <v>16531</v>
      </c>
      <c r="AW6" s="46">
        <f t="shared" si="11"/>
        <v>34253</v>
      </c>
      <c r="AX6" s="46">
        <v>1889</v>
      </c>
      <c r="AY6" s="46">
        <v>1770</v>
      </c>
      <c r="AZ6" s="46">
        <f t="shared" si="12"/>
        <v>3659</v>
      </c>
      <c r="BA6" s="46">
        <v>4510</v>
      </c>
      <c r="BB6" s="46">
        <v>3957</v>
      </c>
      <c r="BC6" s="46">
        <f t="shared" si="13"/>
        <v>8467</v>
      </c>
      <c r="BD6" s="46">
        <f t="shared" si="14"/>
        <v>111192</v>
      </c>
      <c r="BE6" s="46">
        <f t="shared" si="14"/>
        <v>106995</v>
      </c>
      <c r="BF6" s="46">
        <f t="shared" si="15"/>
        <v>218187</v>
      </c>
      <c r="BG6" s="46">
        <f t="shared" si="16"/>
        <v>9545</v>
      </c>
      <c r="BH6" s="46">
        <f t="shared" si="16"/>
        <v>8961</v>
      </c>
      <c r="BI6" s="46">
        <f t="shared" si="17"/>
        <v>18506</v>
      </c>
      <c r="BJ6" s="46">
        <f t="shared" si="18"/>
        <v>19765</v>
      </c>
      <c r="BK6" s="46">
        <f t="shared" si="18"/>
        <v>18029</v>
      </c>
      <c r="BL6" s="46">
        <f t="shared" si="19"/>
        <v>37794</v>
      </c>
      <c r="BM6" s="46">
        <f t="shared" si="20"/>
        <v>58.92</v>
      </c>
      <c r="BN6" s="46">
        <f t="shared" si="21"/>
        <v>55.14</v>
      </c>
      <c r="BO6" s="46">
        <f t="shared" si="22"/>
        <v>57</v>
      </c>
      <c r="BP6" s="46">
        <f t="shared" si="23"/>
        <v>53.37</v>
      </c>
      <c r="BQ6" s="46">
        <f t="shared" si="24"/>
        <v>48.75</v>
      </c>
      <c r="BR6" s="46">
        <f t="shared" si="25"/>
        <v>51.03</v>
      </c>
      <c r="BS6" s="46">
        <f t="shared" si="26"/>
        <v>52.69</v>
      </c>
      <c r="BT6" s="46">
        <f t="shared" si="27"/>
        <v>47.58</v>
      </c>
      <c r="BU6" s="46">
        <f t="shared" si="28"/>
        <v>50.12</v>
      </c>
      <c r="BV6" s="46">
        <v>0</v>
      </c>
      <c r="BW6" s="46">
        <v>0</v>
      </c>
      <c r="BX6" s="46">
        <f t="shared" si="29"/>
        <v>0</v>
      </c>
      <c r="BY6" s="46">
        <v>0</v>
      </c>
      <c r="BZ6" s="46">
        <v>0</v>
      </c>
      <c r="CA6" s="46">
        <f t="shared" si="30"/>
        <v>0</v>
      </c>
      <c r="CB6" s="46">
        <v>0</v>
      </c>
      <c r="CC6" s="46">
        <v>0</v>
      </c>
      <c r="CD6" s="46">
        <f t="shared" si="31"/>
        <v>0</v>
      </c>
      <c r="CE6" s="46">
        <v>0</v>
      </c>
      <c r="CF6" s="46">
        <v>0</v>
      </c>
      <c r="CG6" s="46">
        <f t="shared" si="32"/>
        <v>0</v>
      </c>
      <c r="CH6" s="46">
        <v>0</v>
      </c>
      <c r="CI6" s="46">
        <v>0</v>
      </c>
      <c r="CJ6" s="46">
        <f t="shared" si="33"/>
        <v>0</v>
      </c>
      <c r="CK6" s="46">
        <v>0</v>
      </c>
      <c r="CL6" s="46">
        <v>0</v>
      </c>
      <c r="CM6" s="46">
        <f t="shared" si="34"/>
        <v>0</v>
      </c>
      <c r="CN6" s="46">
        <v>0</v>
      </c>
      <c r="CO6" s="46">
        <v>0</v>
      </c>
      <c r="CP6" s="46">
        <f t="shared" si="35"/>
        <v>0</v>
      </c>
      <c r="CQ6" s="46">
        <v>0</v>
      </c>
      <c r="CR6" s="46">
        <v>0</v>
      </c>
      <c r="CS6" s="46">
        <f t="shared" si="36"/>
        <v>0</v>
      </c>
      <c r="CT6" s="46">
        <v>0</v>
      </c>
      <c r="CU6" s="46">
        <v>0</v>
      </c>
      <c r="CV6" s="46">
        <f t="shared" si="37"/>
        <v>0</v>
      </c>
      <c r="CW6" s="46">
        <f t="shared" si="38"/>
        <v>0</v>
      </c>
      <c r="CX6" s="46">
        <f t="shared" si="38"/>
        <v>0</v>
      </c>
      <c r="CY6" s="46">
        <f t="shared" si="39"/>
        <v>0</v>
      </c>
      <c r="CZ6" s="46">
        <f t="shared" si="40"/>
        <v>0</v>
      </c>
      <c r="DA6" s="46">
        <f t="shared" si="40"/>
        <v>0</v>
      </c>
      <c r="DB6" s="46">
        <f t="shared" si="41"/>
        <v>0</v>
      </c>
      <c r="DC6" s="46">
        <f t="shared" si="42"/>
        <v>0</v>
      </c>
      <c r="DD6" s="46">
        <f t="shared" si="42"/>
        <v>0</v>
      </c>
      <c r="DE6" s="46">
        <f t="shared" si="43"/>
        <v>0</v>
      </c>
      <c r="DF6" s="46" t="e">
        <f t="shared" si="44"/>
        <v>#DIV/0!</v>
      </c>
      <c r="DG6" s="46" t="e">
        <f t="shared" si="45"/>
        <v>#DIV/0!</v>
      </c>
      <c r="DH6" s="46" t="e">
        <f t="shared" si="46"/>
        <v>#DIV/0!</v>
      </c>
      <c r="DI6" s="46" t="e">
        <f t="shared" si="47"/>
        <v>#DIV/0!</v>
      </c>
      <c r="DJ6" s="46" t="e">
        <f t="shared" si="48"/>
        <v>#DIV/0!</v>
      </c>
      <c r="DK6" s="46" t="e">
        <f t="shared" si="49"/>
        <v>#DIV/0!</v>
      </c>
      <c r="DL6" s="46" t="e">
        <f t="shared" si="50"/>
        <v>#DIV/0!</v>
      </c>
      <c r="DM6" s="46" t="e">
        <f t="shared" si="51"/>
        <v>#DIV/0!</v>
      </c>
      <c r="DN6" s="46" t="e">
        <f t="shared" si="52"/>
        <v>#DIV/0!</v>
      </c>
      <c r="DO6" s="46">
        <v>25995</v>
      </c>
      <c r="DP6" s="46">
        <v>30514</v>
      </c>
      <c r="DQ6" s="46">
        <f t="shared" si="53"/>
        <v>56509</v>
      </c>
      <c r="DR6" s="46">
        <v>1922</v>
      </c>
      <c r="DS6" s="46">
        <v>1726</v>
      </c>
      <c r="DT6" s="46">
        <f t="shared" si="54"/>
        <v>3648</v>
      </c>
      <c r="DU6" s="46">
        <v>3797</v>
      </c>
      <c r="DV6" s="46">
        <v>3250</v>
      </c>
      <c r="DW6" s="46">
        <f t="shared" si="55"/>
        <v>7047</v>
      </c>
      <c r="DX6" s="46">
        <v>74372</v>
      </c>
      <c r="DY6" s="46">
        <v>87306</v>
      </c>
      <c r="DZ6" s="46">
        <f t="shared" si="56"/>
        <v>161678</v>
      </c>
      <c r="EA6" s="46">
        <v>7624</v>
      </c>
      <c r="EB6" s="46">
        <v>7235</v>
      </c>
      <c r="EC6" s="46">
        <f t="shared" si="57"/>
        <v>14859</v>
      </c>
      <c r="ED6" s="46">
        <v>15968</v>
      </c>
      <c r="EE6" s="46">
        <v>14779</v>
      </c>
      <c r="EF6" s="46">
        <f t="shared" si="58"/>
        <v>30747</v>
      </c>
      <c r="EG6" s="46">
        <f t="shared" si="59"/>
        <v>0</v>
      </c>
      <c r="EH6" s="46">
        <f t="shared" si="60"/>
        <v>-34244</v>
      </c>
      <c r="EI6" s="46">
        <f t="shared" si="61"/>
        <v>0</v>
      </c>
      <c r="EJ6" s="46">
        <f t="shared" si="62"/>
        <v>1</v>
      </c>
      <c r="EK6" s="46">
        <f t="shared" si="63"/>
        <v>0</v>
      </c>
      <c r="EL6" s="3"/>
    </row>
    <row r="7" spans="1:142" s="34" customFormat="1">
      <c r="A7" s="51"/>
      <c r="B7" s="43" t="s">
        <v>86</v>
      </c>
      <c r="C7" s="48" t="s">
        <v>87</v>
      </c>
      <c r="D7" s="64">
        <v>42803</v>
      </c>
      <c r="E7" s="64">
        <v>42835</v>
      </c>
      <c r="F7" s="64">
        <v>42933</v>
      </c>
      <c r="G7" s="64">
        <v>42940</v>
      </c>
      <c r="H7" s="46">
        <v>1821</v>
      </c>
      <c r="I7" s="46">
        <v>228</v>
      </c>
      <c r="J7" s="46">
        <v>12617</v>
      </c>
      <c r="K7" s="2">
        <f t="shared" si="0"/>
        <v>14666</v>
      </c>
      <c r="L7" s="46">
        <v>274381</v>
      </c>
      <c r="M7" s="46">
        <v>18915</v>
      </c>
      <c r="N7" s="46">
        <v>1222290</v>
      </c>
      <c r="O7" s="2">
        <f t="shared" si="1"/>
        <v>1515586</v>
      </c>
      <c r="P7" s="46">
        <v>207681</v>
      </c>
      <c r="Q7" s="46">
        <v>18112</v>
      </c>
      <c r="R7" s="46">
        <v>1211350</v>
      </c>
      <c r="S7" s="2">
        <f t="shared" si="2"/>
        <v>1437143</v>
      </c>
      <c r="T7" s="15">
        <f t="shared" si="3"/>
        <v>94.82</v>
      </c>
      <c r="U7" s="46">
        <v>11413</v>
      </c>
      <c r="V7" s="46">
        <v>3498</v>
      </c>
      <c r="W7" s="46">
        <v>790</v>
      </c>
      <c r="X7" s="46">
        <v>304</v>
      </c>
      <c r="Y7" s="46">
        <v>131</v>
      </c>
      <c r="Z7" s="46">
        <v>67</v>
      </c>
      <c r="AA7" s="46">
        <v>145</v>
      </c>
      <c r="AB7" s="47">
        <f t="shared" si="4"/>
        <v>-1682</v>
      </c>
      <c r="AC7" s="46">
        <v>979745</v>
      </c>
      <c r="AD7" s="46">
        <v>671844</v>
      </c>
      <c r="AE7" s="46">
        <f t="shared" si="5"/>
        <v>1651589</v>
      </c>
      <c r="AF7" s="46">
        <v>78213</v>
      </c>
      <c r="AG7" s="46">
        <v>57214</v>
      </c>
      <c r="AH7" s="46">
        <f t="shared" si="6"/>
        <v>135427</v>
      </c>
      <c r="AI7" s="46">
        <v>31927</v>
      </c>
      <c r="AJ7" s="46">
        <v>26341</v>
      </c>
      <c r="AK7" s="2">
        <f t="shared" si="7"/>
        <v>58268</v>
      </c>
      <c r="AL7" s="46">
        <v>919505</v>
      </c>
      <c r="AM7" s="46">
        <v>624862</v>
      </c>
      <c r="AN7" s="46">
        <f t="shared" si="8"/>
        <v>1544367</v>
      </c>
      <c r="AO7" s="46">
        <v>68926</v>
      </c>
      <c r="AP7" s="46">
        <v>49190</v>
      </c>
      <c r="AQ7" s="46">
        <f t="shared" si="9"/>
        <v>118116</v>
      </c>
      <c r="AR7" s="46">
        <v>28422</v>
      </c>
      <c r="AS7" s="46">
        <v>23057</v>
      </c>
      <c r="AT7" s="46">
        <f t="shared" si="10"/>
        <v>51479</v>
      </c>
      <c r="AU7" s="46">
        <v>16903</v>
      </c>
      <c r="AV7" s="46">
        <v>11943</v>
      </c>
      <c r="AW7" s="46">
        <f t="shared" si="11"/>
        <v>28846</v>
      </c>
      <c r="AX7" s="46">
        <v>1670</v>
      </c>
      <c r="AY7" s="46">
        <v>1592</v>
      </c>
      <c r="AZ7" s="2">
        <f t="shared" si="12"/>
        <v>3262</v>
      </c>
      <c r="BA7" s="46">
        <v>1714</v>
      </c>
      <c r="BB7" s="46">
        <v>1738</v>
      </c>
      <c r="BC7" s="46">
        <f t="shared" si="13"/>
        <v>3452</v>
      </c>
      <c r="BD7" s="46">
        <f t="shared" si="14"/>
        <v>936408</v>
      </c>
      <c r="BE7" s="46">
        <f t="shared" si="14"/>
        <v>636805</v>
      </c>
      <c r="BF7" s="46">
        <f t="shared" si="15"/>
        <v>1573213</v>
      </c>
      <c r="BG7" s="46">
        <f t="shared" si="16"/>
        <v>70596</v>
      </c>
      <c r="BH7" s="46">
        <f t="shared" si="16"/>
        <v>50782</v>
      </c>
      <c r="BI7" s="46">
        <f t="shared" si="17"/>
        <v>121378</v>
      </c>
      <c r="BJ7" s="46">
        <f t="shared" si="18"/>
        <v>30136</v>
      </c>
      <c r="BK7" s="46">
        <f t="shared" si="18"/>
        <v>24795</v>
      </c>
      <c r="BL7" s="46">
        <f t="shared" si="19"/>
        <v>54931</v>
      </c>
      <c r="BM7" s="46">
        <f t="shared" si="20"/>
        <v>95.58</v>
      </c>
      <c r="BN7" s="46">
        <f t="shared" si="21"/>
        <v>94.78</v>
      </c>
      <c r="BO7" s="46">
        <f t="shared" si="22"/>
        <v>95.25</v>
      </c>
      <c r="BP7" s="46">
        <f t="shared" si="23"/>
        <v>90.26</v>
      </c>
      <c r="BQ7" s="46">
        <f t="shared" si="24"/>
        <v>88.76</v>
      </c>
      <c r="BR7" s="46">
        <f t="shared" si="25"/>
        <v>89.63</v>
      </c>
      <c r="BS7" s="46">
        <f t="shared" si="26"/>
        <v>94.39</v>
      </c>
      <c r="BT7" s="46">
        <f t="shared" si="27"/>
        <v>94.13</v>
      </c>
      <c r="BU7" s="46">
        <f t="shared" si="28"/>
        <v>94.27</v>
      </c>
      <c r="BV7" s="46">
        <v>0</v>
      </c>
      <c r="BW7" s="46">
        <v>0</v>
      </c>
      <c r="BX7" s="46">
        <f t="shared" si="29"/>
        <v>0</v>
      </c>
      <c r="BY7" s="46">
        <v>0</v>
      </c>
      <c r="BZ7" s="46">
        <v>0</v>
      </c>
      <c r="CA7" s="2">
        <f t="shared" si="30"/>
        <v>0</v>
      </c>
      <c r="CB7" s="46">
        <v>0</v>
      </c>
      <c r="CC7" s="46">
        <v>0</v>
      </c>
      <c r="CD7" s="2">
        <f t="shared" si="31"/>
        <v>0</v>
      </c>
      <c r="CE7" s="46">
        <v>0</v>
      </c>
      <c r="CF7" s="46">
        <v>0</v>
      </c>
      <c r="CG7" s="46">
        <f t="shared" si="32"/>
        <v>0</v>
      </c>
      <c r="CH7" s="46">
        <v>0</v>
      </c>
      <c r="CI7" s="46">
        <v>0</v>
      </c>
      <c r="CJ7" s="2">
        <f t="shared" si="33"/>
        <v>0</v>
      </c>
      <c r="CK7" s="46">
        <v>0</v>
      </c>
      <c r="CL7" s="46">
        <v>0</v>
      </c>
      <c r="CM7" s="2">
        <f t="shared" si="34"/>
        <v>0</v>
      </c>
      <c r="CN7" s="46">
        <v>0</v>
      </c>
      <c r="CO7" s="46">
        <v>0</v>
      </c>
      <c r="CP7" s="2">
        <f t="shared" si="35"/>
        <v>0</v>
      </c>
      <c r="CQ7" s="46">
        <v>0</v>
      </c>
      <c r="CR7" s="46">
        <v>0</v>
      </c>
      <c r="CS7" s="2">
        <f t="shared" si="36"/>
        <v>0</v>
      </c>
      <c r="CT7" s="46">
        <v>0</v>
      </c>
      <c r="CU7" s="46">
        <v>0</v>
      </c>
      <c r="CV7" s="2">
        <f t="shared" si="37"/>
        <v>0</v>
      </c>
      <c r="CW7" s="46">
        <f t="shared" si="38"/>
        <v>0</v>
      </c>
      <c r="CX7" s="46">
        <f t="shared" si="38"/>
        <v>0</v>
      </c>
      <c r="CY7" s="46">
        <f t="shared" si="39"/>
        <v>0</v>
      </c>
      <c r="CZ7" s="28">
        <f t="shared" si="40"/>
        <v>0</v>
      </c>
      <c r="DA7" s="28">
        <f t="shared" si="40"/>
        <v>0</v>
      </c>
      <c r="DB7" s="2">
        <f t="shared" si="41"/>
        <v>0</v>
      </c>
      <c r="DC7" s="28">
        <f t="shared" si="42"/>
        <v>0</v>
      </c>
      <c r="DD7" s="28">
        <f t="shared" si="42"/>
        <v>0</v>
      </c>
      <c r="DE7" s="2">
        <f t="shared" si="43"/>
        <v>0</v>
      </c>
      <c r="DF7" s="46" t="e">
        <f t="shared" si="44"/>
        <v>#DIV/0!</v>
      </c>
      <c r="DG7" s="46" t="e">
        <f t="shared" si="45"/>
        <v>#DIV/0!</v>
      </c>
      <c r="DH7" s="46" t="e">
        <f t="shared" si="46"/>
        <v>#DIV/0!</v>
      </c>
      <c r="DI7" s="28" t="e">
        <f t="shared" si="47"/>
        <v>#DIV/0!</v>
      </c>
      <c r="DJ7" s="28" t="e">
        <f t="shared" si="48"/>
        <v>#DIV/0!</v>
      </c>
      <c r="DK7" s="28" t="e">
        <f t="shared" si="49"/>
        <v>#DIV/0!</v>
      </c>
      <c r="DL7" s="28" t="e">
        <f t="shared" si="50"/>
        <v>#DIV/0!</v>
      </c>
      <c r="DM7" s="28" t="e">
        <f t="shared" si="51"/>
        <v>#DIV/0!</v>
      </c>
      <c r="DN7" s="28" t="e">
        <f t="shared" si="52"/>
        <v>#DIV/0!</v>
      </c>
      <c r="DO7" s="46">
        <v>0</v>
      </c>
      <c r="DP7" s="46">
        <v>0</v>
      </c>
      <c r="DQ7" s="46">
        <f t="shared" si="53"/>
        <v>0</v>
      </c>
      <c r="DR7" s="46">
        <v>0</v>
      </c>
      <c r="DS7" s="46">
        <v>0</v>
      </c>
      <c r="DT7" s="46">
        <f t="shared" si="54"/>
        <v>0</v>
      </c>
      <c r="DU7" s="46">
        <v>0</v>
      </c>
      <c r="DV7" s="46">
        <v>0</v>
      </c>
      <c r="DW7" s="46">
        <f t="shared" si="55"/>
        <v>0</v>
      </c>
      <c r="DX7" s="46">
        <v>0</v>
      </c>
      <c r="DY7" s="46">
        <v>0</v>
      </c>
      <c r="DZ7" s="2">
        <f t="shared" si="56"/>
        <v>0</v>
      </c>
      <c r="EA7" s="46">
        <v>0</v>
      </c>
      <c r="EB7" s="46">
        <v>0</v>
      </c>
      <c r="EC7" s="2">
        <f t="shared" si="57"/>
        <v>0</v>
      </c>
      <c r="ED7" s="46">
        <v>0</v>
      </c>
      <c r="EE7" s="46">
        <v>0</v>
      </c>
      <c r="EF7" s="2">
        <f t="shared" si="58"/>
        <v>0</v>
      </c>
      <c r="EG7" s="46">
        <f t="shared" si="59"/>
        <v>-136003</v>
      </c>
      <c r="EH7" s="46">
        <f t="shared" si="60"/>
        <v>-136070</v>
      </c>
      <c r="EI7" s="46">
        <f t="shared" si="61"/>
        <v>-1573213</v>
      </c>
      <c r="EJ7" s="46">
        <f t="shared" si="62"/>
        <v>-121378</v>
      </c>
      <c r="EK7" s="46">
        <f t="shared" si="63"/>
        <v>-54931</v>
      </c>
      <c r="EL7" s="3"/>
    </row>
    <row r="8" spans="1:142" s="34" customFormat="1" ht="28.5">
      <c r="A8" s="76">
        <v>3</v>
      </c>
      <c r="B8" s="27" t="s">
        <v>52</v>
      </c>
      <c r="C8" s="27" t="s">
        <v>53</v>
      </c>
      <c r="D8" s="63">
        <v>42838</v>
      </c>
      <c r="E8" s="63">
        <v>42856</v>
      </c>
      <c r="F8" s="62" t="s">
        <v>101</v>
      </c>
      <c r="G8" s="62" t="s">
        <v>101</v>
      </c>
      <c r="H8" s="6">
        <v>0</v>
      </c>
      <c r="I8" s="6">
        <v>0</v>
      </c>
      <c r="J8" s="6">
        <v>0</v>
      </c>
      <c r="K8" s="2">
        <f t="shared" si="0"/>
        <v>0</v>
      </c>
      <c r="L8" s="6">
        <v>0</v>
      </c>
      <c r="M8" s="6">
        <v>0</v>
      </c>
      <c r="N8" s="6">
        <v>0</v>
      </c>
      <c r="O8" s="2">
        <f t="shared" si="1"/>
        <v>0</v>
      </c>
      <c r="P8" s="6">
        <v>0</v>
      </c>
      <c r="Q8" s="6">
        <v>0</v>
      </c>
      <c r="R8" s="6">
        <v>0</v>
      </c>
      <c r="S8" s="2">
        <f t="shared" si="2"/>
        <v>0</v>
      </c>
      <c r="T8" s="15" t="e">
        <f t="shared" si="3"/>
        <v>#DIV/0!</v>
      </c>
      <c r="U8" s="6"/>
      <c r="V8" s="6"/>
      <c r="W8" s="6"/>
      <c r="X8" s="6"/>
      <c r="Y8" s="6"/>
      <c r="Z8" s="6"/>
      <c r="AA8" s="6"/>
      <c r="AB8" s="29">
        <f t="shared" si="4"/>
        <v>0</v>
      </c>
      <c r="AC8" s="30">
        <v>22</v>
      </c>
      <c r="AD8" s="30">
        <v>232</v>
      </c>
      <c r="AE8" s="2">
        <f t="shared" si="5"/>
        <v>254</v>
      </c>
      <c r="AF8" s="31">
        <v>1</v>
      </c>
      <c r="AG8" s="31">
        <v>4</v>
      </c>
      <c r="AH8" s="2">
        <f t="shared" si="6"/>
        <v>5</v>
      </c>
      <c r="AI8" s="31">
        <v>0</v>
      </c>
      <c r="AJ8" s="31">
        <v>9</v>
      </c>
      <c r="AK8" s="2">
        <f t="shared" si="7"/>
        <v>9</v>
      </c>
      <c r="AL8" s="30">
        <v>22</v>
      </c>
      <c r="AM8" s="30">
        <v>230</v>
      </c>
      <c r="AN8" s="2">
        <f t="shared" si="8"/>
        <v>252</v>
      </c>
      <c r="AO8" s="31">
        <v>1</v>
      </c>
      <c r="AP8" s="31">
        <v>4</v>
      </c>
      <c r="AQ8" s="2">
        <f t="shared" si="9"/>
        <v>5</v>
      </c>
      <c r="AR8" s="31">
        <v>0</v>
      </c>
      <c r="AS8" s="31">
        <v>9</v>
      </c>
      <c r="AT8" s="2">
        <f t="shared" si="10"/>
        <v>9</v>
      </c>
      <c r="AU8" s="31">
        <v>0</v>
      </c>
      <c r="AV8" s="31">
        <v>0</v>
      </c>
      <c r="AW8" s="2">
        <f t="shared" si="11"/>
        <v>0</v>
      </c>
      <c r="AX8" s="31">
        <v>0</v>
      </c>
      <c r="AY8" s="31">
        <v>0</v>
      </c>
      <c r="AZ8" s="2">
        <f t="shared" si="12"/>
        <v>0</v>
      </c>
      <c r="BA8" s="31">
        <v>0</v>
      </c>
      <c r="BB8" s="31">
        <v>0</v>
      </c>
      <c r="BC8" s="2">
        <f t="shared" si="13"/>
        <v>0</v>
      </c>
      <c r="BD8" s="28">
        <f t="shared" si="14"/>
        <v>22</v>
      </c>
      <c r="BE8" s="28">
        <f t="shared" si="14"/>
        <v>230</v>
      </c>
      <c r="BF8" s="2">
        <f t="shared" si="15"/>
        <v>252</v>
      </c>
      <c r="BG8" s="28">
        <f t="shared" si="16"/>
        <v>1</v>
      </c>
      <c r="BH8" s="28">
        <f t="shared" si="16"/>
        <v>4</v>
      </c>
      <c r="BI8" s="2">
        <f t="shared" si="17"/>
        <v>5</v>
      </c>
      <c r="BJ8" s="28">
        <f t="shared" si="18"/>
        <v>0</v>
      </c>
      <c r="BK8" s="28">
        <f t="shared" si="18"/>
        <v>9</v>
      </c>
      <c r="BL8" s="2">
        <f t="shared" si="19"/>
        <v>9</v>
      </c>
      <c r="BM8" s="28">
        <f t="shared" si="20"/>
        <v>100</v>
      </c>
      <c r="BN8" s="28">
        <f t="shared" si="21"/>
        <v>99.14</v>
      </c>
      <c r="BO8" s="28">
        <f t="shared" si="22"/>
        <v>99.21</v>
      </c>
      <c r="BP8" s="28">
        <f t="shared" si="23"/>
        <v>100</v>
      </c>
      <c r="BQ8" s="28">
        <f t="shared" si="24"/>
        <v>100</v>
      </c>
      <c r="BR8" s="28">
        <f t="shared" si="25"/>
        <v>100</v>
      </c>
      <c r="BS8" s="28" t="e">
        <f t="shared" si="26"/>
        <v>#DIV/0!</v>
      </c>
      <c r="BT8" s="28">
        <f t="shared" si="27"/>
        <v>100</v>
      </c>
      <c r="BU8" s="28">
        <f t="shared" si="28"/>
        <v>100</v>
      </c>
      <c r="BV8" s="30"/>
      <c r="BW8" s="30"/>
      <c r="BX8" s="2">
        <f t="shared" si="29"/>
        <v>0</v>
      </c>
      <c r="BY8" s="31">
        <v>0</v>
      </c>
      <c r="BZ8" s="31">
        <v>0</v>
      </c>
      <c r="CA8" s="2">
        <f t="shared" si="30"/>
        <v>0</v>
      </c>
      <c r="CB8" s="31">
        <v>0</v>
      </c>
      <c r="CC8" s="31">
        <v>0</v>
      </c>
      <c r="CD8" s="2">
        <f t="shared" si="31"/>
        <v>0</v>
      </c>
      <c r="CE8" s="30">
        <v>0</v>
      </c>
      <c r="CF8" s="30">
        <v>0</v>
      </c>
      <c r="CG8" s="2">
        <f t="shared" si="32"/>
        <v>0</v>
      </c>
      <c r="CH8" s="31">
        <v>0</v>
      </c>
      <c r="CI8" s="31">
        <v>0</v>
      </c>
      <c r="CJ8" s="2">
        <f t="shared" si="33"/>
        <v>0</v>
      </c>
      <c r="CK8" s="31">
        <v>0</v>
      </c>
      <c r="CL8" s="31">
        <v>0</v>
      </c>
      <c r="CM8" s="2">
        <f t="shared" si="34"/>
        <v>0</v>
      </c>
      <c r="CN8" s="31">
        <v>0</v>
      </c>
      <c r="CO8" s="31">
        <v>0</v>
      </c>
      <c r="CP8" s="2">
        <f t="shared" si="35"/>
        <v>0</v>
      </c>
      <c r="CQ8" s="33">
        <v>0</v>
      </c>
      <c r="CR8" s="33">
        <v>0</v>
      </c>
      <c r="CS8" s="2">
        <f t="shared" si="36"/>
        <v>0</v>
      </c>
      <c r="CT8" s="33">
        <v>0</v>
      </c>
      <c r="CU8" s="33">
        <v>0</v>
      </c>
      <c r="CV8" s="2">
        <f t="shared" si="37"/>
        <v>0</v>
      </c>
      <c r="CW8" s="28">
        <f t="shared" si="38"/>
        <v>0</v>
      </c>
      <c r="CX8" s="28">
        <f t="shared" si="38"/>
        <v>0</v>
      </c>
      <c r="CY8" s="2">
        <f t="shared" si="39"/>
        <v>0</v>
      </c>
      <c r="CZ8" s="28">
        <f t="shared" si="40"/>
        <v>0</v>
      </c>
      <c r="DA8" s="28">
        <f t="shared" si="40"/>
        <v>0</v>
      </c>
      <c r="DB8" s="2">
        <f t="shared" si="41"/>
        <v>0</v>
      </c>
      <c r="DC8" s="28">
        <f t="shared" si="42"/>
        <v>0</v>
      </c>
      <c r="DD8" s="28">
        <f t="shared" si="42"/>
        <v>0</v>
      </c>
      <c r="DE8" s="2">
        <f t="shared" si="43"/>
        <v>0</v>
      </c>
      <c r="DF8" s="28" t="e">
        <f t="shared" si="44"/>
        <v>#DIV/0!</v>
      </c>
      <c r="DG8" s="28" t="e">
        <f t="shared" si="45"/>
        <v>#DIV/0!</v>
      </c>
      <c r="DH8" s="28" t="e">
        <f t="shared" si="46"/>
        <v>#DIV/0!</v>
      </c>
      <c r="DI8" s="28" t="e">
        <f t="shared" si="47"/>
        <v>#DIV/0!</v>
      </c>
      <c r="DJ8" s="28" t="e">
        <f t="shared" si="48"/>
        <v>#DIV/0!</v>
      </c>
      <c r="DK8" s="28" t="e">
        <f t="shared" si="49"/>
        <v>#DIV/0!</v>
      </c>
      <c r="DL8" s="28" t="e">
        <f t="shared" si="50"/>
        <v>#DIV/0!</v>
      </c>
      <c r="DM8" s="28" t="e">
        <f t="shared" si="51"/>
        <v>#DIV/0!</v>
      </c>
      <c r="DN8" s="28" t="e">
        <f t="shared" si="52"/>
        <v>#DIV/0!</v>
      </c>
      <c r="DO8" s="32">
        <v>16</v>
      </c>
      <c r="DP8" s="32">
        <v>189</v>
      </c>
      <c r="DQ8" s="2">
        <f t="shared" si="53"/>
        <v>205</v>
      </c>
      <c r="DR8" s="32">
        <v>1</v>
      </c>
      <c r="DS8" s="32">
        <v>3</v>
      </c>
      <c r="DT8" s="2">
        <f t="shared" si="54"/>
        <v>4</v>
      </c>
      <c r="DU8" s="32">
        <v>0</v>
      </c>
      <c r="DV8" s="32">
        <v>3</v>
      </c>
      <c r="DW8" s="2">
        <f t="shared" si="55"/>
        <v>3</v>
      </c>
      <c r="DX8" s="32">
        <v>6</v>
      </c>
      <c r="DY8" s="32">
        <v>41</v>
      </c>
      <c r="DZ8" s="2">
        <f t="shared" si="56"/>
        <v>47</v>
      </c>
      <c r="EA8" s="32">
        <v>0</v>
      </c>
      <c r="EB8" s="32">
        <v>1</v>
      </c>
      <c r="EC8" s="2">
        <f t="shared" si="57"/>
        <v>1</v>
      </c>
      <c r="ED8" s="32">
        <v>0</v>
      </c>
      <c r="EE8" s="32">
        <v>6</v>
      </c>
      <c r="EF8" s="2">
        <f t="shared" si="58"/>
        <v>6</v>
      </c>
      <c r="EG8" s="4">
        <f t="shared" si="59"/>
        <v>-254</v>
      </c>
      <c r="EH8" s="4">
        <f t="shared" si="60"/>
        <v>-252</v>
      </c>
      <c r="EI8" s="4">
        <f t="shared" si="61"/>
        <v>0</v>
      </c>
      <c r="EJ8" s="4">
        <f t="shared" si="62"/>
        <v>0</v>
      </c>
      <c r="EK8" s="4">
        <f t="shared" si="63"/>
        <v>0</v>
      </c>
    </row>
    <row r="9" spans="1:142" s="34" customFormat="1" ht="30">
      <c r="A9" s="51">
        <v>41</v>
      </c>
      <c r="B9" s="48" t="s">
        <v>126</v>
      </c>
      <c r="C9" s="46" t="s">
        <v>127</v>
      </c>
      <c r="D9" s="64">
        <v>42814</v>
      </c>
      <c r="E9" s="64">
        <v>42824</v>
      </c>
      <c r="F9" s="64">
        <v>42944</v>
      </c>
      <c r="G9" s="64">
        <v>42952</v>
      </c>
      <c r="H9" s="46"/>
      <c r="I9" s="46"/>
      <c r="J9" s="46"/>
      <c r="K9" s="46">
        <f t="shared" si="0"/>
        <v>0</v>
      </c>
      <c r="L9" s="46"/>
      <c r="M9" s="46">
        <v>162</v>
      </c>
      <c r="N9" s="46">
        <v>80</v>
      </c>
      <c r="O9" s="46">
        <f t="shared" si="1"/>
        <v>242</v>
      </c>
      <c r="P9" s="46"/>
      <c r="Q9" s="46">
        <v>159</v>
      </c>
      <c r="R9" s="46">
        <v>77</v>
      </c>
      <c r="S9" s="46">
        <f t="shared" si="2"/>
        <v>236</v>
      </c>
      <c r="T9" s="46">
        <f t="shared" si="3"/>
        <v>97.52</v>
      </c>
      <c r="U9" s="46">
        <v>5059</v>
      </c>
      <c r="V9" s="46">
        <v>4841</v>
      </c>
      <c r="W9" s="46">
        <v>1506</v>
      </c>
      <c r="X9" s="46">
        <v>489</v>
      </c>
      <c r="Y9" s="46">
        <v>182</v>
      </c>
      <c r="Z9" s="46">
        <v>69</v>
      </c>
      <c r="AA9" s="46">
        <v>42</v>
      </c>
      <c r="AB9" s="47">
        <f t="shared" si="4"/>
        <v>-12188</v>
      </c>
      <c r="AC9" s="46">
        <v>125</v>
      </c>
      <c r="AD9" s="46">
        <v>117</v>
      </c>
      <c r="AE9" s="46">
        <f t="shared" si="5"/>
        <v>242</v>
      </c>
      <c r="AF9" s="46">
        <v>20</v>
      </c>
      <c r="AG9" s="46">
        <v>20</v>
      </c>
      <c r="AH9" s="46">
        <f t="shared" si="6"/>
        <v>40</v>
      </c>
      <c r="AI9" s="46">
        <v>13</v>
      </c>
      <c r="AJ9" s="46">
        <v>20</v>
      </c>
      <c r="AK9" s="46">
        <f t="shared" si="7"/>
        <v>33</v>
      </c>
      <c r="AL9" s="46">
        <v>120</v>
      </c>
      <c r="AM9" s="46">
        <v>110</v>
      </c>
      <c r="AN9" s="46">
        <f t="shared" si="8"/>
        <v>230</v>
      </c>
      <c r="AO9" s="46">
        <v>19</v>
      </c>
      <c r="AP9" s="46">
        <v>17</v>
      </c>
      <c r="AQ9" s="46">
        <f t="shared" si="9"/>
        <v>36</v>
      </c>
      <c r="AR9" s="46">
        <v>12</v>
      </c>
      <c r="AS9" s="46">
        <v>19</v>
      </c>
      <c r="AT9" s="46">
        <f t="shared" si="10"/>
        <v>31</v>
      </c>
      <c r="AU9" s="46">
        <v>2</v>
      </c>
      <c r="AV9" s="46">
        <v>4</v>
      </c>
      <c r="AW9" s="46">
        <f t="shared" si="11"/>
        <v>6</v>
      </c>
      <c r="AX9" s="46">
        <v>1</v>
      </c>
      <c r="AY9" s="46">
        <v>1</v>
      </c>
      <c r="AZ9" s="46">
        <f t="shared" si="12"/>
        <v>2</v>
      </c>
      <c r="BA9" s="46"/>
      <c r="BB9" s="46"/>
      <c r="BC9" s="46">
        <f t="shared" si="13"/>
        <v>0</v>
      </c>
      <c r="BD9" s="46">
        <v>122</v>
      </c>
      <c r="BE9" s="46">
        <v>114</v>
      </c>
      <c r="BF9" s="46">
        <f t="shared" si="15"/>
        <v>236</v>
      </c>
      <c r="BG9" s="46">
        <v>20</v>
      </c>
      <c r="BH9" s="46">
        <v>18</v>
      </c>
      <c r="BI9" s="46">
        <f t="shared" si="17"/>
        <v>38</v>
      </c>
      <c r="BJ9" s="46">
        <v>12</v>
      </c>
      <c r="BK9" s="46">
        <v>19</v>
      </c>
      <c r="BL9" s="46">
        <f t="shared" si="19"/>
        <v>31</v>
      </c>
      <c r="BM9" s="46">
        <f t="shared" si="20"/>
        <v>97.6</v>
      </c>
      <c r="BN9" s="46">
        <f t="shared" si="21"/>
        <v>97.44</v>
      </c>
      <c r="BO9" s="46">
        <f t="shared" si="22"/>
        <v>97.52</v>
      </c>
      <c r="BP9" s="46">
        <f t="shared" si="23"/>
        <v>100</v>
      </c>
      <c r="BQ9" s="46">
        <f t="shared" si="24"/>
        <v>90</v>
      </c>
      <c r="BR9" s="46">
        <f t="shared" si="25"/>
        <v>95</v>
      </c>
      <c r="BS9" s="46">
        <f t="shared" si="26"/>
        <v>92.31</v>
      </c>
      <c r="BT9" s="46">
        <f t="shared" si="27"/>
        <v>95</v>
      </c>
      <c r="BU9" s="46">
        <f t="shared" si="28"/>
        <v>93.94</v>
      </c>
      <c r="BV9" s="46">
        <v>0</v>
      </c>
      <c r="BW9" s="46">
        <v>0</v>
      </c>
      <c r="BX9" s="46">
        <f t="shared" si="29"/>
        <v>0</v>
      </c>
      <c r="BY9" s="46">
        <v>0</v>
      </c>
      <c r="BZ9" s="46">
        <v>0</v>
      </c>
      <c r="CA9" s="46">
        <f t="shared" si="30"/>
        <v>0</v>
      </c>
      <c r="CB9" s="46">
        <v>0</v>
      </c>
      <c r="CC9" s="46">
        <v>0</v>
      </c>
      <c r="CD9" s="46">
        <f t="shared" si="31"/>
        <v>0</v>
      </c>
      <c r="CE9" s="46">
        <v>0</v>
      </c>
      <c r="CF9" s="46">
        <v>0</v>
      </c>
      <c r="CG9" s="46">
        <f t="shared" si="32"/>
        <v>0</v>
      </c>
      <c r="CH9" s="46">
        <v>0</v>
      </c>
      <c r="CI9" s="46">
        <v>0</v>
      </c>
      <c r="CJ9" s="46">
        <f t="shared" si="33"/>
        <v>0</v>
      </c>
      <c r="CK9" s="46">
        <v>0</v>
      </c>
      <c r="CL9" s="46">
        <v>0</v>
      </c>
      <c r="CM9" s="46">
        <f t="shared" si="34"/>
        <v>0</v>
      </c>
      <c r="CN9" s="46">
        <v>0</v>
      </c>
      <c r="CO9" s="46">
        <v>0</v>
      </c>
      <c r="CP9" s="46">
        <f t="shared" si="35"/>
        <v>0</v>
      </c>
      <c r="CQ9" s="46">
        <v>0</v>
      </c>
      <c r="CR9" s="46">
        <v>0</v>
      </c>
      <c r="CS9" s="46">
        <f t="shared" si="36"/>
        <v>0</v>
      </c>
      <c r="CT9" s="46">
        <v>0</v>
      </c>
      <c r="CU9" s="46">
        <v>0</v>
      </c>
      <c r="CV9" s="46">
        <f t="shared" si="37"/>
        <v>0</v>
      </c>
      <c r="CW9" s="46">
        <v>0</v>
      </c>
      <c r="CX9" s="46">
        <v>0</v>
      </c>
      <c r="CY9" s="46">
        <f t="shared" si="39"/>
        <v>0</v>
      </c>
      <c r="CZ9" s="46">
        <v>0</v>
      </c>
      <c r="DA9" s="46">
        <v>0</v>
      </c>
      <c r="DB9" s="46">
        <f t="shared" si="41"/>
        <v>0</v>
      </c>
      <c r="DC9" s="46">
        <v>0</v>
      </c>
      <c r="DD9" s="46">
        <v>0</v>
      </c>
      <c r="DE9" s="46">
        <f t="shared" si="43"/>
        <v>0</v>
      </c>
      <c r="DF9" s="46" t="e">
        <f t="shared" si="44"/>
        <v>#DIV/0!</v>
      </c>
      <c r="DG9" s="46" t="e">
        <f t="shared" si="45"/>
        <v>#DIV/0!</v>
      </c>
      <c r="DH9" s="46" t="e">
        <f t="shared" si="46"/>
        <v>#DIV/0!</v>
      </c>
      <c r="DI9" s="46" t="e">
        <f t="shared" si="47"/>
        <v>#DIV/0!</v>
      </c>
      <c r="DJ9" s="46" t="e">
        <f t="shared" si="48"/>
        <v>#DIV/0!</v>
      </c>
      <c r="DK9" s="46" t="e">
        <f t="shared" si="49"/>
        <v>#DIV/0!</v>
      </c>
      <c r="DL9" s="46" t="e">
        <f t="shared" si="50"/>
        <v>#DIV/0!</v>
      </c>
      <c r="DM9" s="46" t="e">
        <f t="shared" si="51"/>
        <v>#DIV/0!</v>
      </c>
      <c r="DN9" s="46" t="e">
        <f t="shared" si="52"/>
        <v>#DIV/0!</v>
      </c>
      <c r="DO9" s="46">
        <v>93</v>
      </c>
      <c r="DP9" s="46">
        <v>94</v>
      </c>
      <c r="DQ9" s="46">
        <f t="shared" si="53"/>
        <v>187</v>
      </c>
      <c r="DR9" s="46">
        <v>15</v>
      </c>
      <c r="DS9" s="46">
        <v>12</v>
      </c>
      <c r="DT9" s="46">
        <f t="shared" si="54"/>
        <v>27</v>
      </c>
      <c r="DU9" s="46">
        <v>9</v>
      </c>
      <c r="DV9" s="46">
        <v>13</v>
      </c>
      <c r="DW9" s="46">
        <f t="shared" si="55"/>
        <v>22</v>
      </c>
      <c r="DX9" s="46">
        <v>29</v>
      </c>
      <c r="DY9" s="46">
        <v>20</v>
      </c>
      <c r="DZ9" s="46">
        <f t="shared" si="56"/>
        <v>49</v>
      </c>
      <c r="EA9" s="46">
        <v>5</v>
      </c>
      <c r="EB9" s="46">
        <v>6</v>
      </c>
      <c r="EC9" s="46">
        <f t="shared" si="57"/>
        <v>11</v>
      </c>
      <c r="ED9" s="46">
        <v>3</v>
      </c>
      <c r="EE9" s="46">
        <v>6</v>
      </c>
      <c r="EF9" s="46">
        <f t="shared" si="58"/>
        <v>9</v>
      </c>
      <c r="EG9" s="46">
        <f t="shared" si="59"/>
        <v>0</v>
      </c>
      <c r="EH9" s="46">
        <f t="shared" si="60"/>
        <v>0</v>
      </c>
      <c r="EI9" s="46">
        <f t="shared" si="61"/>
        <v>0</v>
      </c>
      <c r="EJ9" s="46">
        <f t="shared" si="62"/>
        <v>0</v>
      </c>
      <c r="EK9" s="46">
        <f t="shared" si="63"/>
        <v>0</v>
      </c>
      <c r="EL9" s="3"/>
    </row>
    <row r="10" spans="1:142" s="34" customFormat="1" ht="28.5">
      <c r="A10" s="50">
        <v>4</v>
      </c>
      <c r="B10" s="35" t="s">
        <v>54</v>
      </c>
      <c r="C10" s="27" t="s">
        <v>55</v>
      </c>
      <c r="D10" s="63">
        <v>42795</v>
      </c>
      <c r="E10" s="62" t="s">
        <v>101</v>
      </c>
      <c r="F10" s="62" t="s">
        <v>101</v>
      </c>
      <c r="G10" s="62" t="s">
        <v>101</v>
      </c>
      <c r="H10" s="6">
        <v>0</v>
      </c>
      <c r="I10" s="6">
        <v>0</v>
      </c>
      <c r="J10" s="6">
        <v>0</v>
      </c>
      <c r="K10" s="2">
        <f t="shared" si="0"/>
        <v>0</v>
      </c>
      <c r="L10" s="6">
        <v>0</v>
      </c>
      <c r="M10" s="6">
        <v>0</v>
      </c>
      <c r="N10" s="6">
        <v>0</v>
      </c>
      <c r="O10" s="2">
        <f t="shared" si="1"/>
        <v>0</v>
      </c>
      <c r="P10" s="6">
        <v>0</v>
      </c>
      <c r="Q10" s="6">
        <v>0</v>
      </c>
      <c r="R10" s="6">
        <v>0</v>
      </c>
      <c r="S10" s="2">
        <f t="shared" si="2"/>
        <v>0</v>
      </c>
      <c r="T10" s="15" t="e">
        <f t="shared" si="3"/>
        <v>#DIV/0!</v>
      </c>
      <c r="U10" s="6"/>
      <c r="V10" s="6"/>
      <c r="W10" s="6"/>
      <c r="X10" s="6"/>
      <c r="Y10" s="6"/>
      <c r="Z10" s="6"/>
      <c r="AA10" s="6"/>
      <c r="AB10" s="29">
        <f t="shared" si="4"/>
        <v>0</v>
      </c>
      <c r="AC10" s="30">
        <v>675292</v>
      </c>
      <c r="AD10" s="30">
        <v>658651</v>
      </c>
      <c r="AE10" s="2">
        <f t="shared" si="5"/>
        <v>1333943</v>
      </c>
      <c r="AF10" s="31">
        <v>115027</v>
      </c>
      <c r="AG10" s="31">
        <v>100291</v>
      </c>
      <c r="AH10" s="2">
        <f t="shared" si="6"/>
        <v>215318</v>
      </c>
      <c r="AI10" s="31">
        <v>10011</v>
      </c>
      <c r="AJ10" s="31">
        <v>9832</v>
      </c>
      <c r="AK10" s="2">
        <f t="shared" si="7"/>
        <v>19843</v>
      </c>
      <c r="AL10" s="30">
        <v>398246</v>
      </c>
      <c r="AM10" s="30">
        <v>292604</v>
      </c>
      <c r="AN10" s="2">
        <f t="shared" si="8"/>
        <v>690850</v>
      </c>
      <c r="AO10" s="31">
        <v>58012</v>
      </c>
      <c r="AP10" s="31">
        <v>30198</v>
      </c>
      <c r="AQ10" s="2">
        <f t="shared" si="9"/>
        <v>88210</v>
      </c>
      <c r="AR10" s="31">
        <v>5591</v>
      </c>
      <c r="AS10" s="31">
        <v>4157</v>
      </c>
      <c r="AT10" s="2">
        <f t="shared" si="10"/>
        <v>9748</v>
      </c>
      <c r="AU10" s="31">
        <v>0</v>
      </c>
      <c r="AV10" s="31">
        <v>0</v>
      </c>
      <c r="AW10" s="2">
        <f t="shared" si="11"/>
        <v>0</v>
      </c>
      <c r="AX10" s="31">
        <v>0</v>
      </c>
      <c r="AY10" s="31">
        <v>0</v>
      </c>
      <c r="AZ10" s="2">
        <f t="shared" si="12"/>
        <v>0</v>
      </c>
      <c r="BA10" s="31">
        <v>0</v>
      </c>
      <c r="BB10" s="31">
        <v>0</v>
      </c>
      <c r="BC10" s="2">
        <f t="shared" si="13"/>
        <v>0</v>
      </c>
      <c r="BD10" s="28">
        <f>AL10+AU10</f>
        <v>398246</v>
      </c>
      <c r="BE10" s="28">
        <f>AM10+AV10</f>
        <v>292604</v>
      </c>
      <c r="BF10" s="2">
        <f t="shared" si="15"/>
        <v>690850</v>
      </c>
      <c r="BG10" s="28">
        <f t="shared" ref="BG10:BG31" si="64">AO10+AX10</f>
        <v>58012</v>
      </c>
      <c r="BH10" s="28">
        <f t="shared" ref="BH10:BH31" si="65">AP10+AY10</f>
        <v>30198</v>
      </c>
      <c r="BI10" s="2">
        <f t="shared" si="17"/>
        <v>88210</v>
      </c>
      <c r="BJ10" s="28">
        <f t="shared" ref="BJ10:BJ31" si="66">AR10+BA10</f>
        <v>5591</v>
      </c>
      <c r="BK10" s="28">
        <f t="shared" ref="BK10:BK31" si="67">AS10+BB10</f>
        <v>4157</v>
      </c>
      <c r="BL10" s="2">
        <f t="shared" si="19"/>
        <v>9748</v>
      </c>
      <c r="BM10" s="28">
        <f t="shared" si="20"/>
        <v>58.97</v>
      </c>
      <c r="BN10" s="28">
        <f t="shared" si="21"/>
        <v>44.42</v>
      </c>
      <c r="BO10" s="28">
        <f t="shared" si="22"/>
        <v>51.79</v>
      </c>
      <c r="BP10" s="28">
        <f t="shared" si="23"/>
        <v>50.43</v>
      </c>
      <c r="BQ10" s="28">
        <f t="shared" si="24"/>
        <v>30.11</v>
      </c>
      <c r="BR10" s="28">
        <f t="shared" si="25"/>
        <v>40.97</v>
      </c>
      <c r="BS10" s="28">
        <f t="shared" si="26"/>
        <v>55.85</v>
      </c>
      <c r="BT10" s="28">
        <f t="shared" si="27"/>
        <v>42.28</v>
      </c>
      <c r="BU10" s="28">
        <f t="shared" si="28"/>
        <v>49.13</v>
      </c>
      <c r="BV10" s="30">
        <v>8515</v>
      </c>
      <c r="BW10" s="30">
        <v>2224</v>
      </c>
      <c r="BX10" s="2">
        <f t="shared" si="29"/>
        <v>10739</v>
      </c>
      <c r="BY10" s="31">
        <v>1274</v>
      </c>
      <c r="BZ10" s="31">
        <v>336</v>
      </c>
      <c r="CA10" s="2">
        <f t="shared" si="30"/>
        <v>1610</v>
      </c>
      <c r="CB10" s="31">
        <v>118</v>
      </c>
      <c r="CC10" s="31">
        <v>44</v>
      </c>
      <c r="CD10" s="2">
        <f t="shared" si="31"/>
        <v>162</v>
      </c>
      <c r="CE10" s="30">
        <v>5136</v>
      </c>
      <c r="CF10" s="30">
        <v>959</v>
      </c>
      <c r="CG10" s="2">
        <f t="shared" si="32"/>
        <v>6095</v>
      </c>
      <c r="CH10" s="31">
        <v>701</v>
      </c>
      <c r="CI10" s="31">
        <v>131</v>
      </c>
      <c r="CJ10" s="2">
        <f t="shared" si="33"/>
        <v>832</v>
      </c>
      <c r="CK10" s="31">
        <v>71</v>
      </c>
      <c r="CL10" s="31">
        <v>17</v>
      </c>
      <c r="CM10" s="2">
        <f t="shared" si="34"/>
        <v>88</v>
      </c>
      <c r="CN10" s="31">
        <v>0</v>
      </c>
      <c r="CO10" s="31">
        <v>0</v>
      </c>
      <c r="CP10" s="2">
        <f t="shared" si="35"/>
        <v>0</v>
      </c>
      <c r="CQ10" s="33">
        <v>0</v>
      </c>
      <c r="CR10" s="33">
        <v>0</v>
      </c>
      <c r="CS10" s="2">
        <f t="shared" si="36"/>
        <v>0</v>
      </c>
      <c r="CT10" s="33">
        <v>0</v>
      </c>
      <c r="CU10" s="33">
        <v>0</v>
      </c>
      <c r="CV10" s="2">
        <f t="shared" si="37"/>
        <v>0</v>
      </c>
      <c r="CW10" s="28">
        <f t="shared" ref="CW10:CW31" si="68">CE10+CN10</f>
        <v>5136</v>
      </c>
      <c r="CX10" s="28">
        <f t="shared" ref="CX10:CX31" si="69">CF10+CO10</f>
        <v>959</v>
      </c>
      <c r="CY10" s="2">
        <f t="shared" si="39"/>
        <v>6095</v>
      </c>
      <c r="CZ10" s="28">
        <f t="shared" ref="CZ10:CZ31" si="70">CH10+CQ10</f>
        <v>701</v>
      </c>
      <c r="DA10" s="28">
        <f t="shared" ref="DA10:DA31" si="71">CI10+CR10</f>
        <v>131</v>
      </c>
      <c r="DB10" s="2">
        <f t="shared" si="41"/>
        <v>832</v>
      </c>
      <c r="DC10" s="28">
        <f t="shared" ref="DC10:DC31" si="72">CK10+CT10</f>
        <v>71</v>
      </c>
      <c r="DD10" s="28">
        <f t="shared" ref="DD10:DD31" si="73">CL10+CU10</f>
        <v>17</v>
      </c>
      <c r="DE10" s="2">
        <f t="shared" si="43"/>
        <v>88</v>
      </c>
      <c r="DF10" s="28">
        <f t="shared" si="44"/>
        <v>60.32</v>
      </c>
      <c r="DG10" s="28">
        <f t="shared" si="45"/>
        <v>43.12</v>
      </c>
      <c r="DH10" s="28">
        <f t="shared" si="46"/>
        <v>56.76</v>
      </c>
      <c r="DI10" s="28">
        <f t="shared" si="47"/>
        <v>55.02</v>
      </c>
      <c r="DJ10" s="28">
        <f t="shared" si="48"/>
        <v>38.99</v>
      </c>
      <c r="DK10" s="28">
        <f t="shared" si="49"/>
        <v>51.68</v>
      </c>
      <c r="DL10" s="28">
        <f t="shared" si="50"/>
        <v>60.17</v>
      </c>
      <c r="DM10" s="28">
        <f t="shared" si="51"/>
        <v>38.64</v>
      </c>
      <c r="DN10" s="28">
        <f t="shared" si="52"/>
        <v>54.32</v>
      </c>
      <c r="DO10" s="32">
        <v>0</v>
      </c>
      <c r="DP10" s="32">
        <v>0</v>
      </c>
      <c r="DQ10" s="2">
        <f t="shared" si="53"/>
        <v>0</v>
      </c>
      <c r="DR10" s="32">
        <v>0</v>
      </c>
      <c r="DS10" s="32">
        <v>0</v>
      </c>
      <c r="DT10" s="2">
        <f t="shared" si="54"/>
        <v>0</v>
      </c>
      <c r="DU10" s="32">
        <v>0</v>
      </c>
      <c r="DV10" s="32">
        <v>0</v>
      </c>
      <c r="DW10" s="2">
        <f t="shared" si="55"/>
        <v>0</v>
      </c>
      <c r="DX10" s="32">
        <v>0</v>
      </c>
      <c r="DY10" s="32">
        <v>0</v>
      </c>
      <c r="DZ10" s="2">
        <f t="shared" si="56"/>
        <v>0</v>
      </c>
      <c r="EA10" s="32">
        <v>0</v>
      </c>
      <c r="EB10" s="32">
        <v>0</v>
      </c>
      <c r="EC10" s="2">
        <f t="shared" si="57"/>
        <v>0</v>
      </c>
      <c r="ED10" s="32">
        <v>0</v>
      </c>
      <c r="EE10" s="32">
        <v>0</v>
      </c>
      <c r="EF10" s="2">
        <f t="shared" si="58"/>
        <v>0</v>
      </c>
      <c r="EG10" s="4">
        <f t="shared" si="59"/>
        <v>-1344682</v>
      </c>
      <c r="EH10" s="4">
        <f t="shared" si="60"/>
        <v>-696945</v>
      </c>
      <c r="EI10" s="4">
        <f t="shared" si="61"/>
        <v>-696945</v>
      </c>
      <c r="EJ10" s="4">
        <f t="shared" si="62"/>
        <v>-89042</v>
      </c>
      <c r="EK10" s="4">
        <f t="shared" si="63"/>
        <v>-9836</v>
      </c>
    </row>
    <row r="11" spans="1:142" s="34" customFormat="1" ht="36.75" customHeight="1">
      <c r="A11" s="51">
        <v>34</v>
      </c>
      <c r="B11" s="48" t="s">
        <v>115</v>
      </c>
      <c r="C11" s="46" t="s">
        <v>75</v>
      </c>
      <c r="D11" s="65" t="s">
        <v>75</v>
      </c>
      <c r="E11" s="65" t="s">
        <v>75</v>
      </c>
      <c r="F11" s="65" t="s">
        <v>75</v>
      </c>
      <c r="G11" s="65" t="s">
        <v>75</v>
      </c>
      <c r="H11" s="46">
        <v>0</v>
      </c>
      <c r="I11" s="46">
        <v>0</v>
      </c>
      <c r="J11" s="46">
        <v>0</v>
      </c>
      <c r="K11" s="46">
        <f t="shared" si="0"/>
        <v>0</v>
      </c>
      <c r="L11" s="46">
        <v>0</v>
      </c>
      <c r="M11" s="46">
        <v>0</v>
      </c>
      <c r="N11" s="46">
        <v>0</v>
      </c>
      <c r="O11" s="46">
        <f t="shared" si="1"/>
        <v>0</v>
      </c>
      <c r="P11" s="46">
        <v>0</v>
      </c>
      <c r="Q11" s="46">
        <v>0</v>
      </c>
      <c r="R11" s="46">
        <v>0</v>
      </c>
      <c r="S11" s="46">
        <f t="shared" si="2"/>
        <v>0</v>
      </c>
      <c r="T11" s="46" t="e">
        <f t="shared" si="3"/>
        <v>#DIV/0!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7">
        <f t="shared" si="4"/>
        <v>0</v>
      </c>
      <c r="AC11" s="46">
        <v>0</v>
      </c>
      <c r="AD11" s="46">
        <v>0</v>
      </c>
      <c r="AE11" s="46">
        <f t="shared" si="5"/>
        <v>0</v>
      </c>
      <c r="AF11" s="46">
        <v>0</v>
      </c>
      <c r="AG11" s="46">
        <v>0</v>
      </c>
      <c r="AH11" s="46">
        <f t="shared" si="6"/>
        <v>0</v>
      </c>
      <c r="AI11" s="46">
        <v>0</v>
      </c>
      <c r="AJ11" s="46">
        <v>0</v>
      </c>
      <c r="AK11" s="46">
        <f t="shared" si="7"/>
        <v>0</v>
      </c>
      <c r="AL11" s="46">
        <v>0</v>
      </c>
      <c r="AM11" s="46">
        <v>0</v>
      </c>
      <c r="AN11" s="46">
        <f t="shared" si="8"/>
        <v>0</v>
      </c>
      <c r="AO11" s="46">
        <v>0</v>
      </c>
      <c r="AP11" s="46">
        <v>0</v>
      </c>
      <c r="AQ11" s="46">
        <f t="shared" si="9"/>
        <v>0</v>
      </c>
      <c r="AR11" s="46">
        <v>0</v>
      </c>
      <c r="AS11" s="46">
        <v>0</v>
      </c>
      <c r="AT11" s="46">
        <f t="shared" si="10"/>
        <v>0</v>
      </c>
      <c r="AU11" s="46">
        <v>0</v>
      </c>
      <c r="AV11" s="46">
        <v>0</v>
      </c>
      <c r="AW11" s="46">
        <f t="shared" si="11"/>
        <v>0</v>
      </c>
      <c r="AX11" s="46">
        <v>0</v>
      </c>
      <c r="AY11" s="46">
        <v>0</v>
      </c>
      <c r="AZ11" s="46">
        <f t="shared" si="12"/>
        <v>0</v>
      </c>
      <c r="BA11" s="46">
        <v>0</v>
      </c>
      <c r="BB11" s="46">
        <v>0</v>
      </c>
      <c r="BC11" s="46">
        <f t="shared" si="13"/>
        <v>0</v>
      </c>
      <c r="BD11" s="46">
        <f>AL11+AU11</f>
        <v>0</v>
      </c>
      <c r="BE11" s="46">
        <f>AM11+AV11</f>
        <v>0</v>
      </c>
      <c r="BF11" s="46">
        <f t="shared" si="15"/>
        <v>0</v>
      </c>
      <c r="BG11" s="46">
        <f t="shared" si="64"/>
        <v>0</v>
      </c>
      <c r="BH11" s="46">
        <f t="shared" si="65"/>
        <v>0</v>
      </c>
      <c r="BI11" s="46">
        <f t="shared" si="17"/>
        <v>0</v>
      </c>
      <c r="BJ11" s="46">
        <f t="shared" si="66"/>
        <v>0</v>
      </c>
      <c r="BK11" s="46">
        <f t="shared" si="67"/>
        <v>0</v>
      </c>
      <c r="BL11" s="46">
        <f t="shared" si="19"/>
        <v>0</v>
      </c>
      <c r="BM11" s="46" t="e">
        <f t="shared" si="20"/>
        <v>#DIV/0!</v>
      </c>
      <c r="BN11" s="46" t="e">
        <f t="shared" si="21"/>
        <v>#DIV/0!</v>
      </c>
      <c r="BO11" s="46" t="e">
        <f t="shared" si="22"/>
        <v>#DIV/0!</v>
      </c>
      <c r="BP11" s="46" t="e">
        <f t="shared" si="23"/>
        <v>#DIV/0!</v>
      </c>
      <c r="BQ11" s="46" t="e">
        <f t="shared" si="24"/>
        <v>#DIV/0!</v>
      </c>
      <c r="BR11" s="46" t="e">
        <f t="shared" si="25"/>
        <v>#DIV/0!</v>
      </c>
      <c r="BS11" s="46" t="e">
        <f t="shared" si="26"/>
        <v>#DIV/0!</v>
      </c>
      <c r="BT11" s="46" t="e">
        <f t="shared" si="27"/>
        <v>#DIV/0!</v>
      </c>
      <c r="BU11" s="46" t="e">
        <f t="shared" si="28"/>
        <v>#DIV/0!</v>
      </c>
      <c r="BV11" s="46">
        <v>30550</v>
      </c>
      <c r="BW11" s="46">
        <v>5038</v>
      </c>
      <c r="BX11" s="46">
        <f t="shared" si="29"/>
        <v>35588</v>
      </c>
      <c r="BY11" s="46">
        <v>18878</v>
      </c>
      <c r="BZ11" s="46">
        <v>30511</v>
      </c>
      <c r="CA11" s="46">
        <f t="shared" si="30"/>
        <v>49389</v>
      </c>
      <c r="CB11" s="46">
        <v>0</v>
      </c>
      <c r="CC11" s="46">
        <v>0</v>
      </c>
      <c r="CD11" s="46">
        <f t="shared" si="31"/>
        <v>0</v>
      </c>
      <c r="CE11" s="46">
        <v>0</v>
      </c>
      <c r="CF11" s="46">
        <v>0</v>
      </c>
      <c r="CG11" s="46">
        <f t="shared" si="32"/>
        <v>0</v>
      </c>
      <c r="CH11" s="46">
        <v>0</v>
      </c>
      <c r="CI11" s="46">
        <v>0</v>
      </c>
      <c r="CJ11" s="46">
        <f t="shared" si="33"/>
        <v>0</v>
      </c>
      <c r="CK11" s="46">
        <v>0</v>
      </c>
      <c r="CL11" s="46">
        <v>0</v>
      </c>
      <c r="CM11" s="46">
        <f t="shared" si="34"/>
        <v>0</v>
      </c>
      <c r="CN11" s="46">
        <v>0</v>
      </c>
      <c r="CO11" s="46">
        <v>0</v>
      </c>
      <c r="CP11" s="46">
        <f t="shared" si="35"/>
        <v>0</v>
      </c>
      <c r="CQ11" s="46">
        <v>0</v>
      </c>
      <c r="CR11" s="46">
        <v>0</v>
      </c>
      <c r="CS11" s="46">
        <f t="shared" si="36"/>
        <v>0</v>
      </c>
      <c r="CT11" s="46">
        <v>0</v>
      </c>
      <c r="CU11" s="46">
        <v>0</v>
      </c>
      <c r="CV11" s="46">
        <f t="shared" si="37"/>
        <v>0</v>
      </c>
      <c r="CW11" s="46">
        <f t="shared" si="68"/>
        <v>0</v>
      </c>
      <c r="CX11" s="46">
        <f t="shared" si="69"/>
        <v>0</v>
      </c>
      <c r="CY11" s="46">
        <f t="shared" si="39"/>
        <v>0</v>
      </c>
      <c r="CZ11" s="46">
        <f t="shared" si="70"/>
        <v>0</v>
      </c>
      <c r="DA11" s="46">
        <f t="shared" si="71"/>
        <v>0</v>
      </c>
      <c r="DB11" s="46">
        <f t="shared" si="41"/>
        <v>0</v>
      </c>
      <c r="DC11" s="46">
        <f t="shared" si="72"/>
        <v>0</v>
      </c>
      <c r="DD11" s="46">
        <f t="shared" si="73"/>
        <v>0</v>
      </c>
      <c r="DE11" s="46">
        <f t="shared" si="43"/>
        <v>0</v>
      </c>
      <c r="DF11" s="46">
        <f t="shared" si="44"/>
        <v>0</v>
      </c>
      <c r="DG11" s="46">
        <f t="shared" si="45"/>
        <v>0</v>
      </c>
      <c r="DH11" s="46">
        <f t="shared" si="46"/>
        <v>0</v>
      </c>
      <c r="DI11" s="46">
        <f t="shared" si="47"/>
        <v>0</v>
      </c>
      <c r="DJ11" s="46">
        <f t="shared" si="48"/>
        <v>0</v>
      </c>
      <c r="DK11" s="46">
        <f t="shared" si="49"/>
        <v>0</v>
      </c>
      <c r="DL11" s="46" t="e">
        <f t="shared" si="50"/>
        <v>#DIV/0!</v>
      </c>
      <c r="DM11" s="46" t="e">
        <f t="shared" si="51"/>
        <v>#DIV/0!</v>
      </c>
      <c r="DN11" s="46" t="e">
        <f t="shared" si="52"/>
        <v>#DIV/0!</v>
      </c>
      <c r="DO11" s="46">
        <v>3</v>
      </c>
      <c r="DP11" s="46">
        <v>1</v>
      </c>
      <c r="DQ11" s="46">
        <f t="shared" si="53"/>
        <v>4</v>
      </c>
      <c r="DR11" s="46">
        <v>0</v>
      </c>
      <c r="DS11" s="46">
        <v>0</v>
      </c>
      <c r="DT11" s="46">
        <f t="shared" si="54"/>
        <v>0</v>
      </c>
      <c r="DU11" s="46">
        <v>0</v>
      </c>
      <c r="DV11" s="46">
        <v>0</v>
      </c>
      <c r="DW11" s="46">
        <f t="shared" si="55"/>
        <v>0</v>
      </c>
      <c r="DX11" s="46">
        <v>18875</v>
      </c>
      <c r="DY11" s="46">
        <v>30510</v>
      </c>
      <c r="DZ11" s="46">
        <f t="shared" si="56"/>
        <v>49385</v>
      </c>
      <c r="EA11" s="46">
        <v>0</v>
      </c>
      <c r="EB11" s="46">
        <v>0</v>
      </c>
      <c r="EC11" s="46">
        <f t="shared" si="57"/>
        <v>0</v>
      </c>
      <c r="ED11" s="46">
        <v>0</v>
      </c>
      <c r="EE11" s="46">
        <v>0</v>
      </c>
      <c r="EF11" s="46">
        <f t="shared" si="58"/>
        <v>0</v>
      </c>
      <c r="EG11" s="46">
        <f t="shared" si="59"/>
        <v>-35588</v>
      </c>
      <c r="EH11" s="46">
        <f t="shared" si="60"/>
        <v>0</v>
      </c>
      <c r="EI11" s="46">
        <f t="shared" si="61"/>
        <v>49389</v>
      </c>
      <c r="EJ11" s="46">
        <f t="shared" si="62"/>
        <v>0</v>
      </c>
      <c r="EK11" s="46">
        <f t="shared" si="63"/>
        <v>0</v>
      </c>
      <c r="EL11" s="3"/>
    </row>
    <row r="12" spans="1:142" s="34" customFormat="1" ht="30" customHeight="1">
      <c r="A12" s="76">
        <v>9</v>
      </c>
      <c r="B12" s="27" t="s">
        <v>64</v>
      </c>
      <c r="C12" s="53" t="s">
        <v>123</v>
      </c>
      <c r="D12" s="63">
        <v>42800</v>
      </c>
      <c r="E12" s="63">
        <v>42829</v>
      </c>
      <c r="F12" s="63">
        <v>42943</v>
      </c>
      <c r="G12" s="63">
        <v>42944</v>
      </c>
      <c r="H12" s="6">
        <v>3272</v>
      </c>
      <c r="I12" s="6">
        <v>190</v>
      </c>
      <c r="J12" s="6">
        <v>3260</v>
      </c>
      <c r="K12" s="2">
        <f t="shared" si="0"/>
        <v>6722</v>
      </c>
      <c r="L12" s="6">
        <v>160378</v>
      </c>
      <c r="M12" s="6">
        <v>13645</v>
      </c>
      <c r="N12" s="6">
        <v>145139</v>
      </c>
      <c r="O12" s="2">
        <f t="shared" si="1"/>
        <v>319162</v>
      </c>
      <c r="P12" s="6">
        <v>72130</v>
      </c>
      <c r="Q12" s="6">
        <v>7240</v>
      </c>
      <c r="R12" s="6">
        <v>87116</v>
      </c>
      <c r="S12" s="2">
        <f t="shared" si="2"/>
        <v>166486</v>
      </c>
      <c r="T12" s="15">
        <f t="shared" si="3"/>
        <v>52.16</v>
      </c>
      <c r="U12" s="6">
        <v>102</v>
      </c>
      <c r="V12" s="6">
        <v>359</v>
      </c>
      <c r="W12" s="6">
        <v>582</v>
      </c>
      <c r="X12" s="6">
        <v>730</v>
      </c>
      <c r="Y12" s="6">
        <v>785</v>
      </c>
      <c r="Z12" s="6">
        <v>898</v>
      </c>
      <c r="AA12" s="6">
        <v>2961</v>
      </c>
      <c r="AB12" s="29">
        <f t="shared" si="4"/>
        <v>305</v>
      </c>
      <c r="AC12" s="30">
        <v>175393</v>
      </c>
      <c r="AD12" s="39">
        <v>143769</v>
      </c>
      <c r="AE12" s="2">
        <f t="shared" si="5"/>
        <v>319162</v>
      </c>
      <c r="AF12" s="31">
        <v>44283</v>
      </c>
      <c r="AG12" s="31">
        <v>41715</v>
      </c>
      <c r="AH12" s="2">
        <f t="shared" si="6"/>
        <v>85998</v>
      </c>
      <c r="AI12" s="31">
        <v>60</v>
      </c>
      <c r="AJ12" s="31">
        <v>41</v>
      </c>
      <c r="AK12" s="2">
        <f t="shared" si="7"/>
        <v>101</v>
      </c>
      <c r="AL12" s="30">
        <v>81368</v>
      </c>
      <c r="AM12" s="30">
        <v>79615</v>
      </c>
      <c r="AN12" s="2">
        <f t="shared" si="8"/>
        <v>160983</v>
      </c>
      <c r="AO12" s="31">
        <v>16456</v>
      </c>
      <c r="AP12" s="31">
        <v>16895</v>
      </c>
      <c r="AQ12" s="2">
        <f t="shared" si="9"/>
        <v>33351</v>
      </c>
      <c r="AR12" s="31">
        <v>30</v>
      </c>
      <c r="AS12" s="31">
        <v>29</v>
      </c>
      <c r="AT12" s="2">
        <f t="shared" si="10"/>
        <v>59</v>
      </c>
      <c r="AU12" s="40">
        <v>3155</v>
      </c>
      <c r="AV12" s="40">
        <v>2348</v>
      </c>
      <c r="AW12" s="2">
        <f t="shared" si="11"/>
        <v>5503</v>
      </c>
      <c r="AX12" s="33">
        <v>743</v>
      </c>
      <c r="AY12" s="33">
        <v>673</v>
      </c>
      <c r="AZ12" s="2">
        <f t="shared" si="12"/>
        <v>1416</v>
      </c>
      <c r="BA12" s="33">
        <v>1</v>
      </c>
      <c r="BB12" s="33">
        <v>0</v>
      </c>
      <c r="BC12" s="2">
        <f t="shared" si="13"/>
        <v>1</v>
      </c>
      <c r="BD12" s="28">
        <v>84523</v>
      </c>
      <c r="BE12" s="28">
        <f t="shared" ref="BE12:BE31" si="74">AM12+AV12</f>
        <v>81963</v>
      </c>
      <c r="BF12" s="2">
        <f t="shared" si="15"/>
        <v>166486</v>
      </c>
      <c r="BG12" s="28">
        <f t="shared" si="64"/>
        <v>17199</v>
      </c>
      <c r="BH12" s="28">
        <f t="shared" si="65"/>
        <v>17568</v>
      </c>
      <c r="BI12" s="2">
        <f t="shared" si="17"/>
        <v>34767</v>
      </c>
      <c r="BJ12" s="28">
        <f t="shared" si="66"/>
        <v>31</v>
      </c>
      <c r="BK12" s="28">
        <f t="shared" si="67"/>
        <v>29</v>
      </c>
      <c r="BL12" s="2">
        <f t="shared" si="19"/>
        <v>60</v>
      </c>
      <c r="BM12" s="28">
        <f t="shared" si="20"/>
        <v>48.19</v>
      </c>
      <c r="BN12" s="28">
        <f t="shared" si="21"/>
        <v>57.01</v>
      </c>
      <c r="BO12" s="28">
        <f t="shared" si="22"/>
        <v>52.16</v>
      </c>
      <c r="BP12" s="28">
        <f t="shared" si="23"/>
        <v>38.840000000000003</v>
      </c>
      <c r="BQ12" s="28">
        <f t="shared" si="24"/>
        <v>42.11</v>
      </c>
      <c r="BR12" s="28">
        <f t="shared" si="25"/>
        <v>40.43</v>
      </c>
      <c r="BS12" s="28">
        <f t="shared" si="26"/>
        <v>51.67</v>
      </c>
      <c r="BT12" s="28">
        <f t="shared" si="27"/>
        <v>70.73</v>
      </c>
      <c r="BU12" s="28">
        <f t="shared" si="28"/>
        <v>59.41</v>
      </c>
      <c r="BV12" s="41">
        <v>0</v>
      </c>
      <c r="BW12" s="41">
        <v>0</v>
      </c>
      <c r="BX12" s="2">
        <f t="shared" si="29"/>
        <v>0</v>
      </c>
      <c r="BY12" s="33">
        <v>0</v>
      </c>
      <c r="BZ12" s="33">
        <v>0</v>
      </c>
      <c r="CA12" s="2">
        <v>0</v>
      </c>
      <c r="CB12" s="31">
        <v>0</v>
      </c>
      <c r="CC12" s="31">
        <v>0</v>
      </c>
      <c r="CD12" s="2">
        <f t="shared" si="31"/>
        <v>0</v>
      </c>
      <c r="CE12" s="41">
        <v>0</v>
      </c>
      <c r="CF12" s="41">
        <v>0</v>
      </c>
      <c r="CG12" s="2">
        <v>0</v>
      </c>
      <c r="CH12" s="33">
        <v>0</v>
      </c>
      <c r="CI12" s="33">
        <v>0</v>
      </c>
      <c r="CJ12" s="2">
        <f t="shared" si="33"/>
        <v>0</v>
      </c>
      <c r="CK12" s="31">
        <v>0</v>
      </c>
      <c r="CL12" s="31">
        <v>0</v>
      </c>
      <c r="CM12" s="2">
        <f t="shared" si="34"/>
        <v>0</v>
      </c>
      <c r="CN12" s="33">
        <v>0</v>
      </c>
      <c r="CO12" s="33">
        <v>0</v>
      </c>
      <c r="CP12" s="2">
        <f t="shared" si="35"/>
        <v>0</v>
      </c>
      <c r="CQ12" s="31">
        <v>0</v>
      </c>
      <c r="CR12" s="31">
        <v>0</v>
      </c>
      <c r="CS12" s="2">
        <f t="shared" si="36"/>
        <v>0</v>
      </c>
      <c r="CT12" s="31">
        <v>0</v>
      </c>
      <c r="CU12" s="31">
        <v>0</v>
      </c>
      <c r="CV12" s="2">
        <f t="shared" si="37"/>
        <v>0</v>
      </c>
      <c r="CW12" s="28">
        <f t="shared" si="68"/>
        <v>0</v>
      </c>
      <c r="CX12" s="28">
        <f t="shared" si="69"/>
        <v>0</v>
      </c>
      <c r="CY12" s="2">
        <f t="shared" si="39"/>
        <v>0</v>
      </c>
      <c r="CZ12" s="28">
        <f t="shared" si="70"/>
        <v>0</v>
      </c>
      <c r="DA12" s="28">
        <f t="shared" si="71"/>
        <v>0</v>
      </c>
      <c r="DB12" s="2">
        <f t="shared" si="41"/>
        <v>0</v>
      </c>
      <c r="DC12" s="28">
        <f t="shared" si="72"/>
        <v>0</v>
      </c>
      <c r="DD12" s="28">
        <f t="shared" si="73"/>
        <v>0</v>
      </c>
      <c r="DE12" s="2">
        <f t="shared" si="43"/>
        <v>0</v>
      </c>
      <c r="DF12" s="28" t="e">
        <f t="shared" si="44"/>
        <v>#DIV/0!</v>
      </c>
      <c r="DG12" s="28" t="e">
        <f t="shared" si="45"/>
        <v>#DIV/0!</v>
      </c>
      <c r="DH12" s="28" t="e">
        <f t="shared" si="46"/>
        <v>#DIV/0!</v>
      </c>
      <c r="DI12" s="28" t="e">
        <f t="shared" si="47"/>
        <v>#DIV/0!</v>
      </c>
      <c r="DJ12" s="28" t="e">
        <f t="shared" si="48"/>
        <v>#DIV/0!</v>
      </c>
      <c r="DK12" s="28" t="e">
        <f t="shared" si="49"/>
        <v>#DIV/0!</v>
      </c>
      <c r="DL12" s="28" t="e">
        <f t="shared" si="50"/>
        <v>#DIV/0!</v>
      </c>
      <c r="DM12" s="28" t="e">
        <f t="shared" si="51"/>
        <v>#DIV/0!</v>
      </c>
      <c r="DN12" s="28" t="e">
        <f t="shared" si="52"/>
        <v>#DIV/0!</v>
      </c>
      <c r="DO12" s="32">
        <v>61969</v>
      </c>
      <c r="DP12" s="32">
        <v>65106</v>
      </c>
      <c r="DQ12" s="2">
        <f t="shared" si="53"/>
        <v>127075</v>
      </c>
      <c r="DR12" s="32">
        <v>10210</v>
      </c>
      <c r="DS12" s="32">
        <v>11276</v>
      </c>
      <c r="DT12" s="2">
        <f t="shared" si="54"/>
        <v>21486</v>
      </c>
      <c r="DU12" s="32">
        <v>26</v>
      </c>
      <c r="DV12" s="32">
        <v>25</v>
      </c>
      <c r="DW12" s="2">
        <f t="shared" si="55"/>
        <v>51</v>
      </c>
      <c r="DX12" s="32">
        <v>22554</v>
      </c>
      <c r="DY12" s="32">
        <v>16857</v>
      </c>
      <c r="DZ12" s="2">
        <f t="shared" si="56"/>
        <v>39411</v>
      </c>
      <c r="EA12" s="32">
        <v>6989</v>
      </c>
      <c r="EB12" s="32">
        <v>6292</v>
      </c>
      <c r="EC12" s="2">
        <f t="shared" si="57"/>
        <v>13281</v>
      </c>
      <c r="ED12" s="32">
        <v>5</v>
      </c>
      <c r="EE12" s="32">
        <v>4</v>
      </c>
      <c r="EF12" s="2">
        <f t="shared" si="58"/>
        <v>9</v>
      </c>
      <c r="EG12" s="4">
        <f t="shared" si="59"/>
        <v>0</v>
      </c>
      <c r="EH12" s="4">
        <f t="shared" si="60"/>
        <v>0</v>
      </c>
      <c r="EI12" s="4">
        <f t="shared" si="61"/>
        <v>0</v>
      </c>
      <c r="EJ12" s="4">
        <f t="shared" si="62"/>
        <v>0</v>
      </c>
      <c r="EK12" s="4">
        <f t="shared" si="63"/>
        <v>0</v>
      </c>
    </row>
    <row r="13" spans="1:142" s="34" customFormat="1" ht="37.5" customHeight="1">
      <c r="A13" s="51">
        <v>38</v>
      </c>
      <c r="B13" s="43" t="s">
        <v>121</v>
      </c>
      <c r="C13" s="46" t="s">
        <v>75</v>
      </c>
      <c r="D13" s="65" t="s">
        <v>75</v>
      </c>
      <c r="E13" s="65" t="s">
        <v>75</v>
      </c>
      <c r="F13" s="65" t="s">
        <v>75</v>
      </c>
      <c r="G13" s="65" t="s">
        <v>75</v>
      </c>
      <c r="H13" s="46">
        <v>0</v>
      </c>
      <c r="I13" s="46">
        <v>0</v>
      </c>
      <c r="J13" s="46">
        <v>0</v>
      </c>
      <c r="K13" s="46">
        <f t="shared" si="0"/>
        <v>0</v>
      </c>
      <c r="L13" s="46">
        <v>0</v>
      </c>
      <c r="M13" s="46">
        <v>0</v>
      </c>
      <c r="N13" s="46">
        <v>0</v>
      </c>
      <c r="O13" s="46">
        <f t="shared" si="1"/>
        <v>0</v>
      </c>
      <c r="P13" s="46">
        <v>0</v>
      </c>
      <c r="Q13" s="46">
        <v>0</v>
      </c>
      <c r="R13" s="46">
        <v>0</v>
      </c>
      <c r="S13" s="46">
        <f t="shared" si="2"/>
        <v>0</v>
      </c>
      <c r="T13" s="46" t="e">
        <f t="shared" si="3"/>
        <v>#DIV/0!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7">
        <f t="shared" si="4"/>
        <v>0</v>
      </c>
      <c r="AC13" s="46">
        <v>17374</v>
      </c>
      <c r="AD13" s="46">
        <v>17774</v>
      </c>
      <c r="AE13" s="46">
        <f t="shared" si="5"/>
        <v>35148</v>
      </c>
      <c r="AF13" s="46">
        <v>625</v>
      </c>
      <c r="AG13" s="46">
        <v>729</v>
      </c>
      <c r="AH13" s="46">
        <f t="shared" si="6"/>
        <v>1354</v>
      </c>
      <c r="AI13" s="46">
        <v>6771</v>
      </c>
      <c r="AJ13" s="46">
        <v>7070</v>
      </c>
      <c r="AK13" s="46">
        <f t="shared" si="7"/>
        <v>13841</v>
      </c>
      <c r="AL13" s="46">
        <v>11931</v>
      </c>
      <c r="AM13" s="46">
        <v>11313</v>
      </c>
      <c r="AN13" s="46">
        <f t="shared" si="8"/>
        <v>23244</v>
      </c>
      <c r="AO13" s="46">
        <v>449</v>
      </c>
      <c r="AP13" s="46">
        <v>513</v>
      </c>
      <c r="AQ13" s="46">
        <f t="shared" si="9"/>
        <v>962</v>
      </c>
      <c r="AR13" s="46">
        <v>4549</v>
      </c>
      <c r="AS13" s="46">
        <v>4327</v>
      </c>
      <c r="AT13" s="46">
        <f t="shared" si="10"/>
        <v>8876</v>
      </c>
      <c r="AU13" s="46">
        <v>2057</v>
      </c>
      <c r="AV13" s="46">
        <v>2319</v>
      </c>
      <c r="AW13" s="46">
        <f t="shared" si="11"/>
        <v>4376</v>
      </c>
      <c r="AX13" s="46">
        <v>67</v>
      </c>
      <c r="AY13" s="46">
        <v>67</v>
      </c>
      <c r="AZ13" s="46">
        <f t="shared" si="12"/>
        <v>134</v>
      </c>
      <c r="BA13" s="46">
        <v>922</v>
      </c>
      <c r="BB13" s="46">
        <v>1058</v>
      </c>
      <c r="BC13" s="46">
        <f t="shared" si="13"/>
        <v>1980</v>
      </c>
      <c r="BD13" s="46">
        <f t="shared" ref="BD13:BD31" si="75">AL13+AU13</f>
        <v>13988</v>
      </c>
      <c r="BE13" s="46">
        <f t="shared" si="74"/>
        <v>13632</v>
      </c>
      <c r="BF13" s="46">
        <f t="shared" si="15"/>
        <v>27620</v>
      </c>
      <c r="BG13" s="46">
        <f t="shared" si="64"/>
        <v>516</v>
      </c>
      <c r="BH13" s="46">
        <f t="shared" si="65"/>
        <v>580</v>
      </c>
      <c r="BI13" s="46">
        <f t="shared" si="17"/>
        <v>1096</v>
      </c>
      <c r="BJ13" s="46">
        <f t="shared" si="66"/>
        <v>5471</v>
      </c>
      <c r="BK13" s="46">
        <f t="shared" si="67"/>
        <v>5385</v>
      </c>
      <c r="BL13" s="46">
        <f t="shared" si="19"/>
        <v>10856</v>
      </c>
      <c r="BM13" s="46">
        <f t="shared" si="20"/>
        <v>80.510000000000005</v>
      </c>
      <c r="BN13" s="46">
        <f t="shared" si="21"/>
        <v>76.7</v>
      </c>
      <c r="BO13" s="46">
        <f t="shared" si="22"/>
        <v>78.58</v>
      </c>
      <c r="BP13" s="46">
        <f t="shared" si="23"/>
        <v>82.56</v>
      </c>
      <c r="BQ13" s="46">
        <f t="shared" si="24"/>
        <v>79.56</v>
      </c>
      <c r="BR13" s="46">
        <f t="shared" si="25"/>
        <v>80.95</v>
      </c>
      <c r="BS13" s="46">
        <f t="shared" si="26"/>
        <v>80.8</v>
      </c>
      <c r="BT13" s="46">
        <f t="shared" si="27"/>
        <v>76.17</v>
      </c>
      <c r="BU13" s="46">
        <f t="shared" si="28"/>
        <v>78.430000000000007</v>
      </c>
      <c r="BV13" s="46">
        <v>25</v>
      </c>
      <c r="BW13" s="46">
        <v>13</v>
      </c>
      <c r="BX13" s="46">
        <f t="shared" si="29"/>
        <v>38</v>
      </c>
      <c r="BY13" s="46">
        <v>1</v>
      </c>
      <c r="BZ13" s="46">
        <v>0</v>
      </c>
      <c r="CA13" s="46">
        <f t="shared" ref="CA13:CA50" si="76">BY13+BZ13</f>
        <v>1</v>
      </c>
      <c r="CB13" s="46">
        <v>5</v>
      </c>
      <c r="CC13" s="46">
        <v>3</v>
      </c>
      <c r="CD13" s="46">
        <f t="shared" si="31"/>
        <v>8</v>
      </c>
      <c r="CE13" s="46">
        <v>7</v>
      </c>
      <c r="CF13" s="46">
        <v>4</v>
      </c>
      <c r="CG13" s="46">
        <f t="shared" ref="CG13:CG50" si="77">CE13+CF13</f>
        <v>11</v>
      </c>
      <c r="CH13" s="46">
        <v>0</v>
      </c>
      <c r="CI13" s="46">
        <v>0</v>
      </c>
      <c r="CJ13" s="46">
        <f t="shared" si="33"/>
        <v>0</v>
      </c>
      <c r="CK13" s="46">
        <v>1</v>
      </c>
      <c r="CL13" s="46">
        <v>1</v>
      </c>
      <c r="CM13" s="46">
        <f t="shared" si="34"/>
        <v>2</v>
      </c>
      <c r="CN13" s="46">
        <v>1</v>
      </c>
      <c r="CO13" s="46">
        <v>0</v>
      </c>
      <c r="CP13" s="46">
        <f t="shared" si="35"/>
        <v>1</v>
      </c>
      <c r="CQ13" s="46">
        <v>0</v>
      </c>
      <c r="CR13" s="46">
        <v>0</v>
      </c>
      <c r="CS13" s="46">
        <f t="shared" si="36"/>
        <v>0</v>
      </c>
      <c r="CT13" s="46">
        <v>0</v>
      </c>
      <c r="CU13" s="46">
        <v>0</v>
      </c>
      <c r="CV13" s="46">
        <f t="shared" si="37"/>
        <v>0</v>
      </c>
      <c r="CW13" s="46">
        <f t="shared" si="68"/>
        <v>8</v>
      </c>
      <c r="CX13" s="46">
        <f t="shared" si="69"/>
        <v>4</v>
      </c>
      <c r="CY13" s="46">
        <f t="shared" si="39"/>
        <v>12</v>
      </c>
      <c r="CZ13" s="46">
        <f t="shared" si="70"/>
        <v>0</v>
      </c>
      <c r="DA13" s="46">
        <f t="shared" si="71"/>
        <v>0</v>
      </c>
      <c r="DB13" s="46">
        <f t="shared" si="41"/>
        <v>0</v>
      </c>
      <c r="DC13" s="46">
        <f t="shared" si="72"/>
        <v>1</v>
      </c>
      <c r="DD13" s="46">
        <f t="shared" si="73"/>
        <v>1</v>
      </c>
      <c r="DE13" s="46">
        <f t="shared" si="43"/>
        <v>2</v>
      </c>
      <c r="DF13" s="46">
        <f t="shared" si="44"/>
        <v>32</v>
      </c>
      <c r="DG13" s="46">
        <f t="shared" si="45"/>
        <v>30.77</v>
      </c>
      <c r="DH13" s="46">
        <f t="shared" si="46"/>
        <v>31.58</v>
      </c>
      <c r="DI13" s="46">
        <f t="shared" si="47"/>
        <v>0</v>
      </c>
      <c r="DJ13" s="46" t="e">
        <f t="shared" si="48"/>
        <v>#DIV/0!</v>
      </c>
      <c r="DK13" s="46">
        <f t="shared" si="49"/>
        <v>0</v>
      </c>
      <c r="DL13" s="46">
        <f t="shared" si="50"/>
        <v>20</v>
      </c>
      <c r="DM13" s="46">
        <f t="shared" si="51"/>
        <v>33.33</v>
      </c>
      <c r="DN13" s="46">
        <f t="shared" si="52"/>
        <v>25</v>
      </c>
      <c r="DO13" s="46">
        <v>486</v>
      </c>
      <c r="DP13" s="46">
        <v>473</v>
      </c>
      <c r="DQ13" s="46">
        <f t="shared" si="53"/>
        <v>959</v>
      </c>
      <c r="DR13" s="46">
        <v>20</v>
      </c>
      <c r="DS13" s="46">
        <v>38</v>
      </c>
      <c r="DT13" s="46">
        <f t="shared" si="54"/>
        <v>58</v>
      </c>
      <c r="DU13" s="46">
        <v>85</v>
      </c>
      <c r="DV13" s="46">
        <v>81</v>
      </c>
      <c r="DW13" s="46">
        <f t="shared" si="55"/>
        <v>166</v>
      </c>
      <c r="DX13" s="46">
        <v>3863</v>
      </c>
      <c r="DY13" s="46">
        <v>3824</v>
      </c>
      <c r="DZ13" s="46">
        <f t="shared" si="56"/>
        <v>7687</v>
      </c>
      <c r="EA13" s="46">
        <v>135</v>
      </c>
      <c r="EB13" s="46">
        <v>184</v>
      </c>
      <c r="EC13" s="46">
        <f t="shared" si="57"/>
        <v>319</v>
      </c>
      <c r="ED13" s="46">
        <v>1321</v>
      </c>
      <c r="EE13" s="46">
        <v>1373</v>
      </c>
      <c r="EF13" s="46">
        <f t="shared" si="58"/>
        <v>2694</v>
      </c>
      <c r="EG13" s="46">
        <f t="shared" si="59"/>
        <v>-35186</v>
      </c>
      <c r="EH13" s="46">
        <f t="shared" si="60"/>
        <v>-27632</v>
      </c>
      <c r="EI13" s="46">
        <f t="shared" si="61"/>
        <v>-18986</v>
      </c>
      <c r="EJ13" s="46">
        <f t="shared" si="62"/>
        <v>-719</v>
      </c>
      <c r="EK13" s="46">
        <f t="shared" si="63"/>
        <v>-7998</v>
      </c>
      <c r="EL13" s="3"/>
    </row>
    <row r="14" spans="1:142" s="34" customFormat="1" ht="28.5">
      <c r="A14" s="50">
        <v>12</v>
      </c>
      <c r="B14" s="27" t="s">
        <v>122</v>
      </c>
      <c r="C14" s="27" t="s">
        <v>69</v>
      </c>
      <c r="D14" s="63">
        <v>42794</v>
      </c>
      <c r="E14" s="63">
        <v>42804</v>
      </c>
      <c r="F14" s="63">
        <v>42887</v>
      </c>
      <c r="G14" s="63">
        <v>42893</v>
      </c>
      <c r="H14" s="6">
        <v>0</v>
      </c>
      <c r="I14" s="6">
        <v>9031</v>
      </c>
      <c r="J14" s="6">
        <v>0</v>
      </c>
      <c r="K14" s="2">
        <f t="shared" si="0"/>
        <v>9031</v>
      </c>
      <c r="L14" s="6">
        <v>0</v>
      </c>
      <c r="M14" s="6">
        <v>601814</v>
      </c>
      <c r="N14" s="6">
        <v>0</v>
      </c>
      <c r="O14" s="2">
        <f t="shared" si="1"/>
        <v>601814</v>
      </c>
      <c r="P14" s="6">
        <v>0</v>
      </c>
      <c r="Q14" s="6">
        <v>508262</v>
      </c>
      <c r="R14" s="6"/>
      <c r="S14" s="2">
        <f t="shared" si="2"/>
        <v>508262</v>
      </c>
      <c r="T14" s="15">
        <f t="shared" si="3"/>
        <v>84.45</v>
      </c>
      <c r="U14" s="6">
        <v>748</v>
      </c>
      <c r="V14" s="6">
        <v>3209</v>
      </c>
      <c r="W14" s="6">
        <v>2056</v>
      </c>
      <c r="X14" s="6">
        <v>1112</v>
      </c>
      <c r="Y14" s="6">
        <v>657</v>
      </c>
      <c r="Z14" s="6">
        <v>462</v>
      </c>
      <c r="AA14" s="6">
        <v>568</v>
      </c>
      <c r="AB14" s="29">
        <f t="shared" si="4"/>
        <v>219</v>
      </c>
      <c r="AC14" s="30">
        <v>280389</v>
      </c>
      <c r="AD14" s="30">
        <v>287799</v>
      </c>
      <c r="AE14" s="2">
        <f t="shared" si="5"/>
        <v>568188</v>
      </c>
      <c r="AF14" s="31">
        <v>53734</v>
      </c>
      <c r="AG14" s="31">
        <v>55747</v>
      </c>
      <c r="AH14" s="2">
        <f t="shared" si="6"/>
        <v>109481</v>
      </c>
      <c r="AI14" s="31">
        <v>56181</v>
      </c>
      <c r="AJ14" s="31">
        <v>62963</v>
      </c>
      <c r="AK14" s="2">
        <f t="shared" si="7"/>
        <v>119144</v>
      </c>
      <c r="AL14" s="30">
        <v>239979</v>
      </c>
      <c r="AM14" s="30">
        <v>248893</v>
      </c>
      <c r="AN14" s="2">
        <f t="shared" si="8"/>
        <v>488872</v>
      </c>
      <c r="AO14" s="31">
        <v>43780</v>
      </c>
      <c r="AP14" s="31">
        <v>45198</v>
      </c>
      <c r="AQ14" s="2">
        <f t="shared" si="9"/>
        <v>88978</v>
      </c>
      <c r="AR14" s="31">
        <v>46282</v>
      </c>
      <c r="AS14" s="31">
        <v>53186</v>
      </c>
      <c r="AT14" s="2">
        <f t="shared" si="10"/>
        <v>99468</v>
      </c>
      <c r="AU14" s="31">
        <v>2324</v>
      </c>
      <c r="AV14" s="31">
        <v>2222</v>
      </c>
      <c r="AW14" s="2">
        <f t="shared" si="11"/>
        <v>4546</v>
      </c>
      <c r="AX14" s="31">
        <v>492</v>
      </c>
      <c r="AY14" s="31">
        <v>472</v>
      </c>
      <c r="AZ14" s="2">
        <f t="shared" si="12"/>
        <v>964</v>
      </c>
      <c r="BA14" s="31">
        <v>592</v>
      </c>
      <c r="BB14" s="31">
        <v>616</v>
      </c>
      <c r="BC14" s="2">
        <f t="shared" si="13"/>
        <v>1208</v>
      </c>
      <c r="BD14" s="28">
        <f t="shared" si="75"/>
        <v>242303</v>
      </c>
      <c r="BE14" s="28">
        <f t="shared" si="74"/>
        <v>251115</v>
      </c>
      <c r="BF14" s="2">
        <f t="shared" si="15"/>
        <v>493418</v>
      </c>
      <c r="BG14" s="28">
        <f t="shared" si="64"/>
        <v>44272</v>
      </c>
      <c r="BH14" s="28">
        <f t="shared" si="65"/>
        <v>45670</v>
      </c>
      <c r="BI14" s="2">
        <f t="shared" si="17"/>
        <v>89942</v>
      </c>
      <c r="BJ14" s="28">
        <f t="shared" si="66"/>
        <v>46874</v>
      </c>
      <c r="BK14" s="28">
        <f t="shared" si="67"/>
        <v>53802</v>
      </c>
      <c r="BL14" s="2">
        <f t="shared" si="19"/>
        <v>100676</v>
      </c>
      <c r="BM14" s="28">
        <f t="shared" si="20"/>
        <v>86.42</v>
      </c>
      <c r="BN14" s="28">
        <f t="shared" si="21"/>
        <v>87.25</v>
      </c>
      <c r="BO14" s="28">
        <f t="shared" si="22"/>
        <v>86.84</v>
      </c>
      <c r="BP14" s="28">
        <f t="shared" si="23"/>
        <v>82.39</v>
      </c>
      <c r="BQ14" s="28">
        <f t="shared" si="24"/>
        <v>81.92</v>
      </c>
      <c r="BR14" s="28">
        <f t="shared" si="25"/>
        <v>82.15</v>
      </c>
      <c r="BS14" s="28">
        <f t="shared" si="26"/>
        <v>83.43</v>
      </c>
      <c r="BT14" s="28">
        <f t="shared" si="27"/>
        <v>85.45</v>
      </c>
      <c r="BU14" s="28">
        <f t="shared" si="28"/>
        <v>84.5</v>
      </c>
      <c r="BV14" s="30">
        <v>12757</v>
      </c>
      <c r="BW14" s="30">
        <v>10037</v>
      </c>
      <c r="BX14" s="2">
        <f t="shared" si="29"/>
        <v>22794</v>
      </c>
      <c r="BY14" s="31">
        <v>3121</v>
      </c>
      <c r="BZ14" s="31">
        <v>2695</v>
      </c>
      <c r="CA14" s="2">
        <f t="shared" si="76"/>
        <v>5816</v>
      </c>
      <c r="CB14" s="31">
        <v>3628</v>
      </c>
      <c r="CC14" s="31">
        <v>3121</v>
      </c>
      <c r="CD14" s="2">
        <f t="shared" si="31"/>
        <v>6749</v>
      </c>
      <c r="CE14" s="30">
        <v>7969</v>
      </c>
      <c r="CF14" s="30">
        <v>6158</v>
      </c>
      <c r="CG14" s="2">
        <f t="shared" si="77"/>
        <v>14127</v>
      </c>
      <c r="CH14" s="31">
        <v>1890</v>
      </c>
      <c r="CI14" s="31">
        <v>1637</v>
      </c>
      <c r="CJ14" s="2">
        <f t="shared" si="33"/>
        <v>3527</v>
      </c>
      <c r="CK14" s="31">
        <v>2237</v>
      </c>
      <c r="CL14" s="31">
        <v>1847</v>
      </c>
      <c r="CM14" s="2">
        <f t="shared" si="34"/>
        <v>4084</v>
      </c>
      <c r="CN14" s="31">
        <v>372</v>
      </c>
      <c r="CO14" s="31">
        <v>332</v>
      </c>
      <c r="CP14" s="2">
        <f t="shared" si="35"/>
        <v>704</v>
      </c>
      <c r="CQ14" s="31">
        <v>85</v>
      </c>
      <c r="CR14" s="31">
        <v>85</v>
      </c>
      <c r="CS14" s="2">
        <f t="shared" si="36"/>
        <v>170</v>
      </c>
      <c r="CT14" s="31">
        <v>102</v>
      </c>
      <c r="CU14" s="31">
        <v>81</v>
      </c>
      <c r="CV14" s="2">
        <f t="shared" si="37"/>
        <v>183</v>
      </c>
      <c r="CW14" s="28">
        <f t="shared" si="68"/>
        <v>8341</v>
      </c>
      <c r="CX14" s="28">
        <f t="shared" si="69"/>
        <v>6490</v>
      </c>
      <c r="CY14" s="2">
        <f t="shared" si="39"/>
        <v>14831</v>
      </c>
      <c r="CZ14" s="28">
        <f t="shared" si="70"/>
        <v>1975</v>
      </c>
      <c r="DA14" s="28">
        <f t="shared" si="71"/>
        <v>1722</v>
      </c>
      <c r="DB14" s="2">
        <f t="shared" si="41"/>
        <v>3697</v>
      </c>
      <c r="DC14" s="28">
        <f t="shared" si="72"/>
        <v>2339</v>
      </c>
      <c r="DD14" s="28">
        <f t="shared" si="73"/>
        <v>1928</v>
      </c>
      <c r="DE14" s="2">
        <f t="shared" si="43"/>
        <v>4267</v>
      </c>
      <c r="DF14" s="28">
        <f t="shared" si="44"/>
        <v>65.38</v>
      </c>
      <c r="DG14" s="28">
        <f t="shared" si="45"/>
        <v>64.66</v>
      </c>
      <c r="DH14" s="28">
        <f t="shared" si="46"/>
        <v>65.069999999999993</v>
      </c>
      <c r="DI14" s="28">
        <f t="shared" si="47"/>
        <v>63.28</v>
      </c>
      <c r="DJ14" s="28">
        <f t="shared" si="48"/>
        <v>63.9</v>
      </c>
      <c r="DK14" s="28">
        <f t="shared" si="49"/>
        <v>63.57</v>
      </c>
      <c r="DL14" s="28">
        <f t="shared" si="50"/>
        <v>64.47</v>
      </c>
      <c r="DM14" s="28">
        <f t="shared" si="51"/>
        <v>61.78</v>
      </c>
      <c r="DN14" s="28">
        <f t="shared" si="52"/>
        <v>63.22</v>
      </c>
      <c r="DO14" s="32">
        <f>90662+447</f>
        <v>91109</v>
      </c>
      <c r="DP14" s="32">
        <f>99095+290</f>
        <v>99385</v>
      </c>
      <c r="DQ14" s="2">
        <f t="shared" si="53"/>
        <v>190494</v>
      </c>
      <c r="DR14" s="32">
        <f>13640+96</f>
        <v>13736</v>
      </c>
      <c r="DS14" s="32">
        <f>14547+74</f>
        <v>14621</v>
      </c>
      <c r="DT14" s="2">
        <f t="shared" si="54"/>
        <v>28357</v>
      </c>
      <c r="DU14" s="32">
        <f>12117+114</f>
        <v>12231</v>
      </c>
      <c r="DV14" s="32">
        <f>15930+68</f>
        <v>15998</v>
      </c>
      <c r="DW14" s="2">
        <f t="shared" si="55"/>
        <v>28229</v>
      </c>
      <c r="DX14" s="42">
        <f>149317+7469</f>
        <v>156786</v>
      </c>
      <c r="DY14" s="42">
        <f>149798+5802</f>
        <v>155600</v>
      </c>
      <c r="DZ14" s="2">
        <f t="shared" si="56"/>
        <v>312386</v>
      </c>
      <c r="EA14" s="32">
        <f>30140+1786</f>
        <v>31926</v>
      </c>
      <c r="EB14" s="32">
        <f>30651+1556</f>
        <v>32207</v>
      </c>
      <c r="EC14" s="2">
        <f t="shared" si="57"/>
        <v>64133</v>
      </c>
      <c r="ED14" s="32">
        <f>34165+2119</f>
        <v>36284</v>
      </c>
      <c r="EE14" s="32">
        <f>37256+1773</f>
        <v>39029</v>
      </c>
      <c r="EF14" s="2">
        <f t="shared" si="58"/>
        <v>75313</v>
      </c>
      <c r="EG14" s="4">
        <f t="shared" si="59"/>
        <v>10832</v>
      </c>
      <c r="EH14" s="4">
        <f t="shared" si="60"/>
        <v>13</v>
      </c>
      <c r="EI14" s="4">
        <f t="shared" si="61"/>
        <v>-5369</v>
      </c>
      <c r="EJ14" s="4">
        <f t="shared" si="62"/>
        <v>-1149</v>
      </c>
      <c r="EK14" s="4">
        <f t="shared" si="63"/>
        <v>-1401</v>
      </c>
    </row>
    <row r="15" spans="1:142" s="34" customFormat="1" ht="33.75" customHeight="1">
      <c r="A15" s="51">
        <v>18</v>
      </c>
      <c r="B15" s="53" t="s">
        <v>90</v>
      </c>
      <c r="C15" s="48" t="s">
        <v>82</v>
      </c>
      <c r="D15" s="64">
        <v>42803</v>
      </c>
      <c r="E15" s="64">
        <v>42835</v>
      </c>
      <c r="F15" s="64">
        <v>42933</v>
      </c>
      <c r="G15" s="64">
        <v>42940</v>
      </c>
      <c r="H15" s="46">
        <v>1821</v>
      </c>
      <c r="I15" s="46">
        <v>228</v>
      </c>
      <c r="J15" s="46">
        <v>12617</v>
      </c>
      <c r="K15" s="46">
        <f t="shared" si="0"/>
        <v>14666</v>
      </c>
      <c r="L15" s="46">
        <v>274381</v>
      </c>
      <c r="M15" s="46">
        <v>18915</v>
      </c>
      <c r="N15" s="46">
        <v>1222290</v>
      </c>
      <c r="O15" s="46">
        <f t="shared" si="1"/>
        <v>1515586</v>
      </c>
      <c r="P15" s="46">
        <v>207681</v>
      </c>
      <c r="Q15" s="46">
        <v>18112</v>
      </c>
      <c r="R15" s="46">
        <v>1211350</v>
      </c>
      <c r="S15" s="46">
        <f t="shared" si="2"/>
        <v>1437143</v>
      </c>
      <c r="T15" s="46">
        <f t="shared" si="3"/>
        <v>94.82</v>
      </c>
      <c r="U15" s="46">
        <v>11413</v>
      </c>
      <c r="V15" s="46">
        <v>3498</v>
      </c>
      <c r="W15" s="46">
        <v>790</v>
      </c>
      <c r="X15" s="46">
        <v>304</v>
      </c>
      <c r="Y15" s="46">
        <v>131</v>
      </c>
      <c r="Z15" s="46">
        <v>67</v>
      </c>
      <c r="AA15" s="46">
        <v>145</v>
      </c>
      <c r="AB15" s="47">
        <f t="shared" si="4"/>
        <v>-1682</v>
      </c>
      <c r="AC15" s="46">
        <v>979745</v>
      </c>
      <c r="AD15" s="46">
        <v>671844</v>
      </c>
      <c r="AE15" s="46">
        <f t="shared" si="5"/>
        <v>1651589</v>
      </c>
      <c r="AF15" s="46">
        <v>78213</v>
      </c>
      <c r="AG15" s="46">
        <v>57214</v>
      </c>
      <c r="AH15" s="46">
        <f t="shared" si="6"/>
        <v>135427</v>
      </c>
      <c r="AI15" s="46">
        <v>31927</v>
      </c>
      <c r="AJ15" s="46">
        <v>26341</v>
      </c>
      <c r="AK15" s="2">
        <f t="shared" si="7"/>
        <v>58268</v>
      </c>
      <c r="AL15" s="46">
        <v>919505</v>
      </c>
      <c r="AM15" s="46">
        <v>624862</v>
      </c>
      <c r="AN15" s="46">
        <f t="shared" si="8"/>
        <v>1544367</v>
      </c>
      <c r="AO15" s="46">
        <v>68926</v>
      </c>
      <c r="AP15" s="46">
        <v>49190</v>
      </c>
      <c r="AQ15" s="46">
        <f t="shared" si="9"/>
        <v>118116</v>
      </c>
      <c r="AR15" s="46">
        <v>28422</v>
      </c>
      <c r="AS15" s="46">
        <v>23057</v>
      </c>
      <c r="AT15" s="46">
        <f t="shared" si="10"/>
        <v>51479</v>
      </c>
      <c r="AU15" s="46">
        <v>16903</v>
      </c>
      <c r="AV15" s="46">
        <v>11943</v>
      </c>
      <c r="AW15" s="46">
        <f t="shared" si="11"/>
        <v>28846</v>
      </c>
      <c r="AX15" s="46">
        <v>1670</v>
      </c>
      <c r="AY15" s="46">
        <v>1592</v>
      </c>
      <c r="AZ15" s="2">
        <f t="shared" si="12"/>
        <v>3262</v>
      </c>
      <c r="BA15" s="46">
        <v>1714</v>
      </c>
      <c r="BB15" s="46">
        <v>1738</v>
      </c>
      <c r="BC15" s="46">
        <f t="shared" si="13"/>
        <v>3452</v>
      </c>
      <c r="BD15" s="46">
        <f t="shared" si="75"/>
        <v>936408</v>
      </c>
      <c r="BE15" s="46">
        <f t="shared" si="74"/>
        <v>636805</v>
      </c>
      <c r="BF15" s="46">
        <f t="shared" si="15"/>
        <v>1573213</v>
      </c>
      <c r="BG15" s="46">
        <f t="shared" si="64"/>
        <v>70596</v>
      </c>
      <c r="BH15" s="46">
        <f t="shared" si="65"/>
        <v>50782</v>
      </c>
      <c r="BI15" s="46">
        <f t="shared" si="17"/>
        <v>121378</v>
      </c>
      <c r="BJ15" s="46">
        <f t="shared" si="66"/>
        <v>30136</v>
      </c>
      <c r="BK15" s="46">
        <f t="shared" si="67"/>
        <v>24795</v>
      </c>
      <c r="BL15" s="46">
        <f t="shared" si="19"/>
        <v>54931</v>
      </c>
      <c r="BM15" s="46">
        <f t="shared" si="20"/>
        <v>95.58</v>
      </c>
      <c r="BN15" s="46">
        <f t="shared" si="21"/>
        <v>94.78</v>
      </c>
      <c r="BO15" s="46">
        <f t="shared" si="22"/>
        <v>95.25</v>
      </c>
      <c r="BP15" s="46">
        <f t="shared" si="23"/>
        <v>90.26</v>
      </c>
      <c r="BQ15" s="46">
        <f t="shared" si="24"/>
        <v>88.76</v>
      </c>
      <c r="BR15" s="46">
        <f t="shared" si="25"/>
        <v>89.63</v>
      </c>
      <c r="BS15" s="46">
        <f t="shared" si="26"/>
        <v>94.39</v>
      </c>
      <c r="BT15" s="46">
        <f t="shared" si="27"/>
        <v>94.13</v>
      </c>
      <c r="BU15" s="46">
        <f t="shared" si="28"/>
        <v>94.27</v>
      </c>
      <c r="BV15" s="46">
        <v>3946</v>
      </c>
      <c r="BW15" s="46">
        <v>3511</v>
      </c>
      <c r="BX15" s="46">
        <f t="shared" si="29"/>
        <v>7457</v>
      </c>
      <c r="BY15" s="46">
        <v>48</v>
      </c>
      <c r="BZ15" s="46">
        <v>90</v>
      </c>
      <c r="CA15" s="2">
        <f t="shared" si="76"/>
        <v>138</v>
      </c>
      <c r="CB15" s="46">
        <v>15</v>
      </c>
      <c r="CC15" s="46">
        <v>5</v>
      </c>
      <c r="CD15" s="2">
        <f t="shared" si="31"/>
        <v>20</v>
      </c>
      <c r="CE15" s="46">
        <v>298</v>
      </c>
      <c r="CF15" s="46">
        <v>201</v>
      </c>
      <c r="CG15" s="46">
        <f t="shared" si="77"/>
        <v>499</v>
      </c>
      <c r="CH15" s="46">
        <v>27</v>
      </c>
      <c r="CI15" s="46">
        <v>9</v>
      </c>
      <c r="CJ15" s="2">
        <f t="shared" si="33"/>
        <v>36</v>
      </c>
      <c r="CK15" s="46">
        <v>4</v>
      </c>
      <c r="CL15" s="46">
        <v>3</v>
      </c>
      <c r="CM15" s="2">
        <f t="shared" si="34"/>
        <v>7</v>
      </c>
      <c r="CN15" s="46">
        <v>341</v>
      </c>
      <c r="CO15" s="46">
        <v>315</v>
      </c>
      <c r="CP15" s="2">
        <f t="shared" si="35"/>
        <v>656</v>
      </c>
      <c r="CQ15" s="46">
        <v>5</v>
      </c>
      <c r="CR15" s="46">
        <v>8</v>
      </c>
      <c r="CS15" s="2">
        <f t="shared" si="36"/>
        <v>13</v>
      </c>
      <c r="CT15" s="46">
        <v>2</v>
      </c>
      <c r="CU15" s="46">
        <v>0</v>
      </c>
      <c r="CV15" s="2">
        <f t="shared" si="37"/>
        <v>2</v>
      </c>
      <c r="CW15" s="46">
        <f t="shared" si="68"/>
        <v>639</v>
      </c>
      <c r="CX15" s="46">
        <f t="shared" si="69"/>
        <v>516</v>
      </c>
      <c r="CY15" s="46">
        <f t="shared" si="39"/>
        <v>1155</v>
      </c>
      <c r="CZ15" s="28">
        <f t="shared" si="70"/>
        <v>32</v>
      </c>
      <c r="DA15" s="28">
        <f t="shared" si="71"/>
        <v>17</v>
      </c>
      <c r="DB15" s="2">
        <f t="shared" si="41"/>
        <v>49</v>
      </c>
      <c r="DC15" s="28">
        <f t="shared" si="72"/>
        <v>6</v>
      </c>
      <c r="DD15" s="28">
        <f t="shared" si="73"/>
        <v>3</v>
      </c>
      <c r="DE15" s="2">
        <f t="shared" si="43"/>
        <v>9</v>
      </c>
      <c r="DF15" s="46">
        <f t="shared" si="44"/>
        <v>16.190000000000001</v>
      </c>
      <c r="DG15" s="46">
        <f t="shared" si="45"/>
        <v>14.7</v>
      </c>
      <c r="DH15" s="46">
        <f t="shared" si="46"/>
        <v>15.49</v>
      </c>
      <c r="DI15" s="28">
        <f t="shared" si="47"/>
        <v>66.67</v>
      </c>
      <c r="DJ15" s="28">
        <f t="shared" si="48"/>
        <v>18.89</v>
      </c>
      <c r="DK15" s="28">
        <f t="shared" si="49"/>
        <v>35.51</v>
      </c>
      <c r="DL15" s="28">
        <f t="shared" si="50"/>
        <v>40</v>
      </c>
      <c r="DM15" s="28">
        <f t="shared" si="51"/>
        <v>60</v>
      </c>
      <c r="DN15" s="28">
        <f t="shared" si="52"/>
        <v>45</v>
      </c>
      <c r="DO15" s="46">
        <v>722065</v>
      </c>
      <c r="DP15" s="46">
        <v>512751</v>
      </c>
      <c r="DQ15" s="46">
        <f t="shared" si="53"/>
        <v>1234816</v>
      </c>
      <c r="DR15" s="46">
        <v>48276</v>
      </c>
      <c r="DS15" s="46">
        <v>33982</v>
      </c>
      <c r="DT15" s="46">
        <f t="shared" si="54"/>
        <v>82258</v>
      </c>
      <c r="DU15" s="46">
        <v>18426</v>
      </c>
      <c r="DV15" s="46">
        <v>15088</v>
      </c>
      <c r="DW15" s="46">
        <f t="shared" si="55"/>
        <v>33514</v>
      </c>
      <c r="DX15" s="46">
        <v>197345</v>
      </c>
      <c r="DY15" s="46">
        <v>112084</v>
      </c>
      <c r="DZ15" s="46">
        <f t="shared" si="56"/>
        <v>309429</v>
      </c>
      <c r="EA15" s="46">
        <v>20642</v>
      </c>
      <c r="EB15" s="46">
        <v>15206</v>
      </c>
      <c r="EC15" s="46">
        <f t="shared" si="57"/>
        <v>35848</v>
      </c>
      <c r="ED15" s="46">
        <v>9996</v>
      </c>
      <c r="EE15" s="46">
        <v>7969</v>
      </c>
      <c r="EF15" s="46">
        <f t="shared" si="58"/>
        <v>17965</v>
      </c>
      <c r="EG15" s="46">
        <f t="shared" si="59"/>
        <v>-143460</v>
      </c>
      <c r="EH15" s="46">
        <f t="shared" si="60"/>
        <v>-137225</v>
      </c>
      <c r="EI15" s="46">
        <f t="shared" si="61"/>
        <v>-30123</v>
      </c>
      <c r="EJ15" s="46">
        <f t="shared" si="62"/>
        <v>-3321</v>
      </c>
      <c r="EK15" s="46">
        <f t="shared" si="63"/>
        <v>-3461</v>
      </c>
      <c r="EL15" s="3"/>
    </row>
    <row r="16" spans="1:142" s="34" customFormat="1" ht="28.5">
      <c r="A16" s="50">
        <v>6</v>
      </c>
      <c r="B16" s="35" t="s">
        <v>58</v>
      </c>
      <c r="C16" s="27" t="s">
        <v>59</v>
      </c>
      <c r="D16" s="63">
        <v>42780</v>
      </c>
      <c r="E16" s="63">
        <v>42795</v>
      </c>
      <c r="F16" s="63">
        <v>42933</v>
      </c>
      <c r="G16" s="63">
        <v>42935</v>
      </c>
      <c r="H16" s="6">
        <v>1</v>
      </c>
      <c r="I16" s="6">
        <v>5</v>
      </c>
      <c r="J16" s="6">
        <v>31</v>
      </c>
      <c r="K16" s="2">
        <f t="shared" si="0"/>
        <v>37</v>
      </c>
      <c r="L16" s="6">
        <v>6</v>
      </c>
      <c r="M16" s="6">
        <v>196</v>
      </c>
      <c r="N16" s="6">
        <v>561</v>
      </c>
      <c r="O16" s="2">
        <f t="shared" si="1"/>
        <v>763</v>
      </c>
      <c r="P16" s="6">
        <v>6</v>
      </c>
      <c r="Q16" s="6">
        <v>196</v>
      </c>
      <c r="R16" s="6">
        <v>517</v>
      </c>
      <c r="S16" s="2">
        <f t="shared" si="2"/>
        <v>719</v>
      </c>
      <c r="T16" s="15">
        <f t="shared" si="3"/>
        <v>94.23</v>
      </c>
      <c r="U16" s="6"/>
      <c r="V16" s="6"/>
      <c r="W16" s="6"/>
      <c r="X16" s="6"/>
      <c r="Y16" s="6"/>
      <c r="Z16" s="6"/>
      <c r="AA16" s="6"/>
      <c r="AB16" s="29">
        <f t="shared" si="4"/>
        <v>37</v>
      </c>
      <c r="AC16" s="30">
        <v>440</v>
      </c>
      <c r="AD16" s="30">
        <v>312</v>
      </c>
      <c r="AE16" s="2">
        <f t="shared" si="5"/>
        <v>752</v>
      </c>
      <c r="AF16" s="36">
        <v>38</v>
      </c>
      <c r="AG16" s="36">
        <v>50</v>
      </c>
      <c r="AH16" s="2">
        <f t="shared" si="6"/>
        <v>88</v>
      </c>
      <c r="AI16" s="31">
        <v>179</v>
      </c>
      <c r="AJ16" s="31">
        <v>106</v>
      </c>
      <c r="AK16" s="2">
        <f t="shared" si="7"/>
        <v>285</v>
      </c>
      <c r="AL16" s="30">
        <v>399</v>
      </c>
      <c r="AM16" s="30">
        <v>297</v>
      </c>
      <c r="AN16" s="2">
        <f t="shared" si="8"/>
        <v>696</v>
      </c>
      <c r="AO16" s="36">
        <v>35</v>
      </c>
      <c r="AP16" s="36">
        <v>46</v>
      </c>
      <c r="AQ16" s="2">
        <f t="shared" si="9"/>
        <v>81</v>
      </c>
      <c r="AR16" s="31">
        <v>174</v>
      </c>
      <c r="AS16" s="31">
        <v>102</v>
      </c>
      <c r="AT16" s="2">
        <f t="shared" si="10"/>
        <v>276</v>
      </c>
      <c r="AU16" s="31">
        <v>10</v>
      </c>
      <c r="AV16" s="31">
        <v>2</v>
      </c>
      <c r="AW16" s="2">
        <f t="shared" si="11"/>
        <v>12</v>
      </c>
      <c r="AX16" s="33">
        <v>1</v>
      </c>
      <c r="AY16" s="33">
        <v>2</v>
      </c>
      <c r="AZ16" s="2">
        <f t="shared" si="12"/>
        <v>3</v>
      </c>
      <c r="BA16" s="31">
        <v>1</v>
      </c>
      <c r="BB16" s="31">
        <v>1</v>
      </c>
      <c r="BC16" s="2">
        <f t="shared" si="13"/>
        <v>2</v>
      </c>
      <c r="BD16" s="28">
        <f t="shared" si="75"/>
        <v>409</v>
      </c>
      <c r="BE16" s="28">
        <f t="shared" si="74"/>
        <v>299</v>
      </c>
      <c r="BF16" s="2">
        <f t="shared" si="15"/>
        <v>708</v>
      </c>
      <c r="BG16" s="28">
        <f t="shared" si="64"/>
        <v>36</v>
      </c>
      <c r="BH16" s="28">
        <f t="shared" si="65"/>
        <v>48</v>
      </c>
      <c r="BI16" s="2">
        <f t="shared" si="17"/>
        <v>84</v>
      </c>
      <c r="BJ16" s="28">
        <f t="shared" si="66"/>
        <v>175</v>
      </c>
      <c r="BK16" s="28">
        <f t="shared" si="67"/>
        <v>103</v>
      </c>
      <c r="BL16" s="2">
        <f t="shared" si="19"/>
        <v>278</v>
      </c>
      <c r="BM16" s="28">
        <f t="shared" si="20"/>
        <v>92.95</v>
      </c>
      <c r="BN16" s="28">
        <f t="shared" si="21"/>
        <v>95.83</v>
      </c>
      <c r="BO16" s="28">
        <f t="shared" si="22"/>
        <v>94.15</v>
      </c>
      <c r="BP16" s="28">
        <f t="shared" si="23"/>
        <v>94.74</v>
      </c>
      <c r="BQ16" s="28">
        <f t="shared" si="24"/>
        <v>96</v>
      </c>
      <c r="BR16" s="28">
        <f t="shared" si="25"/>
        <v>95.45</v>
      </c>
      <c r="BS16" s="28">
        <f t="shared" si="26"/>
        <v>97.77</v>
      </c>
      <c r="BT16" s="28">
        <f t="shared" si="27"/>
        <v>97.17</v>
      </c>
      <c r="BU16" s="28">
        <f t="shared" si="28"/>
        <v>97.54</v>
      </c>
      <c r="BV16" s="30">
        <v>10</v>
      </c>
      <c r="BW16" s="30">
        <v>1</v>
      </c>
      <c r="BX16" s="2">
        <f t="shared" si="29"/>
        <v>11</v>
      </c>
      <c r="BY16" s="31">
        <v>0</v>
      </c>
      <c r="BZ16" s="31">
        <v>1</v>
      </c>
      <c r="CA16" s="2">
        <f t="shared" si="76"/>
        <v>1</v>
      </c>
      <c r="CB16" s="31">
        <v>1</v>
      </c>
      <c r="CC16" s="31">
        <v>0</v>
      </c>
      <c r="CD16" s="2">
        <f t="shared" si="31"/>
        <v>1</v>
      </c>
      <c r="CE16" s="30">
        <v>10</v>
      </c>
      <c r="CF16" s="30">
        <v>1</v>
      </c>
      <c r="CG16" s="2">
        <f t="shared" si="77"/>
        <v>11</v>
      </c>
      <c r="CH16" s="31">
        <v>0</v>
      </c>
      <c r="CI16" s="31">
        <v>1</v>
      </c>
      <c r="CJ16" s="2">
        <f t="shared" si="33"/>
        <v>1</v>
      </c>
      <c r="CK16" s="31">
        <v>1</v>
      </c>
      <c r="CL16" s="31">
        <v>0</v>
      </c>
      <c r="CM16" s="2">
        <f t="shared" si="34"/>
        <v>1</v>
      </c>
      <c r="CN16" s="33">
        <v>0</v>
      </c>
      <c r="CO16" s="31">
        <v>0</v>
      </c>
      <c r="CP16" s="2">
        <f t="shared" si="35"/>
        <v>0</v>
      </c>
      <c r="CQ16" s="31">
        <v>0</v>
      </c>
      <c r="CR16" s="31">
        <v>0</v>
      </c>
      <c r="CS16" s="2">
        <f t="shared" si="36"/>
        <v>0</v>
      </c>
      <c r="CT16" s="31">
        <v>0</v>
      </c>
      <c r="CU16" s="31">
        <v>0</v>
      </c>
      <c r="CV16" s="2">
        <f t="shared" si="37"/>
        <v>0</v>
      </c>
      <c r="CW16" s="28">
        <f t="shared" si="68"/>
        <v>10</v>
      </c>
      <c r="CX16" s="28">
        <f t="shared" si="69"/>
        <v>1</v>
      </c>
      <c r="CY16" s="2">
        <f t="shared" si="39"/>
        <v>11</v>
      </c>
      <c r="CZ16" s="28">
        <f t="shared" si="70"/>
        <v>0</v>
      </c>
      <c r="DA16" s="28">
        <f t="shared" si="71"/>
        <v>1</v>
      </c>
      <c r="DB16" s="2">
        <f t="shared" si="41"/>
        <v>1</v>
      </c>
      <c r="DC16" s="28">
        <f t="shared" si="72"/>
        <v>1</v>
      </c>
      <c r="DD16" s="28">
        <f t="shared" si="73"/>
        <v>0</v>
      </c>
      <c r="DE16" s="2">
        <f t="shared" si="43"/>
        <v>1</v>
      </c>
      <c r="DF16" s="28">
        <f t="shared" si="44"/>
        <v>100</v>
      </c>
      <c r="DG16" s="28">
        <f t="shared" si="45"/>
        <v>100</v>
      </c>
      <c r="DH16" s="28">
        <f t="shared" si="46"/>
        <v>100</v>
      </c>
      <c r="DI16" s="28" t="e">
        <f t="shared" si="47"/>
        <v>#DIV/0!</v>
      </c>
      <c r="DJ16" s="28">
        <f t="shared" si="48"/>
        <v>100</v>
      </c>
      <c r="DK16" s="28">
        <f t="shared" si="49"/>
        <v>100</v>
      </c>
      <c r="DL16" s="28">
        <f t="shared" si="50"/>
        <v>100</v>
      </c>
      <c r="DM16" s="28" t="e">
        <f t="shared" si="51"/>
        <v>#DIV/0!</v>
      </c>
      <c r="DN16" s="28">
        <f t="shared" si="52"/>
        <v>100</v>
      </c>
      <c r="DO16" s="32">
        <v>0</v>
      </c>
      <c r="DP16" s="32">
        <v>0</v>
      </c>
      <c r="DQ16" s="2">
        <f t="shared" si="53"/>
        <v>0</v>
      </c>
      <c r="DR16" s="37">
        <v>0</v>
      </c>
      <c r="DS16" s="37">
        <v>0</v>
      </c>
      <c r="DT16" s="2">
        <f t="shared" si="54"/>
        <v>0</v>
      </c>
      <c r="DU16" s="32">
        <v>0</v>
      </c>
      <c r="DV16" s="32">
        <v>0</v>
      </c>
      <c r="DW16" s="2">
        <f t="shared" si="55"/>
        <v>0</v>
      </c>
      <c r="DX16" s="32">
        <v>10</v>
      </c>
      <c r="DY16" s="32">
        <v>1</v>
      </c>
      <c r="DZ16" s="2">
        <f t="shared" si="56"/>
        <v>11</v>
      </c>
      <c r="EA16" s="38">
        <v>0</v>
      </c>
      <c r="EB16" s="38">
        <v>1</v>
      </c>
      <c r="EC16" s="2">
        <f t="shared" si="57"/>
        <v>1</v>
      </c>
      <c r="ED16" s="32">
        <v>1</v>
      </c>
      <c r="EE16" s="32">
        <v>0</v>
      </c>
      <c r="EF16" s="2">
        <f t="shared" si="58"/>
        <v>1</v>
      </c>
      <c r="EG16" s="4">
        <f t="shared" si="59"/>
        <v>0</v>
      </c>
      <c r="EH16" s="4">
        <f t="shared" si="60"/>
        <v>0</v>
      </c>
      <c r="EI16" s="4">
        <f t="shared" si="61"/>
        <v>-708</v>
      </c>
      <c r="EJ16" s="4">
        <f t="shared" si="62"/>
        <v>-84</v>
      </c>
      <c r="EK16" s="4">
        <f t="shared" si="63"/>
        <v>-278</v>
      </c>
    </row>
    <row r="17" spans="1:142" s="34" customFormat="1" ht="32.25" customHeight="1">
      <c r="A17" s="51">
        <v>35</v>
      </c>
      <c r="B17" s="45" t="s">
        <v>58</v>
      </c>
      <c r="C17" s="46" t="s">
        <v>59</v>
      </c>
      <c r="D17" s="64">
        <v>42780</v>
      </c>
      <c r="E17" s="64">
        <v>42795</v>
      </c>
      <c r="F17" s="64">
        <v>42933</v>
      </c>
      <c r="G17" s="64">
        <v>42935</v>
      </c>
      <c r="H17" s="46">
        <v>1</v>
      </c>
      <c r="I17" s="46">
        <v>5</v>
      </c>
      <c r="J17" s="46">
        <v>31</v>
      </c>
      <c r="K17" s="46">
        <f t="shared" si="0"/>
        <v>37</v>
      </c>
      <c r="L17" s="46">
        <v>6</v>
      </c>
      <c r="M17" s="46">
        <v>196</v>
      </c>
      <c r="N17" s="46">
        <v>561</v>
      </c>
      <c r="O17" s="46">
        <f t="shared" si="1"/>
        <v>763</v>
      </c>
      <c r="P17" s="46">
        <v>6</v>
      </c>
      <c r="Q17" s="46">
        <v>196</v>
      </c>
      <c r="R17" s="46">
        <v>517</v>
      </c>
      <c r="S17" s="46">
        <f t="shared" si="2"/>
        <v>719</v>
      </c>
      <c r="T17" s="46">
        <f t="shared" si="3"/>
        <v>94.23</v>
      </c>
      <c r="U17" s="46">
        <v>0</v>
      </c>
      <c r="V17" s="46">
        <v>0</v>
      </c>
      <c r="W17" s="46">
        <v>0</v>
      </c>
      <c r="X17" s="46">
        <v>1</v>
      </c>
      <c r="Y17" s="46">
        <v>218</v>
      </c>
      <c r="Z17" s="46">
        <v>386</v>
      </c>
      <c r="AA17" s="46">
        <v>114</v>
      </c>
      <c r="AB17" s="47">
        <f t="shared" si="4"/>
        <v>-682</v>
      </c>
      <c r="AC17" s="46">
        <v>440</v>
      </c>
      <c r="AD17" s="46">
        <v>312</v>
      </c>
      <c r="AE17" s="46">
        <f t="shared" si="5"/>
        <v>752</v>
      </c>
      <c r="AF17" s="46">
        <v>38</v>
      </c>
      <c r="AG17" s="46">
        <v>50</v>
      </c>
      <c r="AH17" s="46">
        <f t="shared" si="6"/>
        <v>88</v>
      </c>
      <c r="AI17" s="46">
        <v>179</v>
      </c>
      <c r="AJ17" s="46">
        <v>106</v>
      </c>
      <c r="AK17" s="46">
        <f t="shared" si="7"/>
        <v>285</v>
      </c>
      <c r="AL17" s="46">
        <v>399</v>
      </c>
      <c r="AM17" s="46">
        <v>297</v>
      </c>
      <c r="AN17" s="46">
        <f t="shared" si="8"/>
        <v>696</v>
      </c>
      <c r="AO17" s="46">
        <v>35</v>
      </c>
      <c r="AP17" s="46">
        <v>46</v>
      </c>
      <c r="AQ17" s="46">
        <f t="shared" si="9"/>
        <v>81</v>
      </c>
      <c r="AR17" s="46">
        <v>174</v>
      </c>
      <c r="AS17" s="46">
        <v>102</v>
      </c>
      <c r="AT17" s="46">
        <f t="shared" si="10"/>
        <v>276</v>
      </c>
      <c r="AU17" s="46">
        <v>10</v>
      </c>
      <c r="AV17" s="46">
        <v>2</v>
      </c>
      <c r="AW17" s="46">
        <f t="shared" si="11"/>
        <v>12</v>
      </c>
      <c r="AX17" s="46">
        <v>1</v>
      </c>
      <c r="AY17" s="46">
        <v>2</v>
      </c>
      <c r="AZ17" s="46">
        <f t="shared" si="12"/>
        <v>3</v>
      </c>
      <c r="BA17" s="46">
        <v>1</v>
      </c>
      <c r="BB17" s="46">
        <v>1</v>
      </c>
      <c r="BC17" s="46">
        <f t="shared" si="13"/>
        <v>2</v>
      </c>
      <c r="BD17" s="46">
        <f t="shared" si="75"/>
        <v>409</v>
      </c>
      <c r="BE17" s="46">
        <f t="shared" si="74"/>
        <v>299</v>
      </c>
      <c r="BF17" s="46">
        <f t="shared" si="15"/>
        <v>708</v>
      </c>
      <c r="BG17" s="46">
        <f t="shared" si="64"/>
        <v>36</v>
      </c>
      <c r="BH17" s="46">
        <f t="shared" si="65"/>
        <v>48</v>
      </c>
      <c r="BI17" s="46">
        <f t="shared" si="17"/>
        <v>84</v>
      </c>
      <c r="BJ17" s="46">
        <f t="shared" si="66"/>
        <v>175</v>
      </c>
      <c r="BK17" s="46">
        <f t="shared" si="67"/>
        <v>103</v>
      </c>
      <c r="BL17" s="46">
        <f t="shared" si="19"/>
        <v>278</v>
      </c>
      <c r="BM17" s="46">
        <f t="shared" si="20"/>
        <v>92.95</v>
      </c>
      <c r="BN17" s="46">
        <f t="shared" si="21"/>
        <v>95.83</v>
      </c>
      <c r="BO17" s="46">
        <f t="shared" si="22"/>
        <v>94.15</v>
      </c>
      <c r="BP17" s="46">
        <f t="shared" si="23"/>
        <v>94.74</v>
      </c>
      <c r="BQ17" s="46">
        <f t="shared" si="24"/>
        <v>96</v>
      </c>
      <c r="BR17" s="46">
        <f t="shared" si="25"/>
        <v>95.45</v>
      </c>
      <c r="BS17" s="46">
        <f t="shared" si="26"/>
        <v>97.77</v>
      </c>
      <c r="BT17" s="46">
        <f t="shared" si="27"/>
        <v>97.17</v>
      </c>
      <c r="BU17" s="46">
        <f t="shared" si="28"/>
        <v>97.54</v>
      </c>
      <c r="BV17" s="46">
        <v>10</v>
      </c>
      <c r="BW17" s="46">
        <v>1</v>
      </c>
      <c r="BX17" s="46">
        <f t="shared" si="29"/>
        <v>11</v>
      </c>
      <c r="BY17" s="46">
        <v>0</v>
      </c>
      <c r="BZ17" s="46">
        <v>1</v>
      </c>
      <c r="CA17" s="46">
        <f t="shared" si="76"/>
        <v>1</v>
      </c>
      <c r="CB17" s="46">
        <v>1</v>
      </c>
      <c r="CC17" s="46">
        <v>0</v>
      </c>
      <c r="CD17" s="46">
        <f t="shared" si="31"/>
        <v>1</v>
      </c>
      <c r="CE17" s="46">
        <v>10</v>
      </c>
      <c r="CF17" s="46">
        <v>1</v>
      </c>
      <c r="CG17" s="46">
        <f t="shared" si="77"/>
        <v>11</v>
      </c>
      <c r="CH17" s="46">
        <v>0</v>
      </c>
      <c r="CI17" s="46">
        <v>1</v>
      </c>
      <c r="CJ17" s="46">
        <f t="shared" si="33"/>
        <v>1</v>
      </c>
      <c r="CK17" s="46">
        <v>1</v>
      </c>
      <c r="CL17" s="46">
        <v>0</v>
      </c>
      <c r="CM17" s="46">
        <f t="shared" si="34"/>
        <v>1</v>
      </c>
      <c r="CN17" s="46">
        <v>0</v>
      </c>
      <c r="CO17" s="46">
        <v>0</v>
      </c>
      <c r="CP17" s="46">
        <f t="shared" si="35"/>
        <v>0</v>
      </c>
      <c r="CQ17" s="46">
        <v>0</v>
      </c>
      <c r="CR17" s="46">
        <v>0</v>
      </c>
      <c r="CS17" s="46">
        <f t="shared" si="36"/>
        <v>0</v>
      </c>
      <c r="CT17" s="46">
        <v>0</v>
      </c>
      <c r="CU17" s="46">
        <v>0</v>
      </c>
      <c r="CV17" s="46">
        <f t="shared" si="37"/>
        <v>0</v>
      </c>
      <c r="CW17" s="46">
        <f t="shared" si="68"/>
        <v>10</v>
      </c>
      <c r="CX17" s="46">
        <f t="shared" si="69"/>
        <v>1</v>
      </c>
      <c r="CY17" s="46">
        <f t="shared" si="39"/>
        <v>11</v>
      </c>
      <c r="CZ17" s="46">
        <f t="shared" si="70"/>
        <v>0</v>
      </c>
      <c r="DA17" s="46">
        <f t="shared" si="71"/>
        <v>1</v>
      </c>
      <c r="DB17" s="46">
        <f t="shared" si="41"/>
        <v>1</v>
      </c>
      <c r="DC17" s="46">
        <f t="shared" si="72"/>
        <v>1</v>
      </c>
      <c r="DD17" s="46">
        <f t="shared" si="73"/>
        <v>0</v>
      </c>
      <c r="DE17" s="46">
        <f t="shared" si="43"/>
        <v>1</v>
      </c>
      <c r="DF17" s="46">
        <f t="shared" si="44"/>
        <v>100</v>
      </c>
      <c r="DG17" s="46">
        <f t="shared" si="45"/>
        <v>100</v>
      </c>
      <c r="DH17" s="46">
        <f t="shared" si="46"/>
        <v>100</v>
      </c>
      <c r="DI17" s="46" t="e">
        <f t="shared" si="47"/>
        <v>#DIV/0!</v>
      </c>
      <c r="DJ17" s="46">
        <f t="shared" si="48"/>
        <v>100</v>
      </c>
      <c r="DK17" s="46">
        <f t="shared" si="49"/>
        <v>100</v>
      </c>
      <c r="DL17" s="46">
        <f t="shared" si="50"/>
        <v>100</v>
      </c>
      <c r="DM17" s="46" t="e">
        <f t="shared" si="51"/>
        <v>#DIV/0!</v>
      </c>
      <c r="DN17" s="46">
        <f t="shared" si="52"/>
        <v>100</v>
      </c>
      <c r="DO17" s="46">
        <v>0</v>
      </c>
      <c r="DP17" s="46">
        <v>0</v>
      </c>
      <c r="DQ17" s="46">
        <f t="shared" si="53"/>
        <v>0</v>
      </c>
      <c r="DR17" s="46">
        <v>0</v>
      </c>
      <c r="DS17" s="46">
        <v>0</v>
      </c>
      <c r="DT17" s="46">
        <f t="shared" si="54"/>
        <v>0</v>
      </c>
      <c r="DU17" s="46">
        <v>0</v>
      </c>
      <c r="DV17" s="46">
        <v>0</v>
      </c>
      <c r="DW17" s="46">
        <f t="shared" si="55"/>
        <v>0</v>
      </c>
      <c r="DX17" s="46">
        <v>10</v>
      </c>
      <c r="DY17" s="46">
        <v>1</v>
      </c>
      <c r="DZ17" s="46">
        <f t="shared" si="56"/>
        <v>11</v>
      </c>
      <c r="EA17" s="46">
        <v>0</v>
      </c>
      <c r="EB17" s="46">
        <v>1</v>
      </c>
      <c r="EC17" s="46">
        <f t="shared" si="57"/>
        <v>1</v>
      </c>
      <c r="ED17" s="46">
        <v>1</v>
      </c>
      <c r="EE17" s="46">
        <v>0</v>
      </c>
      <c r="EF17" s="46">
        <f t="shared" si="58"/>
        <v>1</v>
      </c>
      <c r="EG17" s="46">
        <f t="shared" si="59"/>
        <v>0</v>
      </c>
      <c r="EH17" s="46">
        <f t="shared" si="60"/>
        <v>0</v>
      </c>
      <c r="EI17" s="46">
        <f t="shared" si="61"/>
        <v>-708</v>
      </c>
      <c r="EJ17" s="46">
        <f t="shared" si="62"/>
        <v>-84</v>
      </c>
      <c r="EK17" s="46">
        <f t="shared" si="63"/>
        <v>-278</v>
      </c>
      <c r="EL17" s="3"/>
    </row>
    <row r="18" spans="1:142" s="34" customFormat="1" ht="36.75" customHeight="1">
      <c r="A18" s="49">
        <v>5</v>
      </c>
      <c r="B18" s="35" t="s">
        <v>56</v>
      </c>
      <c r="C18" s="27" t="s">
        <v>57</v>
      </c>
      <c r="D18" s="63">
        <v>42776</v>
      </c>
      <c r="E18" s="63">
        <v>42796</v>
      </c>
      <c r="F18" s="63">
        <v>42908</v>
      </c>
      <c r="G18" s="63">
        <v>42921</v>
      </c>
      <c r="H18" s="6">
        <v>4146</v>
      </c>
      <c r="I18" s="6">
        <v>0</v>
      </c>
      <c r="J18" s="6">
        <v>1822</v>
      </c>
      <c r="K18" s="2">
        <f t="shared" si="0"/>
        <v>5968</v>
      </c>
      <c r="L18" s="6">
        <v>305649</v>
      </c>
      <c r="M18" s="6">
        <v>0</v>
      </c>
      <c r="N18" s="6">
        <v>80700</v>
      </c>
      <c r="O18" s="2">
        <f t="shared" si="1"/>
        <v>386349</v>
      </c>
      <c r="P18" s="6">
        <v>180743</v>
      </c>
      <c r="Q18" s="6"/>
      <c r="R18" s="6">
        <v>58955</v>
      </c>
      <c r="S18" s="2">
        <f t="shared" si="2"/>
        <v>239698</v>
      </c>
      <c r="T18" s="15">
        <f t="shared" si="3"/>
        <v>62.04</v>
      </c>
      <c r="U18" s="6">
        <v>133</v>
      </c>
      <c r="V18" s="6">
        <v>364</v>
      </c>
      <c r="W18" s="6">
        <v>735</v>
      </c>
      <c r="X18" s="6">
        <v>954</v>
      </c>
      <c r="Y18" s="6">
        <v>1138</v>
      </c>
      <c r="Z18" s="6">
        <v>1016</v>
      </c>
      <c r="AA18" s="6">
        <v>1582</v>
      </c>
      <c r="AB18" s="29">
        <f t="shared" si="4"/>
        <v>46</v>
      </c>
      <c r="AC18" s="30">
        <v>178996</v>
      </c>
      <c r="AD18" s="30">
        <v>207353</v>
      </c>
      <c r="AE18" s="2">
        <f t="shared" si="5"/>
        <v>386349</v>
      </c>
      <c r="AF18" s="31">
        <v>26952</v>
      </c>
      <c r="AG18" s="31">
        <v>30817</v>
      </c>
      <c r="AH18" s="2">
        <f t="shared" si="6"/>
        <v>57769</v>
      </c>
      <c r="AI18" s="31">
        <v>49726</v>
      </c>
      <c r="AJ18" s="31">
        <v>60802</v>
      </c>
      <c r="AK18" s="2">
        <f t="shared" si="7"/>
        <v>110528</v>
      </c>
      <c r="AL18" s="30">
        <v>107373</v>
      </c>
      <c r="AM18" s="30">
        <v>128962</v>
      </c>
      <c r="AN18" s="2">
        <f t="shared" si="8"/>
        <v>236335</v>
      </c>
      <c r="AO18" s="31">
        <v>15126</v>
      </c>
      <c r="AP18" s="31">
        <v>17842</v>
      </c>
      <c r="AQ18" s="2">
        <f t="shared" si="9"/>
        <v>32968</v>
      </c>
      <c r="AR18" s="31">
        <v>28783</v>
      </c>
      <c r="AS18" s="31">
        <v>35256</v>
      </c>
      <c r="AT18" s="2">
        <f t="shared" si="10"/>
        <v>64039</v>
      </c>
      <c r="AU18" s="32">
        <v>1587</v>
      </c>
      <c r="AV18" s="32">
        <v>1779</v>
      </c>
      <c r="AW18" s="2">
        <f t="shared" si="11"/>
        <v>3366</v>
      </c>
      <c r="AX18" s="31">
        <v>270</v>
      </c>
      <c r="AY18" s="31">
        <v>297</v>
      </c>
      <c r="AZ18" s="2">
        <f t="shared" si="12"/>
        <v>567</v>
      </c>
      <c r="BA18" s="31">
        <v>367</v>
      </c>
      <c r="BB18" s="31">
        <v>442</v>
      </c>
      <c r="BC18" s="2">
        <f t="shared" si="13"/>
        <v>809</v>
      </c>
      <c r="BD18" s="28">
        <f t="shared" si="75"/>
        <v>108960</v>
      </c>
      <c r="BE18" s="28">
        <f t="shared" si="74"/>
        <v>130741</v>
      </c>
      <c r="BF18" s="2">
        <f t="shared" si="15"/>
        <v>239701</v>
      </c>
      <c r="BG18" s="28">
        <f t="shared" si="64"/>
        <v>15396</v>
      </c>
      <c r="BH18" s="28">
        <f t="shared" si="65"/>
        <v>18139</v>
      </c>
      <c r="BI18" s="2">
        <f t="shared" si="17"/>
        <v>33535</v>
      </c>
      <c r="BJ18" s="28">
        <f t="shared" si="66"/>
        <v>29150</v>
      </c>
      <c r="BK18" s="28">
        <f t="shared" si="67"/>
        <v>35698</v>
      </c>
      <c r="BL18" s="2">
        <f t="shared" si="19"/>
        <v>64848</v>
      </c>
      <c r="BM18" s="28">
        <f t="shared" si="20"/>
        <v>60.87</v>
      </c>
      <c r="BN18" s="28">
        <f t="shared" si="21"/>
        <v>63.05</v>
      </c>
      <c r="BO18" s="28">
        <f t="shared" si="22"/>
        <v>62.04</v>
      </c>
      <c r="BP18" s="28">
        <f t="shared" si="23"/>
        <v>57.12</v>
      </c>
      <c r="BQ18" s="28">
        <f t="shared" si="24"/>
        <v>58.86</v>
      </c>
      <c r="BR18" s="28">
        <f t="shared" si="25"/>
        <v>58.05</v>
      </c>
      <c r="BS18" s="28">
        <f t="shared" si="26"/>
        <v>58.62</v>
      </c>
      <c r="BT18" s="28">
        <f t="shared" si="27"/>
        <v>58.71</v>
      </c>
      <c r="BU18" s="28">
        <f t="shared" si="28"/>
        <v>58.67</v>
      </c>
      <c r="BV18" s="30">
        <v>5912</v>
      </c>
      <c r="BW18" s="30">
        <v>4752</v>
      </c>
      <c r="BX18" s="2">
        <f t="shared" si="29"/>
        <v>10664</v>
      </c>
      <c r="BY18" s="31">
        <v>896</v>
      </c>
      <c r="BZ18" s="31">
        <v>693</v>
      </c>
      <c r="CA18" s="2">
        <f t="shared" si="76"/>
        <v>1589</v>
      </c>
      <c r="CB18" s="31">
        <v>1364</v>
      </c>
      <c r="CC18" s="31">
        <v>1315</v>
      </c>
      <c r="CD18" s="2">
        <f t="shared" si="31"/>
        <v>2679</v>
      </c>
      <c r="CE18" s="30">
        <v>2000</v>
      </c>
      <c r="CF18" s="30">
        <v>1945</v>
      </c>
      <c r="CG18" s="2">
        <f t="shared" si="77"/>
        <v>3945</v>
      </c>
      <c r="CH18" s="31">
        <v>295</v>
      </c>
      <c r="CI18" s="31">
        <v>325</v>
      </c>
      <c r="CJ18" s="2">
        <f t="shared" si="33"/>
        <v>620</v>
      </c>
      <c r="CK18" s="31">
        <v>468</v>
      </c>
      <c r="CL18" s="31">
        <v>496</v>
      </c>
      <c r="CM18" s="2">
        <f t="shared" si="34"/>
        <v>964</v>
      </c>
      <c r="CN18" s="31">
        <v>773</v>
      </c>
      <c r="CO18" s="31">
        <v>639</v>
      </c>
      <c r="CP18" s="2">
        <f t="shared" si="35"/>
        <v>1412</v>
      </c>
      <c r="CQ18" s="31">
        <v>121</v>
      </c>
      <c r="CR18" s="31">
        <v>112</v>
      </c>
      <c r="CS18" s="2">
        <f t="shared" si="36"/>
        <v>233</v>
      </c>
      <c r="CT18" s="31">
        <v>169</v>
      </c>
      <c r="CU18" s="31">
        <v>126</v>
      </c>
      <c r="CV18" s="2">
        <f t="shared" si="37"/>
        <v>295</v>
      </c>
      <c r="CW18" s="28">
        <f t="shared" si="68"/>
        <v>2773</v>
      </c>
      <c r="CX18" s="28">
        <f t="shared" si="69"/>
        <v>2584</v>
      </c>
      <c r="CY18" s="2">
        <f t="shared" si="39"/>
        <v>5357</v>
      </c>
      <c r="CZ18" s="28">
        <f t="shared" si="70"/>
        <v>416</v>
      </c>
      <c r="DA18" s="28">
        <f t="shared" si="71"/>
        <v>437</v>
      </c>
      <c r="DB18" s="2">
        <f t="shared" si="41"/>
        <v>853</v>
      </c>
      <c r="DC18" s="28">
        <f t="shared" si="72"/>
        <v>637</v>
      </c>
      <c r="DD18" s="28">
        <f t="shared" si="73"/>
        <v>622</v>
      </c>
      <c r="DE18" s="2">
        <f t="shared" si="43"/>
        <v>1259</v>
      </c>
      <c r="DF18" s="28">
        <f t="shared" si="44"/>
        <v>46.9</v>
      </c>
      <c r="DG18" s="28">
        <f t="shared" si="45"/>
        <v>54.38</v>
      </c>
      <c r="DH18" s="28">
        <f t="shared" si="46"/>
        <v>50.23</v>
      </c>
      <c r="DI18" s="28">
        <f t="shared" si="47"/>
        <v>46.43</v>
      </c>
      <c r="DJ18" s="28">
        <f t="shared" si="48"/>
        <v>63.06</v>
      </c>
      <c r="DK18" s="28">
        <f t="shared" si="49"/>
        <v>53.68</v>
      </c>
      <c r="DL18" s="28">
        <f t="shared" si="50"/>
        <v>46.7</v>
      </c>
      <c r="DM18" s="28">
        <f t="shared" si="51"/>
        <v>47.3</v>
      </c>
      <c r="DN18" s="28">
        <f t="shared" si="52"/>
        <v>47</v>
      </c>
      <c r="DO18" s="32">
        <v>23202</v>
      </c>
      <c r="DP18" s="32">
        <v>25872</v>
      </c>
      <c r="DQ18" s="2">
        <f t="shared" si="53"/>
        <v>49074</v>
      </c>
      <c r="DR18" s="32">
        <v>3074</v>
      </c>
      <c r="DS18" s="32">
        <v>3154</v>
      </c>
      <c r="DT18" s="2">
        <f t="shared" si="54"/>
        <v>6228</v>
      </c>
      <c r="DU18" s="32">
        <v>4162</v>
      </c>
      <c r="DV18" s="32">
        <v>4396</v>
      </c>
      <c r="DW18" s="2">
        <f t="shared" si="55"/>
        <v>8558</v>
      </c>
      <c r="DX18" s="32">
        <v>84171</v>
      </c>
      <c r="DY18" s="32">
        <v>103090</v>
      </c>
      <c r="DZ18" s="2">
        <f t="shared" si="56"/>
        <v>187261</v>
      </c>
      <c r="EA18" s="32">
        <v>12052</v>
      </c>
      <c r="EB18" s="32">
        <v>14688</v>
      </c>
      <c r="EC18" s="2">
        <f t="shared" si="57"/>
        <v>26740</v>
      </c>
      <c r="ED18" s="32">
        <v>24621</v>
      </c>
      <c r="EE18" s="32">
        <v>30860</v>
      </c>
      <c r="EF18" s="2">
        <f t="shared" si="58"/>
        <v>55481</v>
      </c>
      <c r="EG18" s="4">
        <f t="shared" si="59"/>
        <v>-10664</v>
      </c>
      <c r="EH18" s="4">
        <f t="shared" si="60"/>
        <v>-5360</v>
      </c>
      <c r="EI18" s="4">
        <f t="shared" si="61"/>
        <v>-8723</v>
      </c>
      <c r="EJ18" s="4">
        <f t="shared" si="62"/>
        <v>-1420</v>
      </c>
      <c r="EK18" s="4">
        <f t="shared" si="63"/>
        <v>-2068</v>
      </c>
    </row>
    <row r="19" spans="1:142" s="34" customFormat="1" ht="31.5" customHeight="1">
      <c r="A19" s="51">
        <v>22</v>
      </c>
      <c r="B19" s="45" t="s">
        <v>93</v>
      </c>
      <c r="C19" s="48" t="s">
        <v>94</v>
      </c>
      <c r="D19" s="64">
        <v>43013</v>
      </c>
      <c r="E19" s="64">
        <v>43020</v>
      </c>
      <c r="F19" s="65" t="s">
        <v>75</v>
      </c>
      <c r="G19" s="65" t="s">
        <v>75</v>
      </c>
      <c r="H19" s="46">
        <v>0</v>
      </c>
      <c r="I19" s="46">
        <v>0</v>
      </c>
      <c r="J19" s="46">
        <v>0</v>
      </c>
      <c r="K19" s="2">
        <f t="shared" si="0"/>
        <v>0</v>
      </c>
      <c r="L19" s="46">
        <v>0</v>
      </c>
      <c r="M19" s="46">
        <v>0</v>
      </c>
      <c r="N19" s="46">
        <v>0</v>
      </c>
      <c r="O19" s="2">
        <f t="shared" si="1"/>
        <v>0</v>
      </c>
      <c r="P19" s="46">
        <v>0</v>
      </c>
      <c r="Q19" s="46">
        <v>0</v>
      </c>
      <c r="R19" s="46">
        <v>0</v>
      </c>
      <c r="S19" s="2">
        <f t="shared" si="2"/>
        <v>0</v>
      </c>
      <c r="T19" s="15" t="e">
        <f t="shared" si="3"/>
        <v>#DIV/0!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7">
        <f t="shared" si="4"/>
        <v>0</v>
      </c>
      <c r="AC19" s="46">
        <v>0</v>
      </c>
      <c r="AD19" s="46">
        <v>0</v>
      </c>
      <c r="AE19" s="46">
        <f t="shared" si="5"/>
        <v>0</v>
      </c>
      <c r="AF19" s="46">
        <v>0</v>
      </c>
      <c r="AG19" s="46">
        <v>0</v>
      </c>
      <c r="AH19" s="46">
        <f t="shared" si="6"/>
        <v>0</v>
      </c>
      <c r="AI19" s="46">
        <v>0</v>
      </c>
      <c r="AJ19" s="46">
        <v>0</v>
      </c>
      <c r="AK19" s="2">
        <f t="shared" si="7"/>
        <v>0</v>
      </c>
      <c r="AL19" s="46">
        <v>0</v>
      </c>
      <c r="AM19" s="46">
        <v>0</v>
      </c>
      <c r="AN19" s="46">
        <f t="shared" si="8"/>
        <v>0</v>
      </c>
      <c r="AO19" s="46">
        <v>0</v>
      </c>
      <c r="AP19" s="46">
        <v>0</v>
      </c>
      <c r="AQ19" s="46">
        <f t="shared" si="9"/>
        <v>0</v>
      </c>
      <c r="AR19" s="46">
        <v>0</v>
      </c>
      <c r="AS19" s="46">
        <v>0</v>
      </c>
      <c r="AT19" s="46">
        <f t="shared" si="10"/>
        <v>0</v>
      </c>
      <c r="AU19" s="46">
        <v>0</v>
      </c>
      <c r="AV19" s="46">
        <v>0</v>
      </c>
      <c r="AW19" s="46">
        <f t="shared" si="11"/>
        <v>0</v>
      </c>
      <c r="AX19" s="46">
        <v>0</v>
      </c>
      <c r="AY19" s="46">
        <v>0</v>
      </c>
      <c r="AZ19" s="2">
        <f t="shared" si="12"/>
        <v>0</v>
      </c>
      <c r="BA19" s="46">
        <v>0</v>
      </c>
      <c r="BB19" s="46">
        <v>0</v>
      </c>
      <c r="BC19" s="46">
        <f t="shared" si="13"/>
        <v>0</v>
      </c>
      <c r="BD19" s="46">
        <f t="shared" si="75"/>
        <v>0</v>
      </c>
      <c r="BE19" s="46">
        <f t="shared" si="74"/>
        <v>0</v>
      </c>
      <c r="BF19" s="46">
        <f t="shared" si="15"/>
        <v>0</v>
      </c>
      <c r="BG19" s="46">
        <f t="shared" si="64"/>
        <v>0</v>
      </c>
      <c r="BH19" s="46">
        <f t="shared" si="65"/>
        <v>0</v>
      </c>
      <c r="BI19" s="46">
        <f t="shared" si="17"/>
        <v>0</v>
      </c>
      <c r="BJ19" s="46">
        <f t="shared" si="66"/>
        <v>0</v>
      </c>
      <c r="BK19" s="46">
        <f t="shared" si="67"/>
        <v>0</v>
      </c>
      <c r="BL19" s="46">
        <f t="shared" si="19"/>
        <v>0</v>
      </c>
      <c r="BM19" s="46" t="e">
        <f t="shared" si="20"/>
        <v>#DIV/0!</v>
      </c>
      <c r="BN19" s="46" t="e">
        <f t="shared" si="21"/>
        <v>#DIV/0!</v>
      </c>
      <c r="BO19" s="46" t="e">
        <f t="shared" si="22"/>
        <v>#DIV/0!</v>
      </c>
      <c r="BP19" s="46" t="e">
        <f t="shared" si="23"/>
        <v>#DIV/0!</v>
      </c>
      <c r="BQ19" s="46" t="e">
        <f t="shared" si="24"/>
        <v>#DIV/0!</v>
      </c>
      <c r="BR19" s="46" t="e">
        <f t="shared" si="25"/>
        <v>#DIV/0!</v>
      </c>
      <c r="BS19" s="46" t="e">
        <f t="shared" si="26"/>
        <v>#DIV/0!</v>
      </c>
      <c r="BT19" s="46" t="e">
        <f t="shared" si="27"/>
        <v>#DIV/0!</v>
      </c>
      <c r="BU19" s="46" t="e">
        <f t="shared" si="28"/>
        <v>#DIV/0!</v>
      </c>
      <c r="BV19" s="46">
        <v>111</v>
      </c>
      <c r="BW19" s="46">
        <v>69</v>
      </c>
      <c r="BX19" s="46">
        <f t="shared" si="29"/>
        <v>180</v>
      </c>
      <c r="BY19" s="46">
        <v>0</v>
      </c>
      <c r="BZ19" s="46">
        <v>0</v>
      </c>
      <c r="CA19" s="2">
        <f t="shared" si="76"/>
        <v>0</v>
      </c>
      <c r="CB19" s="46">
        <v>0</v>
      </c>
      <c r="CC19" s="46">
        <v>0</v>
      </c>
      <c r="CD19" s="2">
        <f t="shared" si="31"/>
        <v>0</v>
      </c>
      <c r="CE19" s="46">
        <v>63</v>
      </c>
      <c r="CF19" s="46">
        <v>59</v>
      </c>
      <c r="CG19" s="46">
        <f t="shared" si="77"/>
        <v>122</v>
      </c>
      <c r="CH19" s="46">
        <v>0</v>
      </c>
      <c r="CI19" s="46">
        <v>0</v>
      </c>
      <c r="CJ19" s="2">
        <f t="shared" si="33"/>
        <v>0</v>
      </c>
      <c r="CK19" s="46">
        <v>0</v>
      </c>
      <c r="CL19" s="46">
        <v>0</v>
      </c>
      <c r="CM19" s="2">
        <f t="shared" si="34"/>
        <v>0</v>
      </c>
      <c r="CN19" s="46">
        <v>25</v>
      </c>
      <c r="CO19" s="46">
        <v>5</v>
      </c>
      <c r="CP19" s="2">
        <f t="shared" si="35"/>
        <v>30</v>
      </c>
      <c r="CQ19" s="46">
        <v>0</v>
      </c>
      <c r="CR19" s="46">
        <v>0</v>
      </c>
      <c r="CS19" s="2">
        <f t="shared" si="36"/>
        <v>0</v>
      </c>
      <c r="CT19" s="46">
        <v>0</v>
      </c>
      <c r="CU19" s="46">
        <v>0</v>
      </c>
      <c r="CV19" s="2">
        <f t="shared" si="37"/>
        <v>0</v>
      </c>
      <c r="CW19" s="46">
        <f t="shared" si="68"/>
        <v>88</v>
      </c>
      <c r="CX19" s="46">
        <f t="shared" si="69"/>
        <v>64</v>
      </c>
      <c r="CY19" s="46">
        <f t="shared" si="39"/>
        <v>152</v>
      </c>
      <c r="CZ19" s="28">
        <f t="shared" si="70"/>
        <v>0</v>
      </c>
      <c r="DA19" s="28">
        <f t="shared" si="71"/>
        <v>0</v>
      </c>
      <c r="DB19" s="2">
        <f t="shared" si="41"/>
        <v>0</v>
      </c>
      <c r="DC19" s="28">
        <f t="shared" si="72"/>
        <v>0</v>
      </c>
      <c r="DD19" s="28">
        <f t="shared" si="73"/>
        <v>0</v>
      </c>
      <c r="DE19" s="2">
        <f t="shared" si="43"/>
        <v>0</v>
      </c>
      <c r="DF19" s="46">
        <f t="shared" si="44"/>
        <v>79.28</v>
      </c>
      <c r="DG19" s="46">
        <f t="shared" si="45"/>
        <v>92.75</v>
      </c>
      <c r="DH19" s="46">
        <f t="shared" si="46"/>
        <v>84.44</v>
      </c>
      <c r="DI19" s="28" t="e">
        <f t="shared" si="47"/>
        <v>#DIV/0!</v>
      </c>
      <c r="DJ19" s="28" t="e">
        <f t="shared" si="48"/>
        <v>#DIV/0!</v>
      </c>
      <c r="DK19" s="28" t="e">
        <f t="shared" si="49"/>
        <v>#DIV/0!</v>
      </c>
      <c r="DL19" s="28" t="e">
        <f t="shared" si="50"/>
        <v>#DIV/0!</v>
      </c>
      <c r="DM19" s="28" t="e">
        <f t="shared" si="51"/>
        <v>#DIV/0!</v>
      </c>
      <c r="DN19" s="28" t="e">
        <f t="shared" si="52"/>
        <v>#DIV/0!</v>
      </c>
      <c r="DO19" s="46">
        <v>0</v>
      </c>
      <c r="DP19" s="46">
        <v>3</v>
      </c>
      <c r="DQ19" s="46">
        <f t="shared" si="53"/>
        <v>3</v>
      </c>
      <c r="DR19" s="46">
        <v>0</v>
      </c>
      <c r="DS19" s="46">
        <v>0</v>
      </c>
      <c r="DT19" s="46">
        <f t="shared" si="54"/>
        <v>0</v>
      </c>
      <c r="DU19" s="46">
        <v>0</v>
      </c>
      <c r="DV19" s="46">
        <v>0</v>
      </c>
      <c r="DW19" s="46">
        <f t="shared" si="55"/>
        <v>0</v>
      </c>
      <c r="DX19" s="46">
        <v>80</v>
      </c>
      <c r="DY19" s="46">
        <v>60</v>
      </c>
      <c r="DZ19" s="2">
        <f t="shared" si="56"/>
        <v>140</v>
      </c>
      <c r="EA19" s="46">
        <v>0</v>
      </c>
      <c r="EB19" s="46">
        <v>0</v>
      </c>
      <c r="EC19" s="2">
        <f t="shared" si="57"/>
        <v>0</v>
      </c>
      <c r="ED19" s="46">
        <v>0</v>
      </c>
      <c r="EE19" s="46">
        <v>0</v>
      </c>
      <c r="EF19" s="2">
        <f t="shared" si="58"/>
        <v>0</v>
      </c>
      <c r="EG19" s="46">
        <f t="shared" si="59"/>
        <v>-180</v>
      </c>
      <c r="EH19" s="46">
        <f t="shared" si="60"/>
        <v>-152</v>
      </c>
      <c r="EI19" s="46">
        <f t="shared" si="61"/>
        <v>-9</v>
      </c>
      <c r="EJ19" s="46">
        <f t="shared" si="62"/>
        <v>0</v>
      </c>
      <c r="EK19" s="46">
        <f t="shared" si="63"/>
        <v>0</v>
      </c>
      <c r="EL19" s="3"/>
    </row>
    <row r="20" spans="1:142" ht="33.75" customHeight="1">
      <c r="A20" s="51">
        <v>25</v>
      </c>
      <c r="B20" s="43" t="s">
        <v>99</v>
      </c>
      <c r="C20" s="48" t="s">
        <v>100</v>
      </c>
      <c r="D20" s="64">
        <v>42804</v>
      </c>
      <c r="E20" s="64">
        <v>42846</v>
      </c>
      <c r="F20" s="65" t="s">
        <v>75</v>
      </c>
      <c r="G20" s="65" t="s">
        <v>75</v>
      </c>
      <c r="H20" s="46">
        <v>9</v>
      </c>
      <c r="I20" s="46">
        <v>8</v>
      </c>
      <c r="J20" s="46">
        <v>2089</v>
      </c>
      <c r="K20" s="46">
        <f t="shared" si="0"/>
        <v>2106</v>
      </c>
      <c r="L20" s="46">
        <v>343</v>
      </c>
      <c r="M20" s="46">
        <v>993</v>
      </c>
      <c r="N20" s="46">
        <v>173963</v>
      </c>
      <c r="O20" s="46">
        <f t="shared" si="1"/>
        <v>175299</v>
      </c>
      <c r="P20" s="46">
        <v>336</v>
      </c>
      <c r="Q20" s="46">
        <v>975</v>
      </c>
      <c r="R20" s="46">
        <v>171421</v>
      </c>
      <c r="S20" s="46">
        <f t="shared" si="2"/>
        <v>172732</v>
      </c>
      <c r="T20" s="46">
        <f t="shared" si="3"/>
        <v>98.54</v>
      </c>
      <c r="U20" s="46">
        <v>1598</v>
      </c>
      <c r="V20" s="46">
        <v>403</v>
      </c>
      <c r="W20" s="46">
        <v>67</v>
      </c>
      <c r="X20" s="46">
        <v>25</v>
      </c>
      <c r="Y20" s="46">
        <v>7</v>
      </c>
      <c r="Z20" s="46">
        <v>5</v>
      </c>
      <c r="AA20" s="46">
        <v>1</v>
      </c>
      <c r="AB20" s="47">
        <f t="shared" si="4"/>
        <v>0</v>
      </c>
      <c r="AC20" s="46">
        <v>96566</v>
      </c>
      <c r="AD20" s="46">
        <v>78428</v>
      </c>
      <c r="AE20" s="46">
        <f t="shared" si="5"/>
        <v>174994</v>
      </c>
      <c r="AF20" s="46">
        <v>4666</v>
      </c>
      <c r="AG20" s="46">
        <v>3537</v>
      </c>
      <c r="AH20" s="46">
        <f t="shared" si="6"/>
        <v>8203</v>
      </c>
      <c r="AI20" s="46">
        <v>3058</v>
      </c>
      <c r="AJ20" s="46">
        <v>2729</v>
      </c>
      <c r="AK20" s="46">
        <f t="shared" si="7"/>
        <v>5787</v>
      </c>
      <c r="AL20" s="46">
        <v>94841</v>
      </c>
      <c r="AM20" s="46">
        <v>77703</v>
      </c>
      <c r="AN20" s="46">
        <f t="shared" si="8"/>
        <v>172544</v>
      </c>
      <c r="AO20" s="46">
        <v>4541</v>
      </c>
      <c r="AP20" s="46">
        <v>3473</v>
      </c>
      <c r="AQ20" s="46">
        <f t="shared" si="9"/>
        <v>8014</v>
      </c>
      <c r="AR20" s="46">
        <v>2972</v>
      </c>
      <c r="AS20" s="46">
        <v>2661</v>
      </c>
      <c r="AT20" s="46">
        <f t="shared" si="10"/>
        <v>5633</v>
      </c>
      <c r="AU20" s="46">
        <v>0</v>
      </c>
      <c r="AV20" s="46">
        <v>0</v>
      </c>
      <c r="AW20" s="46">
        <f t="shared" si="11"/>
        <v>0</v>
      </c>
      <c r="AX20" s="46">
        <v>0</v>
      </c>
      <c r="AY20" s="46">
        <v>0</v>
      </c>
      <c r="AZ20" s="46">
        <f t="shared" si="12"/>
        <v>0</v>
      </c>
      <c r="BA20" s="46">
        <v>0</v>
      </c>
      <c r="BB20" s="46">
        <v>0</v>
      </c>
      <c r="BC20" s="46">
        <f t="shared" si="13"/>
        <v>0</v>
      </c>
      <c r="BD20" s="46">
        <f t="shared" si="75"/>
        <v>94841</v>
      </c>
      <c r="BE20" s="46">
        <f t="shared" si="74"/>
        <v>77703</v>
      </c>
      <c r="BF20" s="46">
        <f t="shared" si="15"/>
        <v>172544</v>
      </c>
      <c r="BG20" s="46">
        <f t="shared" si="64"/>
        <v>4541</v>
      </c>
      <c r="BH20" s="46">
        <f t="shared" si="65"/>
        <v>3473</v>
      </c>
      <c r="BI20" s="46">
        <f t="shared" si="17"/>
        <v>8014</v>
      </c>
      <c r="BJ20" s="46">
        <f t="shared" si="66"/>
        <v>2972</v>
      </c>
      <c r="BK20" s="46">
        <f t="shared" si="67"/>
        <v>2661</v>
      </c>
      <c r="BL20" s="46">
        <f t="shared" si="19"/>
        <v>5633</v>
      </c>
      <c r="BM20" s="46">
        <f t="shared" si="20"/>
        <v>98.21</v>
      </c>
      <c r="BN20" s="46">
        <f t="shared" si="21"/>
        <v>99.08</v>
      </c>
      <c r="BO20" s="46">
        <f t="shared" si="22"/>
        <v>98.6</v>
      </c>
      <c r="BP20" s="46">
        <f t="shared" si="23"/>
        <v>97.32</v>
      </c>
      <c r="BQ20" s="46">
        <f t="shared" si="24"/>
        <v>98.19</v>
      </c>
      <c r="BR20" s="46">
        <f t="shared" si="25"/>
        <v>97.7</v>
      </c>
      <c r="BS20" s="46">
        <f t="shared" si="26"/>
        <v>97.19</v>
      </c>
      <c r="BT20" s="46">
        <f t="shared" si="27"/>
        <v>97.51</v>
      </c>
      <c r="BU20" s="46">
        <f t="shared" si="28"/>
        <v>97.34</v>
      </c>
      <c r="BV20" s="46">
        <v>203</v>
      </c>
      <c r="BW20" s="46">
        <v>102</v>
      </c>
      <c r="BX20" s="46">
        <f t="shared" si="29"/>
        <v>305</v>
      </c>
      <c r="BY20" s="46">
        <v>18</v>
      </c>
      <c r="BZ20" s="46">
        <v>7</v>
      </c>
      <c r="CA20" s="46">
        <f t="shared" si="76"/>
        <v>25</v>
      </c>
      <c r="CB20" s="46">
        <v>14</v>
      </c>
      <c r="CC20" s="46">
        <v>9</v>
      </c>
      <c r="CD20" s="46">
        <f t="shared" si="31"/>
        <v>23</v>
      </c>
      <c r="CE20" s="46">
        <v>121</v>
      </c>
      <c r="CF20" s="46">
        <v>67</v>
      </c>
      <c r="CG20" s="46">
        <f t="shared" si="77"/>
        <v>188</v>
      </c>
      <c r="CH20" s="46">
        <v>14</v>
      </c>
      <c r="CI20" s="46">
        <v>6</v>
      </c>
      <c r="CJ20" s="46">
        <f t="shared" si="33"/>
        <v>20</v>
      </c>
      <c r="CK20" s="46">
        <v>6</v>
      </c>
      <c r="CL20" s="46">
        <v>7</v>
      </c>
      <c r="CM20" s="46">
        <f t="shared" si="34"/>
        <v>13</v>
      </c>
      <c r="CN20" s="46">
        <v>0</v>
      </c>
      <c r="CO20" s="46">
        <v>0</v>
      </c>
      <c r="CP20" s="46">
        <f t="shared" si="35"/>
        <v>0</v>
      </c>
      <c r="CQ20" s="46">
        <v>0</v>
      </c>
      <c r="CR20" s="46">
        <v>0</v>
      </c>
      <c r="CS20" s="46">
        <f t="shared" si="36"/>
        <v>0</v>
      </c>
      <c r="CT20" s="46">
        <v>0</v>
      </c>
      <c r="CU20" s="46">
        <v>0</v>
      </c>
      <c r="CV20" s="2">
        <f t="shared" si="37"/>
        <v>0</v>
      </c>
      <c r="CW20" s="46">
        <f t="shared" si="68"/>
        <v>121</v>
      </c>
      <c r="CX20" s="46">
        <f t="shared" si="69"/>
        <v>67</v>
      </c>
      <c r="CY20" s="46">
        <f t="shared" si="39"/>
        <v>188</v>
      </c>
      <c r="CZ20" s="28">
        <f t="shared" si="70"/>
        <v>14</v>
      </c>
      <c r="DA20" s="28">
        <f t="shared" si="71"/>
        <v>6</v>
      </c>
      <c r="DB20" s="2">
        <f t="shared" si="41"/>
        <v>20</v>
      </c>
      <c r="DC20" s="28">
        <f t="shared" si="72"/>
        <v>6</v>
      </c>
      <c r="DD20" s="28">
        <f t="shared" si="73"/>
        <v>7</v>
      </c>
      <c r="DE20" s="2">
        <f t="shared" si="43"/>
        <v>13</v>
      </c>
      <c r="DF20" s="46">
        <f t="shared" si="44"/>
        <v>59.61</v>
      </c>
      <c r="DG20" s="46">
        <f t="shared" si="45"/>
        <v>65.69</v>
      </c>
      <c r="DH20" s="46">
        <f t="shared" si="46"/>
        <v>61.64</v>
      </c>
      <c r="DI20" s="46">
        <f t="shared" si="47"/>
        <v>77.78</v>
      </c>
      <c r="DJ20" s="46">
        <f t="shared" si="48"/>
        <v>85.71</v>
      </c>
      <c r="DK20" s="46">
        <f t="shared" si="49"/>
        <v>80</v>
      </c>
      <c r="DL20" s="28">
        <f t="shared" si="50"/>
        <v>42.86</v>
      </c>
      <c r="DM20" s="28">
        <f t="shared" si="51"/>
        <v>77.78</v>
      </c>
      <c r="DN20" s="28">
        <f t="shared" si="52"/>
        <v>56.52</v>
      </c>
      <c r="DO20" s="46">
        <v>83269</v>
      </c>
      <c r="DP20" s="46">
        <v>71783</v>
      </c>
      <c r="DQ20" s="46">
        <f t="shared" si="53"/>
        <v>155052</v>
      </c>
      <c r="DR20" s="46">
        <v>3732</v>
      </c>
      <c r="DS20" s="46">
        <v>2965</v>
      </c>
      <c r="DT20" s="46">
        <f t="shared" si="54"/>
        <v>6697</v>
      </c>
      <c r="DU20" s="46">
        <v>2150</v>
      </c>
      <c r="DV20" s="46">
        <v>2173</v>
      </c>
      <c r="DW20" s="46">
        <f t="shared" si="55"/>
        <v>4323</v>
      </c>
      <c r="DX20" s="46">
        <v>11693</v>
      </c>
      <c r="DY20" s="46">
        <v>5987</v>
      </c>
      <c r="DZ20" s="46">
        <f t="shared" si="56"/>
        <v>17680</v>
      </c>
      <c r="EA20" s="46">
        <v>823</v>
      </c>
      <c r="EB20" s="46">
        <v>514</v>
      </c>
      <c r="EC20" s="46">
        <f t="shared" si="57"/>
        <v>1337</v>
      </c>
      <c r="ED20" s="46">
        <v>828</v>
      </c>
      <c r="EE20" s="46">
        <v>495</v>
      </c>
      <c r="EF20" s="46">
        <f t="shared" si="58"/>
        <v>1323</v>
      </c>
      <c r="EG20" s="46">
        <f t="shared" si="59"/>
        <v>0</v>
      </c>
      <c r="EH20" s="46">
        <f t="shared" si="60"/>
        <v>0</v>
      </c>
      <c r="EI20" s="46">
        <f t="shared" si="61"/>
        <v>0</v>
      </c>
      <c r="EJ20" s="46">
        <f t="shared" si="62"/>
        <v>0</v>
      </c>
      <c r="EK20" s="46">
        <f t="shared" si="63"/>
        <v>0</v>
      </c>
    </row>
    <row r="21" spans="1:142" ht="29.25" customHeight="1">
      <c r="A21" s="52">
        <v>21</v>
      </c>
      <c r="B21" s="45" t="s">
        <v>91</v>
      </c>
      <c r="C21" s="48" t="s">
        <v>92</v>
      </c>
      <c r="D21" s="64">
        <v>42808</v>
      </c>
      <c r="E21" s="64">
        <v>42824</v>
      </c>
      <c r="F21" s="64">
        <v>42891</v>
      </c>
      <c r="G21" s="64">
        <v>42905</v>
      </c>
      <c r="H21" s="46">
        <v>5560</v>
      </c>
      <c r="I21" s="46">
        <v>230</v>
      </c>
      <c r="J21" s="46">
        <v>5420</v>
      </c>
      <c r="K21" s="2">
        <f t="shared" si="0"/>
        <v>11210</v>
      </c>
      <c r="L21" s="46">
        <v>256305</v>
      </c>
      <c r="M21" s="46">
        <v>11357</v>
      </c>
      <c r="N21" s="46">
        <v>240276</v>
      </c>
      <c r="O21" s="2">
        <f t="shared" si="1"/>
        <v>507938</v>
      </c>
      <c r="P21" s="46">
        <v>207122</v>
      </c>
      <c r="Q21" s="46">
        <v>9029</v>
      </c>
      <c r="R21" s="46">
        <v>211263</v>
      </c>
      <c r="S21" s="2">
        <f t="shared" si="2"/>
        <v>427414</v>
      </c>
      <c r="T21" s="15">
        <f t="shared" si="3"/>
        <v>84.15</v>
      </c>
      <c r="U21" s="46">
        <v>2005</v>
      </c>
      <c r="V21" s="46">
        <v>5369</v>
      </c>
      <c r="W21" s="46">
        <v>2282</v>
      </c>
      <c r="X21" s="46">
        <v>1521</v>
      </c>
      <c r="Y21" s="46">
        <v>936</v>
      </c>
      <c r="Z21" s="46">
        <v>709</v>
      </c>
      <c r="AA21" s="46">
        <v>724</v>
      </c>
      <c r="AB21" s="47">
        <f t="shared" si="4"/>
        <v>-2336</v>
      </c>
      <c r="AC21" s="46">
        <v>257095</v>
      </c>
      <c r="AD21" s="46">
        <v>250843</v>
      </c>
      <c r="AE21" s="46">
        <f t="shared" si="5"/>
        <v>507938</v>
      </c>
      <c r="AF21" s="46">
        <v>44539</v>
      </c>
      <c r="AG21" s="46">
        <v>45083</v>
      </c>
      <c r="AH21" s="46">
        <f t="shared" si="6"/>
        <v>89622</v>
      </c>
      <c r="AI21" s="46">
        <v>25213</v>
      </c>
      <c r="AJ21" s="46">
        <v>24041</v>
      </c>
      <c r="AK21" s="2">
        <f t="shared" si="7"/>
        <v>49254</v>
      </c>
      <c r="AL21" s="46">
        <v>213264</v>
      </c>
      <c r="AM21" s="46">
        <v>214150</v>
      </c>
      <c r="AN21" s="46">
        <f t="shared" si="8"/>
        <v>427414</v>
      </c>
      <c r="AO21" s="46">
        <v>35489</v>
      </c>
      <c r="AP21" s="46">
        <v>37046</v>
      </c>
      <c r="AQ21" s="46">
        <f t="shared" si="9"/>
        <v>72535</v>
      </c>
      <c r="AR21" s="46">
        <v>20652</v>
      </c>
      <c r="AS21" s="46">
        <v>19558</v>
      </c>
      <c r="AT21" s="46">
        <f t="shared" si="10"/>
        <v>40210</v>
      </c>
      <c r="AU21" s="46">
        <v>29122</v>
      </c>
      <c r="AV21" s="46">
        <v>24333</v>
      </c>
      <c r="AW21" s="46">
        <f t="shared" si="11"/>
        <v>53455</v>
      </c>
      <c r="AX21" s="46">
        <v>5852</v>
      </c>
      <c r="AY21" s="46">
        <v>5331</v>
      </c>
      <c r="AZ21" s="2">
        <f t="shared" si="12"/>
        <v>11183</v>
      </c>
      <c r="BA21" s="46">
        <v>2692</v>
      </c>
      <c r="BB21" s="46">
        <v>2629</v>
      </c>
      <c r="BC21" s="46">
        <f t="shared" si="13"/>
        <v>5321</v>
      </c>
      <c r="BD21" s="46">
        <f t="shared" si="75"/>
        <v>242386</v>
      </c>
      <c r="BE21" s="46">
        <f t="shared" si="74"/>
        <v>238483</v>
      </c>
      <c r="BF21" s="46">
        <f t="shared" si="15"/>
        <v>480869</v>
      </c>
      <c r="BG21" s="46">
        <f t="shared" si="64"/>
        <v>41341</v>
      </c>
      <c r="BH21" s="46">
        <f t="shared" si="65"/>
        <v>42377</v>
      </c>
      <c r="BI21" s="46">
        <f t="shared" si="17"/>
        <v>83718</v>
      </c>
      <c r="BJ21" s="46">
        <f t="shared" si="66"/>
        <v>23344</v>
      </c>
      <c r="BK21" s="46">
        <f t="shared" si="67"/>
        <v>22187</v>
      </c>
      <c r="BL21" s="46">
        <f t="shared" si="19"/>
        <v>45531</v>
      </c>
      <c r="BM21" s="46">
        <f t="shared" si="20"/>
        <v>94.28</v>
      </c>
      <c r="BN21" s="46">
        <f t="shared" si="21"/>
        <v>95.07</v>
      </c>
      <c r="BO21" s="46">
        <f t="shared" si="22"/>
        <v>94.67</v>
      </c>
      <c r="BP21" s="46">
        <f t="shared" si="23"/>
        <v>92.82</v>
      </c>
      <c r="BQ21" s="46">
        <f t="shared" si="24"/>
        <v>94</v>
      </c>
      <c r="BR21" s="46">
        <f t="shared" si="25"/>
        <v>93.41</v>
      </c>
      <c r="BS21" s="46">
        <f t="shared" si="26"/>
        <v>92.59</v>
      </c>
      <c r="BT21" s="46">
        <f t="shared" si="27"/>
        <v>92.29</v>
      </c>
      <c r="BU21" s="46">
        <f t="shared" si="28"/>
        <v>92.44</v>
      </c>
      <c r="BV21" s="46">
        <v>55114</v>
      </c>
      <c r="BW21" s="46">
        <v>43428</v>
      </c>
      <c r="BX21" s="46">
        <f t="shared" si="29"/>
        <v>98542</v>
      </c>
      <c r="BY21" s="46">
        <v>11243</v>
      </c>
      <c r="BZ21" s="46">
        <v>9427</v>
      </c>
      <c r="CA21" s="2">
        <f t="shared" si="76"/>
        <v>20670</v>
      </c>
      <c r="CB21" s="46">
        <v>5501</v>
      </c>
      <c r="CC21" s="46">
        <v>5197</v>
      </c>
      <c r="CD21" s="2">
        <f t="shared" si="31"/>
        <v>10698</v>
      </c>
      <c r="CE21" s="46">
        <v>29122</v>
      </c>
      <c r="CF21" s="46">
        <v>24333</v>
      </c>
      <c r="CG21" s="46">
        <f t="shared" si="77"/>
        <v>53455</v>
      </c>
      <c r="CH21" s="46">
        <v>5852</v>
      </c>
      <c r="CI21" s="46">
        <v>5331</v>
      </c>
      <c r="CJ21" s="2">
        <f t="shared" si="33"/>
        <v>11183</v>
      </c>
      <c r="CK21" s="46">
        <v>2692</v>
      </c>
      <c r="CL21" s="46">
        <v>2629</v>
      </c>
      <c r="CM21" s="2">
        <f t="shared" si="34"/>
        <v>5321</v>
      </c>
      <c r="CN21" s="46">
        <v>0</v>
      </c>
      <c r="CO21" s="46">
        <v>0</v>
      </c>
      <c r="CP21" s="2">
        <f t="shared" si="35"/>
        <v>0</v>
      </c>
      <c r="CQ21" s="46">
        <v>0</v>
      </c>
      <c r="CR21" s="46">
        <v>0</v>
      </c>
      <c r="CS21" s="2">
        <f t="shared" si="36"/>
        <v>0</v>
      </c>
      <c r="CT21" s="46">
        <v>0</v>
      </c>
      <c r="CU21" s="46">
        <v>0</v>
      </c>
      <c r="CV21" s="2">
        <f t="shared" si="37"/>
        <v>0</v>
      </c>
      <c r="CW21" s="46">
        <f t="shared" si="68"/>
        <v>29122</v>
      </c>
      <c r="CX21" s="46">
        <f t="shared" si="69"/>
        <v>24333</v>
      </c>
      <c r="CY21" s="46">
        <f t="shared" si="39"/>
        <v>53455</v>
      </c>
      <c r="CZ21" s="28">
        <f t="shared" si="70"/>
        <v>5852</v>
      </c>
      <c r="DA21" s="28">
        <f t="shared" si="71"/>
        <v>5331</v>
      </c>
      <c r="DB21" s="2">
        <f t="shared" si="41"/>
        <v>11183</v>
      </c>
      <c r="DC21" s="28">
        <f t="shared" si="72"/>
        <v>2692</v>
      </c>
      <c r="DD21" s="28">
        <f t="shared" si="73"/>
        <v>2629</v>
      </c>
      <c r="DE21" s="2">
        <f t="shared" si="43"/>
        <v>5321</v>
      </c>
      <c r="DF21" s="28">
        <f t="shared" si="44"/>
        <v>52.84</v>
      </c>
      <c r="DG21" s="28">
        <f t="shared" si="45"/>
        <v>56.03</v>
      </c>
      <c r="DH21" s="28">
        <f t="shared" si="46"/>
        <v>54.25</v>
      </c>
      <c r="DI21" s="28">
        <f t="shared" si="47"/>
        <v>52.05</v>
      </c>
      <c r="DJ21" s="28">
        <f t="shared" si="48"/>
        <v>56.55</v>
      </c>
      <c r="DK21" s="28">
        <f t="shared" si="49"/>
        <v>54.1</v>
      </c>
      <c r="DL21" s="28">
        <f t="shared" si="50"/>
        <v>48.94</v>
      </c>
      <c r="DM21" s="28">
        <f t="shared" si="51"/>
        <v>50.59</v>
      </c>
      <c r="DN21" s="28">
        <f t="shared" si="52"/>
        <v>49.74</v>
      </c>
      <c r="DO21" s="46">
        <v>0</v>
      </c>
      <c r="DP21" s="46">
        <v>0</v>
      </c>
      <c r="DQ21" s="46">
        <f t="shared" si="53"/>
        <v>0</v>
      </c>
      <c r="DR21" s="46">
        <v>0</v>
      </c>
      <c r="DS21" s="46">
        <v>0</v>
      </c>
      <c r="DT21" s="46">
        <f t="shared" si="54"/>
        <v>0</v>
      </c>
      <c r="DU21" s="46">
        <v>0</v>
      </c>
      <c r="DV21" s="46">
        <v>0</v>
      </c>
      <c r="DW21" s="46">
        <f t="shared" si="55"/>
        <v>0</v>
      </c>
      <c r="DX21" s="46">
        <v>0</v>
      </c>
      <c r="DY21" s="46">
        <v>0</v>
      </c>
      <c r="DZ21" s="2">
        <f t="shared" si="56"/>
        <v>0</v>
      </c>
      <c r="EA21" s="46">
        <v>0</v>
      </c>
      <c r="EB21" s="46">
        <v>0</v>
      </c>
      <c r="EC21" s="2">
        <f t="shared" si="57"/>
        <v>0</v>
      </c>
      <c r="ED21" s="46">
        <v>0</v>
      </c>
      <c r="EE21" s="46">
        <v>0</v>
      </c>
      <c r="EF21" s="2">
        <f t="shared" si="58"/>
        <v>0</v>
      </c>
      <c r="EG21" s="46">
        <f t="shared" si="59"/>
        <v>-98542</v>
      </c>
      <c r="EH21" s="46">
        <f t="shared" si="60"/>
        <v>-106910</v>
      </c>
      <c r="EI21" s="46">
        <f t="shared" si="61"/>
        <v>-534324</v>
      </c>
      <c r="EJ21" s="46">
        <f t="shared" si="62"/>
        <v>-94901</v>
      </c>
      <c r="EK21" s="46">
        <f t="shared" si="63"/>
        <v>-50852</v>
      </c>
    </row>
    <row r="22" spans="1:142" ht="33" customHeight="1">
      <c r="A22" s="79">
        <v>7</v>
      </c>
      <c r="B22" s="35" t="s">
        <v>60</v>
      </c>
      <c r="C22" s="27" t="s">
        <v>61</v>
      </c>
      <c r="D22" s="63">
        <v>42826</v>
      </c>
      <c r="E22" s="63">
        <v>42846</v>
      </c>
      <c r="F22" s="63">
        <v>42905</v>
      </c>
      <c r="G22" s="63">
        <v>42913</v>
      </c>
      <c r="H22" s="6">
        <v>77</v>
      </c>
      <c r="I22" s="6">
        <v>299</v>
      </c>
      <c r="J22" s="6">
        <v>10</v>
      </c>
      <c r="K22" s="2">
        <f t="shared" si="0"/>
        <v>386</v>
      </c>
      <c r="L22" s="6">
        <v>1918</v>
      </c>
      <c r="M22" s="6">
        <v>16687</v>
      </c>
      <c r="N22" s="6">
        <v>157</v>
      </c>
      <c r="O22" s="2">
        <f t="shared" si="1"/>
        <v>18762</v>
      </c>
      <c r="P22" s="6">
        <v>1730</v>
      </c>
      <c r="Q22" s="6">
        <v>15876</v>
      </c>
      <c r="R22" s="6">
        <v>157</v>
      </c>
      <c r="S22" s="2">
        <f t="shared" si="2"/>
        <v>17763</v>
      </c>
      <c r="T22" s="15">
        <f t="shared" si="3"/>
        <v>94.68</v>
      </c>
      <c r="U22" s="6">
        <v>99</v>
      </c>
      <c r="V22" s="6">
        <v>151</v>
      </c>
      <c r="W22" s="6">
        <v>71</v>
      </c>
      <c r="X22" s="6">
        <v>30</v>
      </c>
      <c r="Y22" s="6">
        <v>17</v>
      </c>
      <c r="Z22" s="6">
        <v>9</v>
      </c>
      <c r="AA22" s="6">
        <v>9</v>
      </c>
      <c r="AB22" s="29">
        <f t="shared" si="4"/>
        <v>0</v>
      </c>
      <c r="AC22" s="30">
        <v>9163</v>
      </c>
      <c r="AD22" s="30">
        <v>9599</v>
      </c>
      <c r="AE22" s="2">
        <f t="shared" si="5"/>
        <v>18762</v>
      </c>
      <c r="AF22" s="31">
        <v>108</v>
      </c>
      <c r="AG22" s="31">
        <v>148</v>
      </c>
      <c r="AH22" s="2">
        <f t="shared" si="6"/>
        <v>256</v>
      </c>
      <c r="AI22" s="31">
        <v>1028</v>
      </c>
      <c r="AJ22" s="31">
        <v>1118</v>
      </c>
      <c r="AK22" s="2">
        <f t="shared" si="7"/>
        <v>2146</v>
      </c>
      <c r="AL22" s="30">
        <v>8381</v>
      </c>
      <c r="AM22" s="30">
        <v>8844</v>
      </c>
      <c r="AN22" s="2">
        <f t="shared" si="8"/>
        <v>17225</v>
      </c>
      <c r="AO22" s="31">
        <v>96</v>
      </c>
      <c r="AP22" s="31">
        <v>128</v>
      </c>
      <c r="AQ22" s="2">
        <f t="shared" si="9"/>
        <v>224</v>
      </c>
      <c r="AR22" s="31">
        <v>937</v>
      </c>
      <c r="AS22" s="31">
        <v>1028</v>
      </c>
      <c r="AT22" s="2">
        <f t="shared" si="10"/>
        <v>1965</v>
      </c>
      <c r="AU22" s="31">
        <v>265</v>
      </c>
      <c r="AV22" s="31">
        <v>273</v>
      </c>
      <c r="AW22" s="2">
        <f t="shared" si="11"/>
        <v>538</v>
      </c>
      <c r="AX22" s="31">
        <v>3</v>
      </c>
      <c r="AY22" s="31">
        <v>8</v>
      </c>
      <c r="AZ22" s="2">
        <f t="shared" si="12"/>
        <v>11</v>
      </c>
      <c r="BA22" s="31">
        <v>29</v>
      </c>
      <c r="BB22" s="31">
        <v>39</v>
      </c>
      <c r="BC22" s="2">
        <f t="shared" si="13"/>
        <v>68</v>
      </c>
      <c r="BD22" s="28">
        <f t="shared" si="75"/>
        <v>8646</v>
      </c>
      <c r="BE22" s="28">
        <f t="shared" si="74"/>
        <v>9117</v>
      </c>
      <c r="BF22" s="2">
        <f t="shared" si="15"/>
        <v>17763</v>
      </c>
      <c r="BG22" s="28">
        <f t="shared" si="64"/>
        <v>99</v>
      </c>
      <c r="BH22" s="28">
        <f t="shared" si="65"/>
        <v>136</v>
      </c>
      <c r="BI22" s="2">
        <f t="shared" si="17"/>
        <v>235</v>
      </c>
      <c r="BJ22" s="28">
        <f t="shared" si="66"/>
        <v>966</v>
      </c>
      <c r="BK22" s="28">
        <f t="shared" si="67"/>
        <v>1067</v>
      </c>
      <c r="BL22" s="2">
        <f t="shared" si="19"/>
        <v>2033</v>
      </c>
      <c r="BM22" s="28">
        <f t="shared" si="20"/>
        <v>94.36</v>
      </c>
      <c r="BN22" s="28">
        <f t="shared" si="21"/>
        <v>94.98</v>
      </c>
      <c r="BO22" s="28">
        <f t="shared" si="22"/>
        <v>94.68</v>
      </c>
      <c r="BP22" s="28">
        <f t="shared" si="23"/>
        <v>91.67</v>
      </c>
      <c r="BQ22" s="28">
        <f t="shared" si="24"/>
        <v>91.89</v>
      </c>
      <c r="BR22" s="28">
        <f t="shared" si="25"/>
        <v>91.8</v>
      </c>
      <c r="BS22" s="28">
        <f t="shared" si="26"/>
        <v>93.97</v>
      </c>
      <c r="BT22" s="28">
        <f t="shared" si="27"/>
        <v>95.44</v>
      </c>
      <c r="BU22" s="28">
        <f t="shared" si="28"/>
        <v>94.73</v>
      </c>
      <c r="BV22" s="30">
        <v>363</v>
      </c>
      <c r="BW22" s="30">
        <v>230</v>
      </c>
      <c r="BX22" s="2">
        <f t="shared" si="29"/>
        <v>593</v>
      </c>
      <c r="BY22" s="31">
        <v>13</v>
      </c>
      <c r="BZ22" s="31">
        <v>7</v>
      </c>
      <c r="CA22" s="2">
        <f t="shared" si="76"/>
        <v>20</v>
      </c>
      <c r="CB22" s="31">
        <v>42</v>
      </c>
      <c r="CC22" s="31">
        <v>30</v>
      </c>
      <c r="CD22" s="2">
        <f t="shared" si="31"/>
        <v>72</v>
      </c>
      <c r="CE22" s="30">
        <v>145</v>
      </c>
      <c r="CF22" s="30">
        <v>98</v>
      </c>
      <c r="CG22" s="2">
        <f t="shared" si="77"/>
        <v>243</v>
      </c>
      <c r="CH22" s="31">
        <v>7</v>
      </c>
      <c r="CI22" s="31">
        <v>3</v>
      </c>
      <c r="CJ22" s="2">
        <f t="shared" si="33"/>
        <v>10</v>
      </c>
      <c r="CK22" s="31">
        <v>19</v>
      </c>
      <c r="CL22" s="31">
        <v>13</v>
      </c>
      <c r="CM22" s="2">
        <f t="shared" si="34"/>
        <v>32</v>
      </c>
      <c r="CN22" s="31">
        <v>35</v>
      </c>
      <c r="CO22" s="33">
        <v>22</v>
      </c>
      <c r="CP22" s="2">
        <f t="shared" si="35"/>
        <v>57</v>
      </c>
      <c r="CQ22" s="31">
        <v>2</v>
      </c>
      <c r="CR22" s="31">
        <v>0</v>
      </c>
      <c r="CS22" s="2">
        <f t="shared" si="36"/>
        <v>2</v>
      </c>
      <c r="CT22" s="33">
        <v>6</v>
      </c>
      <c r="CU22" s="33">
        <v>3</v>
      </c>
      <c r="CV22" s="2">
        <f t="shared" si="37"/>
        <v>9</v>
      </c>
      <c r="CW22" s="28">
        <f t="shared" si="68"/>
        <v>180</v>
      </c>
      <c r="CX22" s="28">
        <f t="shared" si="69"/>
        <v>120</v>
      </c>
      <c r="CY22" s="2">
        <f t="shared" si="39"/>
        <v>300</v>
      </c>
      <c r="CZ22" s="28">
        <f t="shared" si="70"/>
        <v>9</v>
      </c>
      <c r="DA22" s="28">
        <f t="shared" si="71"/>
        <v>3</v>
      </c>
      <c r="DB22" s="2">
        <f t="shared" si="41"/>
        <v>12</v>
      </c>
      <c r="DC22" s="28">
        <f t="shared" si="72"/>
        <v>25</v>
      </c>
      <c r="DD22" s="28">
        <f t="shared" si="73"/>
        <v>16</v>
      </c>
      <c r="DE22" s="2">
        <f t="shared" si="43"/>
        <v>41</v>
      </c>
      <c r="DF22" s="28">
        <f t="shared" si="44"/>
        <v>49.59</v>
      </c>
      <c r="DG22" s="28">
        <f t="shared" si="45"/>
        <v>52.17</v>
      </c>
      <c r="DH22" s="28">
        <f t="shared" si="46"/>
        <v>50.59</v>
      </c>
      <c r="DI22" s="28">
        <f t="shared" si="47"/>
        <v>69.23</v>
      </c>
      <c r="DJ22" s="28">
        <f t="shared" si="48"/>
        <v>42.86</v>
      </c>
      <c r="DK22" s="28">
        <f t="shared" si="49"/>
        <v>60</v>
      </c>
      <c r="DL22" s="28">
        <f t="shared" si="50"/>
        <v>59.52</v>
      </c>
      <c r="DM22" s="28">
        <f t="shared" si="51"/>
        <v>53.33</v>
      </c>
      <c r="DN22" s="28">
        <f t="shared" si="52"/>
        <v>56.94</v>
      </c>
      <c r="DO22" s="32">
        <v>3978</v>
      </c>
      <c r="DP22" s="32">
        <v>5501</v>
      </c>
      <c r="DQ22" s="2">
        <f t="shared" si="53"/>
        <v>9479</v>
      </c>
      <c r="DR22" s="32">
        <v>33</v>
      </c>
      <c r="DS22" s="32">
        <v>59</v>
      </c>
      <c r="DT22" s="2">
        <f t="shared" si="54"/>
        <v>92</v>
      </c>
      <c r="DU22" s="32">
        <v>357</v>
      </c>
      <c r="DV22" s="32">
        <v>524</v>
      </c>
      <c r="DW22" s="2">
        <f t="shared" si="55"/>
        <v>881</v>
      </c>
      <c r="DX22" s="32">
        <v>4849</v>
      </c>
      <c r="DY22" s="32">
        <v>3736</v>
      </c>
      <c r="DZ22" s="2">
        <f t="shared" si="56"/>
        <v>8585</v>
      </c>
      <c r="EA22" s="32">
        <v>75</v>
      </c>
      <c r="EB22" s="32">
        <v>80</v>
      </c>
      <c r="EC22" s="2">
        <f t="shared" si="57"/>
        <v>155</v>
      </c>
      <c r="ED22" s="32">
        <v>634</v>
      </c>
      <c r="EE22" s="32">
        <v>559</v>
      </c>
      <c r="EF22" s="2">
        <f t="shared" si="58"/>
        <v>1193</v>
      </c>
      <c r="EG22" s="4">
        <f t="shared" si="59"/>
        <v>-593</v>
      </c>
      <c r="EH22" s="4">
        <f t="shared" si="60"/>
        <v>-300</v>
      </c>
      <c r="EI22" s="4">
        <f t="shared" si="61"/>
        <v>1</v>
      </c>
      <c r="EJ22" s="4">
        <f t="shared" si="62"/>
        <v>0</v>
      </c>
      <c r="EK22" s="4">
        <f t="shared" si="63"/>
        <v>0</v>
      </c>
      <c r="EL22" s="34"/>
    </row>
    <row r="23" spans="1:142" ht="42.75" customHeight="1">
      <c r="A23" s="50">
        <v>8</v>
      </c>
      <c r="B23" s="35" t="s">
        <v>62</v>
      </c>
      <c r="C23" s="27" t="s">
        <v>63</v>
      </c>
      <c r="D23" s="63">
        <v>42809</v>
      </c>
      <c r="E23" s="63">
        <v>42819</v>
      </c>
      <c r="F23" s="63">
        <v>42924</v>
      </c>
      <c r="G23" s="63">
        <v>42927</v>
      </c>
      <c r="H23" s="6">
        <v>798</v>
      </c>
      <c r="I23" s="6">
        <v>5532</v>
      </c>
      <c r="J23" s="6">
        <v>3666</v>
      </c>
      <c r="K23" s="2">
        <f t="shared" si="0"/>
        <v>9996</v>
      </c>
      <c r="L23" s="6">
        <v>28719</v>
      </c>
      <c r="M23" s="6">
        <v>522918</v>
      </c>
      <c r="N23" s="6">
        <v>217429</v>
      </c>
      <c r="O23" s="2">
        <f t="shared" si="1"/>
        <v>769066</v>
      </c>
      <c r="P23" s="6">
        <v>15386</v>
      </c>
      <c r="Q23" s="6">
        <v>336605</v>
      </c>
      <c r="R23" s="6">
        <v>179250</v>
      </c>
      <c r="S23" s="2">
        <f t="shared" si="2"/>
        <v>531241</v>
      </c>
      <c r="T23" s="15">
        <f t="shared" si="3"/>
        <v>69.08</v>
      </c>
      <c r="U23" s="6">
        <v>440</v>
      </c>
      <c r="V23" s="6">
        <v>1503</v>
      </c>
      <c r="W23" s="6">
        <v>1471</v>
      </c>
      <c r="X23" s="6">
        <v>1332</v>
      </c>
      <c r="Y23" s="6">
        <v>1331</v>
      </c>
      <c r="Z23" s="6">
        <v>1227</v>
      </c>
      <c r="AA23" s="6">
        <v>2692</v>
      </c>
      <c r="AB23" s="29">
        <f t="shared" si="4"/>
        <v>0</v>
      </c>
      <c r="AC23" s="30">
        <v>453666</v>
      </c>
      <c r="AD23" s="30">
        <v>315400</v>
      </c>
      <c r="AE23" s="2">
        <f t="shared" si="5"/>
        <v>769066</v>
      </c>
      <c r="AF23" s="31">
        <v>34439</v>
      </c>
      <c r="AG23" s="31">
        <v>25972</v>
      </c>
      <c r="AH23" s="2">
        <f t="shared" si="6"/>
        <v>60411</v>
      </c>
      <c r="AI23" s="31">
        <v>59051</v>
      </c>
      <c r="AJ23" s="31">
        <v>52052</v>
      </c>
      <c r="AK23" s="2">
        <f t="shared" si="7"/>
        <v>111103</v>
      </c>
      <c r="AL23" s="30">
        <v>293426</v>
      </c>
      <c r="AM23" s="30">
        <v>231483</v>
      </c>
      <c r="AN23" s="2">
        <f t="shared" si="8"/>
        <v>524909</v>
      </c>
      <c r="AO23" s="31">
        <v>20133</v>
      </c>
      <c r="AP23" s="31">
        <v>17126</v>
      </c>
      <c r="AQ23" s="2">
        <f t="shared" si="9"/>
        <v>37259</v>
      </c>
      <c r="AR23" s="31">
        <v>34227</v>
      </c>
      <c r="AS23" s="31">
        <v>34130</v>
      </c>
      <c r="AT23" s="2">
        <f t="shared" si="10"/>
        <v>68357</v>
      </c>
      <c r="AU23" s="31">
        <v>3376</v>
      </c>
      <c r="AV23" s="31">
        <v>2956</v>
      </c>
      <c r="AW23" s="2">
        <f t="shared" si="11"/>
        <v>6332</v>
      </c>
      <c r="AX23" s="33">
        <v>307</v>
      </c>
      <c r="AY23" s="33">
        <v>371</v>
      </c>
      <c r="AZ23" s="2">
        <f t="shared" si="12"/>
        <v>678</v>
      </c>
      <c r="BA23" s="31">
        <v>340</v>
      </c>
      <c r="BB23" s="31">
        <v>461</v>
      </c>
      <c r="BC23" s="2">
        <f t="shared" si="13"/>
        <v>801</v>
      </c>
      <c r="BD23" s="28">
        <f t="shared" si="75"/>
        <v>296802</v>
      </c>
      <c r="BE23" s="28">
        <f t="shared" si="74"/>
        <v>234439</v>
      </c>
      <c r="BF23" s="2">
        <f t="shared" si="15"/>
        <v>531241</v>
      </c>
      <c r="BG23" s="28">
        <f t="shared" si="64"/>
        <v>20440</v>
      </c>
      <c r="BH23" s="28">
        <f t="shared" si="65"/>
        <v>17497</v>
      </c>
      <c r="BI23" s="2">
        <f t="shared" si="17"/>
        <v>37937</v>
      </c>
      <c r="BJ23" s="28">
        <f t="shared" si="66"/>
        <v>34567</v>
      </c>
      <c r="BK23" s="28">
        <f t="shared" si="67"/>
        <v>34591</v>
      </c>
      <c r="BL23" s="2">
        <f t="shared" si="19"/>
        <v>69158</v>
      </c>
      <c r="BM23" s="28">
        <f t="shared" si="20"/>
        <v>65.42</v>
      </c>
      <c r="BN23" s="28">
        <f t="shared" si="21"/>
        <v>74.33</v>
      </c>
      <c r="BO23" s="28">
        <f t="shared" si="22"/>
        <v>69.08</v>
      </c>
      <c r="BP23" s="28">
        <f t="shared" si="23"/>
        <v>59.35</v>
      </c>
      <c r="BQ23" s="28">
        <f t="shared" si="24"/>
        <v>67.37</v>
      </c>
      <c r="BR23" s="28">
        <f t="shared" si="25"/>
        <v>62.8</v>
      </c>
      <c r="BS23" s="28">
        <f t="shared" si="26"/>
        <v>58.54</v>
      </c>
      <c r="BT23" s="28">
        <f t="shared" si="27"/>
        <v>66.45</v>
      </c>
      <c r="BU23" s="28">
        <f t="shared" si="28"/>
        <v>62.25</v>
      </c>
      <c r="BV23" s="30">
        <v>25216</v>
      </c>
      <c r="BW23" s="30">
        <v>9449</v>
      </c>
      <c r="BX23" s="2">
        <f t="shared" si="29"/>
        <v>34665</v>
      </c>
      <c r="BY23" s="31">
        <v>2559</v>
      </c>
      <c r="BZ23" s="31">
        <v>1256</v>
      </c>
      <c r="CA23" s="2">
        <f t="shared" si="76"/>
        <v>3815</v>
      </c>
      <c r="CB23" s="31">
        <v>2308</v>
      </c>
      <c r="CC23" s="31">
        <v>857</v>
      </c>
      <c r="CD23" s="2">
        <f t="shared" si="31"/>
        <v>3165</v>
      </c>
      <c r="CE23" s="30">
        <v>1426</v>
      </c>
      <c r="CF23" s="30">
        <v>950</v>
      </c>
      <c r="CG23" s="2">
        <f t="shared" si="77"/>
        <v>2376</v>
      </c>
      <c r="CH23" s="31">
        <v>76</v>
      </c>
      <c r="CI23" s="31">
        <v>86</v>
      </c>
      <c r="CJ23" s="2">
        <f t="shared" si="33"/>
        <v>162</v>
      </c>
      <c r="CK23" s="31">
        <v>189</v>
      </c>
      <c r="CL23" s="31">
        <v>88</v>
      </c>
      <c r="CM23" s="2">
        <f t="shared" si="34"/>
        <v>277</v>
      </c>
      <c r="CN23" s="33">
        <v>140</v>
      </c>
      <c r="CO23" s="33">
        <v>173</v>
      </c>
      <c r="CP23" s="2">
        <f t="shared" si="35"/>
        <v>313</v>
      </c>
      <c r="CQ23" s="31">
        <v>20</v>
      </c>
      <c r="CR23" s="31">
        <v>24</v>
      </c>
      <c r="CS23" s="2">
        <f t="shared" si="36"/>
        <v>44</v>
      </c>
      <c r="CT23" s="31">
        <v>11</v>
      </c>
      <c r="CU23" s="31">
        <v>9</v>
      </c>
      <c r="CV23" s="2">
        <f t="shared" si="37"/>
        <v>20</v>
      </c>
      <c r="CW23" s="28">
        <f t="shared" si="68"/>
        <v>1566</v>
      </c>
      <c r="CX23" s="28">
        <f t="shared" si="69"/>
        <v>1123</v>
      </c>
      <c r="CY23" s="2">
        <f t="shared" si="39"/>
        <v>2689</v>
      </c>
      <c r="CZ23" s="28">
        <f t="shared" si="70"/>
        <v>96</v>
      </c>
      <c r="DA23" s="28">
        <f t="shared" si="71"/>
        <v>110</v>
      </c>
      <c r="DB23" s="2">
        <f t="shared" si="41"/>
        <v>206</v>
      </c>
      <c r="DC23" s="28">
        <f t="shared" si="72"/>
        <v>200</v>
      </c>
      <c r="DD23" s="28">
        <f t="shared" si="73"/>
        <v>97</v>
      </c>
      <c r="DE23" s="2">
        <f t="shared" si="43"/>
        <v>297</v>
      </c>
      <c r="DF23" s="28">
        <f t="shared" si="44"/>
        <v>6.21</v>
      </c>
      <c r="DG23" s="28">
        <f t="shared" si="45"/>
        <v>11.88</v>
      </c>
      <c r="DH23" s="28">
        <f t="shared" si="46"/>
        <v>7.76</v>
      </c>
      <c r="DI23" s="28">
        <f t="shared" si="47"/>
        <v>3.75</v>
      </c>
      <c r="DJ23" s="28">
        <f t="shared" si="48"/>
        <v>8.76</v>
      </c>
      <c r="DK23" s="28">
        <f t="shared" si="49"/>
        <v>5.4</v>
      </c>
      <c r="DL23" s="28">
        <f t="shared" si="50"/>
        <v>8.67</v>
      </c>
      <c r="DM23" s="28">
        <f t="shared" si="51"/>
        <v>11.32</v>
      </c>
      <c r="DN23" s="28">
        <f t="shared" si="52"/>
        <v>9.3800000000000008</v>
      </c>
      <c r="DO23" s="32">
        <v>110087</v>
      </c>
      <c r="DP23" s="32">
        <v>95894</v>
      </c>
      <c r="DQ23" s="2">
        <f t="shared" si="53"/>
        <v>205981</v>
      </c>
      <c r="DR23" s="32">
        <v>6300</v>
      </c>
      <c r="DS23" s="32">
        <v>5816</v>
      </c>
      <c r="DT23" s="2">
        <f t="shared" si="54"/>
        <v>12116</v>
      </c>
      <c r="DU23" s="32">
        <v>7337</v>
      </c>
      <c r="DV23" s="32">
        <v>8507</v>
      </c>
      <c r="DW23" s="2">
        <f t="shared" si="55"/>
        <v>15844</v>
      </c>
      <c r="DX23" s="32">
        <v>183339</v>
      </c>
      <c r="DY23" s="32">
        <v>135589</v>
      </c>
      <c r="DZ23" s="2">
        <f t="shared" si="56"/>
        <v>318928</v>
      </c>
      <c r="EA23" s="32">
        <v>13833</v>
      </c>
      <c r="EB23" s="32">
        <v>11310</v>
      </c>
      <c r="EC23" s="2">
        <f t="shared" si="57"/>
        <v>25143</v>
      </c>
      <c r="ED23" s="32">
        <v>26890</v>
      </c>
      <c r="EE23" s="32">
        <v>25623</v>
      </c>
      <c r="EF23" s="2">
        <f t="shared" si="58"/>
        <v>52513</v>
      </c>
      <c r="EG23" s="4">
        <f t="shared" si="59"/>
        <v>-34665</v>
      </c>
      <c r="EH23" s="4">
        <f t="shared" si="60"/>
        <v>-2689</v>
      </c>
      <c r="EI23" s="4">
        <f t="shared" si="61"/>
        <v>-9021</v>
      </c>
      <c r="EJ23" s="4">
        <f t="shared" si="62"/>
        <v>-884</v>
      </c>
      <c r="EK23" s="4">
        <f t="shared" si="63"/>
        <v>-1098</v>
      </c>
      <c r="EL23" s="34"/>
    </row>
    <row r="24" spans="1:142">
      <c r="A24" s="50">
        <v>10</v>
      </c>
      <c r="B24" s="35" t="s">
        <v>65</v>
      </c>
      <c r="C24" s="80" t="s">
        <v>66</v>
      </c>
      <c r="D24" s="81">
        <v>42828</v>
      </c>
      <c r="E24" s="82" t="s">
        <v>101</v>
      </c>
      <c r="F24" s="81">
        <v>42898</v>
      </c>
      <c r="G24" s="81">
        <v>42905</v>
      </c>
      <c r="H24" s="84">
        <v>2669</v>
      </c>
      <c r="I24" s="84">
        <v>0</v>
      </c>
      <c r="J24" s="84">
        <v>1204</v>
      </c>
      <c r="K24" s="58">
        <f t="shared" si="0"/>
        <v>3873</v>
      </c>
      <c r="L24" s="84">
        <v>90522</v>
      </c>
      <c r="M24" s="84">
        <v>0</v>
      </c>
      <c r="N24" s="84">
        <v>24285</v>
      </c>
      <c r="O24" s="58">
        <f t="shared" si="1"/>
        <v>114807</v>
      </c>
      <c r="P24" s="84">
        <v>68201</v>
      </c>
      <c r="Q24" s="84">
        <v>0</v>
      </c>
      <c r="R24" s="84">
        <v>21442</v>
      </c>
      <c r="S24" s="58">
        <f t="shared" si="2"/>
        <v>89643</v>
      </c>
      <c r="T24" s="59">
        <f t="shared" si="3"/>
        <v>78.08</v>
      </c>
      <c r="U24" s="84">
        <v>517</v>
      </c>
      <c r="V24" s="84">
        <v>1020</v>
      </c>
      <c r="W24" s="84">
        <v>690</v>
      </c>
      <c r="X24" s="84">
        <v>560</v>
      </c>
      <c r="Y24" s="84">
        <v>428</v>
      </c>
      <c r="Z24" s="84">
        <v>360</v>
      </c>
      <c r="AA24" s="84">
        <v>744</v>
      </c>
      <c r="AB24" s="85">
        <f t="shared" si="4"/>
        <v>-446</v>
      </c>
      <c r="AC24" s="86">
        <v>60812</v>
      </c>
      <c r="AD24" s="86">
        <v>53995</v>
      </c>
      <c r="AE24" s="58">
        <f t="shared" si="5"/>
        <v>114807</v>
      </c>
      <c r="AF24" s="87">
        <v>17705</v>
      </c>
      <c r="AG24" s="87">
        <v>16506</v>
      </c>
      <c r="AH24" s="58">
        <f t="shared" si="6"/>
        <v>34211</v>
      </c>
      <c r="AI24" s="87">
        <v>3747</v>
      </c>
      <c r="AJ24" s="87">
        <v>3407</v>
      </c>
      <c r="AK24" s="58">
        <f t="shared" si="7"/>
        <v>7154</v>
      </c>
      <c r="AL24" s="86">
        <v>39274</v>
      </c>
      <c r="AM24" s="86">
        <v>37680</v>
      </c>
      <c r="AN24" s="58">
        <f t="shared" si="8"/>
        <v>76954</v>
      </c>
      <c r="AO24" s="87">
        <v>10407</v>
      </c>
      <c r="AP24" s="87">
        <v>10597</v>
      </c>
      <c r="AQ24" s="58">
        <f t="shared" si="9"/>
        <v>21004</v>
      </c>
      <c r="AR24" s="87">
        <v>2412</v>
      </c>
      <c r="AS24" s="87">
        <v>2344</v>
      </c>
      <c r="AT24" s="58">
        <f t="shared" si="10"/>
        <v>4756</v>
      </c>
      <c r="AU24" s="88">
        <v>6860</v>
      </c>
      <c r="AV24" s="88">
        <v>5829</v>
      </c>
      <c r="AW24" s="58">
        <f t="shared" si="11"/>
        <v>12689</v>
      </c>
      <c r="AX24" s="89">
        <v>2174</v>
      </c>
      <c r="AY24" s="89">
        <v>2020</v>
      </c>
      <c r="AZ24" s="58">
        <f t="shared" si="12"/>
        <v>4194</v>
      </c>
      <c r="BA24" s="89">
        <v>395</v>
      </c>
      <c r="BB24" s="89">
        <v>371</v>
      </c>
      <c r="BC24" s="58">
        <f t="shared" si="13"/>
        <v>766</v>
      </c>
      <c r="BD24" s="61">
        <f t="shared" si="75"/>
        <v>46134</v>
      </c>
      <c r="BE24" s="61">
        <f t="shared" si="74"/>
        <v>43509</v>
      </c>
      <c r="BF24" s="58">
        <f t="shared" si="15"/>
        <v>89643</v>
      </c>
      <c r="BG24" s="61">
        <f t="shared" si="64"/>
        <v>12581</v>
      </c>
      <c r="BH24" s="61">
        <f t="shared" si="65"/>
        <v>12617</v>
      </c>
      <c r="BI24" s="58">
        <f t="shared" si="17"/>
        <v>25198</v>
      </c>
      <c r="BJ24" s="61">
        <f t="shared" si="66"/>
        <v>2807</v>
      </c>
      <c r="BK24" s="61">
        <f t="shared" si="67"/>
        <v>2715</v>
      </c>
      <c r="BL24" s="58">
        <f t="shared" si="19"/>
        <v>5522</v>
      </c>
      <c r="BM24" s="61">
        <f t="shared" si="20"/>
        <v>75.86</v>
      </c>
      <c r="BN24" s="61">
        <f t="shared" si="21"/>
        <v>80.58</v>
      </c>
      <c r="BO24" s="61">
        <f t="shared" si="22"/>
        <v>78.08</v>
      </c>
      <c r="BP24" s="61">
        <f t="shared" si="23"/>
        <v>71.06</v>
      </c>
      <c r="BQ24" s="61">
        <f t="shared" si="24"/>
        <v>76.44</v>
      </c>
      <c r="BR24" s="61">
        <f t="shared" si="25"/>
        <v>73.650000000000006</v>
      </c>
      <c r="BS24" s="61">
        <f t="shared" si="26"/>
        <v>74.91</v>
      </c>
      <c r="BT24" s="61">
        <f t="shared" si="27"/>
        <v>79.69</v>
      </c>
      <c r="BU24" s="61">
        <f t="shared" si="28"/>
        <v>77.19</v>
      </c>
      <c r="BV24" s="87">
        <v>0</v>
      </c>
      <c r="BW24" s="87">
        <v>0</v>
      </c>
      <c r="BX24" s="58">
        <f t="shared" si="29"/>
        <v>0</v>
      </c>
      <c r="BY24" s="87">
        <v>0</v>
      </c>
      <c r="BZ24" s="87">
        <v>0</v>
      </c>
      <c r="CA24" s="58">
        <f t="shared" si="76"/>
        <v>0</v>
      </c>
      <c r="CB24" s="87">
        <v>0</v>
      </c>
      <c r="CC24" s="87">
        <v>0</v>
      </c>
      <c r="CD24" s="58">
        <f t="shared" si="31"/>
        <v>0</v>
      </c>
      <c r="CE24" s="87">
        <v>0</v>
      </c>
      <c r="CF24" s="87">
        <v>0</v>
      </c>
      <c r="CG24" s="58">
        <f t="shared" si="77"/>
        <v>0</v>
      </c>
      <c r="CH24" s="87">
        <v>0</v>
      </c>
      <c r="CI24" s="87">
        <v>0</v>
      </c>
      <c r="CJ24" s="58">
        <f t="shared" si="33"/>
        <v>0</v>
      </c>
      <c r="CK24" s="87">
        <v>0</v>
      </c>
      <c r="CL24" s="87">
        <v>0</v>
      </c>
      <c r="CM24" s="58">
        <f t="shared" si="34"/>
        <v>0</v>
      </c>
      <c r="CN24" s="89">
        <v>0</v>
      </c>
      <c r="CO24" s="89">
        <v>0</v>
      </c>
      <c r="CP24" s="58">
        <f t="shared" si="35"/>
        <v>0</v>
      </c>
      <c r="CQ24" s="87">
        <v>0</v>
      </c>
      <c r="CR24" s="87">
        <v>0</v>
      </c>
      <c r="CS24" s="58">
        <f t="shared" si="36"/>
        <v>0</v>
      </c>
      <c r="CT24" s="87">
        <v>0</v>
      </c>
      <c r="CU24" s="87">
        <v>0</v>
      </c>
      <c r="CV24" s="58">
        <f t="shared" si="37"/>
        <v>0</v>
      </c>
      <c r="CW24" s="28">
        <f t="shared" si="68"/>
        <v>0</v>
      </c>
      <c r="CX24" s="28">
        <f t="shared" si="69"/>
        <v>0</v>
      </c>
      <c r="CY24" s="2">
        <f t="shared" si="39"/>
        <v>0</v>
      </c>
      <c r="CZ24" s="28">
        <f t="shared" si="70"/>
        <v>0</v>
      </c>
      <c r="DA24" s="28">
        <f t="shared" si="71"/>
        <v>0</v>
      </c>
      <c r="DB24" s="2">
        <f t="shared" si="41"/>
        <v>0</v>
      </c>
      <c r="DC24" s="28">
        <f t="shared" si="72"/>
        <v>0</v>
      </c>
      <c r="DD24" s="28">
        <f t="shared" si="73"/>
        <v>0</v>
      </c>
      <c r="DE24" s="2">
        <f t="shared" si="43"/>
        <v>0</v>
      </c>
      <c r="DF24" s="61" t="e">
        <f t="shared" si="44"/>
        <v>#DIV/0!</v>
      </c>
      <c r="DG24" s="61" t="e">
        <f t="shared" si="45"/>
        <v>#DIV/0!</v>
      </c>
      <c r="DH24" s="61" t="e">
        <f t="shared" si="46"/>
        <v>#DIV/0!</v>
      </c>
      <c r="DI24" s="61" t="e">
        <f t="shared" si="47"/>
        <v>#DIV/0!</v>
      </c>
      <c r="DJ24" s="61" t="e">
        <f t="shared" si="48"/>
        <v>#DIV/0!</v>
      </c>
      <c r="DK24" s="61" t="e">
        <f t="shared" si="49"/>
        <v>#DIV/0!</v>
      </c>
      <c r="DL24" s="61" t="e">
        <f t="shared" si="50"/>
        <v>#DIV/0!</v>
      </c>
      <c r="DM24" s="61" t="e">
        <f t="shared" si="51"/>
        <v>#DIV/0!</v>
      </c>
      <c r="DN24" s="61" t="e">
        <f t="shared" si="52"/>
        <v>#DIV/0!</v>
      </c>
      <c r="DO24" s="90">
        <v>27097</v>
      </c>
      <c r="DP24" s="90">
        <v>29637</v>
      </c>
      <c r="DQ24" s="56">
        <f t="shared" si="53"/>
        <v>56734</v>
      </c>
      <c r="DR24" s="90">
        <v>6430</v>
      </c>
      <c r="DS24" s="90">
        <v>7738</v>
      </c>
      <c r="DT24" s="56">
        <f t="shared" si="54"/>
        <v>14168</v>
      </c>
      <c r="DU24" s="90">
        <v>1572</v>
      </c>
      <c r="DV24" s="90">
        <v>1731</v>
      </c>
      <c r="DW24" s="56">
        <f t="shared" si="55"/>
        <v>3303</v>
      </c>
      <c r="DX24" s="90">
        <v>12177</v>
      </c>
      <c r="DY24" s="90">
        <v>8043</v>
      </c>
      <c r="DZ24" s="56">
        <f t="shared" si="56"/>
        <v>20220</v>
      </c>
      <c r="EA24" s="90">
        <v>3977</v>
      </c>
      <c r="EB24" s="90">
        <v>2859</v>
      </c>
      <c r="EC24" s="56">
        <f t="shared" si="57"/>
        <v>6836</v>
      </c>
      <c r="ED24" s="90">
        <v>840</v>
      </c>
      <c r="EE24" s="90">
        <v>613</v>
      </c>
      <c r="EF24" s="56">
        <f t="shared" si="58"/>
        <v>1453</v>
      </c>
      <c r="EG24" s="91">
        <f t="shared" si="59"/>
        <v>0</v>
      </c>
      <c r="EH24" s="91">
        <f t="shared" si="60"/>
        <v>0</v>
      </c>
      <c r="EI24" s="91">
        <f t="shared" si="61"/>
        <v>-12689</v>
      </c>
      <c r="EJ24" s="91">
        <f t="shared" si="62"/>
        <v>-4194</v>
      </c>
      <c r="EK24" s="91">
        <f t="shared" si="63"/>
        <v>-766</v>
      </c>
      <c r="EL24" s="34"/>
    </row>
    <row r="25" spans="1:142" ht="28.5">
      <c r="A25" s="51">
        <v>24</v>
      </c>
      <c r="B25" s="45" t="s">
        <v>97</v>
      </c>
      <c r="C25" s="48" t="s">
        <v>98</v>
      </c>
      <c r="D25" s="65" t="s">
        <v>75</v>
      </c>
      <c r="E25" s="65" t="s">
        <v>75</v>
      </c>
      <c r="F25" s="65" t="s">
        <v>75</v>
      </c>
      <c r="G25" s="65" t="s">
        <v>75</v>
      </c>
      <c r="H25" s="46">
        <v>0</v>
      </c>
      <c r="I25" s="46">
        <v>0</v>
      </c>
      <c r="J25" s="46">
        <v>0</v>
      </c>
      <c r="K25" s="46">
        <f t="shared" si="0"/>
        <v>0</v>
      </c>
      <c r="L25" s="46">
        <v>0</v>
      </c>
      <c r="M25" s="46">
        <v>0</v>
      </c>
      <c r="N25" s="46">
        <v>0</v>
      </c>
      <c r="O25" s="46">
        <f t="shared" si="1"/>
        <v>0</v>
      </c>
      <c r="P25" s="46">
        <v>0</v>
      </c>
      <c r="Q25" s="46">
        <v>0</v>
      </c>
      <c r="R25" s="46">
        <v>0</v>
      </c>
      <c r="S25" s="46">
        <f t="shared" si="2"/>
        <v>0</v>
      </c>
      <c r="T25" s="46" t="e">
        <f t="shared" si="3"/>
        <v>#DIV/0!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7">
        <f t="shared" si="4"/>
        <v>0</v>
      </c>
      <c r="AC25" s="46">
        <v>75356</v>
      </c>
      <c r="AD25" s="46">
        <v>66388</v>
      </c>
      <c r="AE25" s="46">
        <f t="shared" si="5"/>
        <v>141744</v>
      </c>
      <c r="AF25" s="46">
        <v>0</v>
      </c>
      <c r="AG25" s="46">
        <v>0</v>
      </c>
      <c r="AH25" s="46">
        <f t="shared" si="6"/>
        <v>0</v>
      </c>
      <c r="AI25" s="46">
        <v>0</v>
      </c>
      <c r="AJ25" s="46">
        <v>0</v>
      </c>
      <c r="AK25" s="46">
        <f t="shared" si="7"/>
        <v>0</v>
      </c>
      <c r="AL25" s="46">
        <v>46549</v>
      </c>
      <c r="AM25" s="46">
        <v>41265</v>
      </c>
      <c r="AN25" s="46">
        <f t="shared" si="8"/>
        <v>87814</v>
      </c>
      <c r="AO25" s="46">
        <v>0</v>
      </c>
      <c r="AP25" s="46">
        <v>0</v>
      </c>
      <c r="AQ25" s="46">
        <f t="shared" si="9"/>
        <v>0</v>
      </c>
      <c r="AR25" s="46">
        <v>0</v>
      </c>
      <c r="AS25" s="46">
        <v>0</v>
      </c>
      <c r="AT25" s="46">
        <f t="shared" si="10"/>
        <v>0</v>
      </c>
      <c r="AU25" s="46">
        <v>0</v>
      </c>
      <c r="AV25" s="46">
        <v>0</v>
      </c>
      <c r="AW25" s="46">
        <f t="shared" si="11"/>
        <v>0</v>
      </c>
      <c r="AX25" s="46">
        <v>0</v>
      </c>
      <c r="AY25" s="46">
        <v>0</v>
      </c>
      <c r="AZ25" s="2">
        <f t="shared" si="12"/>
        <v>0</v>
      </c>
      <c r="BA25" s="46">
        <v>0</v>
      </c>
      <c r="BB25" s="46">
        <v>0</v>
      </c>
      <c r="BC25" s="46">
        <f t="shared" si="13"/>
        <v>0</v>
      </c>
      <c r="BD25" s="46">
        <f t="shared" si="75"/>
        <v>46549</v>
      </c>
      <c r="BE25" s="46">
        <f t="shared" si="74"/>
        <v>41265</v>
      </c>
      <c r="BF25" s="46">
        <f t="shared" si="15"/>
        <v>87814</v>
      </c>
      <c r="BG25" s="46">
        <f t="shared" si="64"/>
        <v>0</v>
      </c>
      <c r="BH25" s="46">
        <f t="shared" si="65"/>
        <v>0</v>
      </c>
      <c r="BI25" s="46">
        <f t="shared" si="17"/>
        <v>0</v>
      </c>
      <c r="BJ25" s="46">
        <f t="shared" si="66"/>
        <v>0</v>
      </c>
      <c r="BK25" s="46">
        <f t="shared" si="67"/>
        <v>0</v>
      </c>
      <c r="BL25" s="46">
        <f t="shared" si="19"/>
        <v>0</v>
      </c>
      <c r="BM25" s="46">
        <f t="shared" si="20"/>
        <v>61.77</v>
      </c>
      <c r="BN25" s="46">
        <f t="shared" si="21"/>
        <v>62.16</v>
      </c>
      <c r="BO25" s="46">
        <f t="shared" si="22"/>
        <v>61.95</v>
      </c>
      <c r="BP25" s="46" t="e">
        <f t="shared" si="23"/>
        <v>#DIV/0!</v>
      </c>
      <c r="BQ25" s="46" t="e">
        <f t="shared" si="24"/>
        <v>#DIV/0!</v>
      </c>
      <c r="BR25" s="46" t="e">
        <f t="shared" si="25"/>
        <v>#DIV/0!</v>
      </c>
      <c r="BS25" s="46" t="e">
        <f t="shared" si="26"/>
        <v>#DIV/0!</v>
      </c>
      <c r="BT25" s="46" t="e">
        <f t="shared" si="27"/>
        <v>#DIV/0!</v>
      </c>
      <c r="BU25" s="46" t="e">
        <f t="shared" si="28"/>
        <v>#DIV/0!</v>
      </c>
      <c r="BV25" s="46">
        <v>81979</v>
      </c>
      <c r="BW25" s="46">
        <v>55099</v>
      </c>
      <c r="BX25" s="46">
        <f t="shared" si="29"/>
        <v>137078</v>
      </c>
      <c r="BY25" s="46">
        <v>0</v>
      </c>
      <c r="BZ25" s="46">
        <v>0</v>
      </c>
      <c r="CA25" s="46">
        <f t="shared" si="76"/>
        <v>0</v>
      </c>
      <c r="CB25" s="46">
        <v>0</v>
      </c>
      <c r="CC25" s="46">
        <v>0</v>
      </c>
      <c r="CD25" s="46">
        <f t="shared" si="31"/>
        <v>0</v>
      </c>
      <c r="CE25" s="46">
        <v>37673</v>
      </c>
      <c r="CF25" s="46">
        <v>28593</v>
      </c>
      <c r="CG25" s="46">
        <f t="shared" si="77"/>
        <v>66266</v>
      </c>
      <c r="CH25" s="46">
        <v>0</v>
      </c>
      <c r="CI25" s="46">
        <v>0</v>
      </c>
      <c r="CJ25" s="46">
        <f t="shared" si="33"/>
        <v>0</v>
      </c>
      <c r="CK25" s="46">
        <v>0</v>
      </c>
      <c r="CL25" s="46">
        <v>0</v>
      </c>
      <c r="CM25" s="46">
        <f t="shared" si="34"/>
        <v>0</v>
      </c>
      <c r="CN25" s="46">
        <v>0</v>
      </c>
      <c r="CO25" s="46">
        <v>0</v>
      </c>
      <c r="CP25" s="46">
        <f t="shared" si="35"/>
        <v>0</v>
      </c>
      <c r="CQ25" s="46">
        <v>0</v>
      </c>
      <c r="CR25" s="46">
        <v>0</v>
      </c>
      <c r="CS25" s="46">
        <f t="shared" si="36"/>
        <v>0</v>
      </c>
      <c r="CT25" s="46">
        <v>0</v>
      </c>
      <c r="CU25" s="46">
        <v>0</v>
      </c>
      <c r="CV25" s="2">
        <f t="shared" si="37"/>
        <v>0</v>
      </c>
      <c r="CW25" s="46">
        <f t="shared" si="68"/>
        <v>37673</v>
      </c>
      <c r="CX25" s="46">
        <f t="shared" si="69"/>
        <v>28593</v>
      </c>
      <c r="CY25" s="46">
        <f t="shared" si="39"/>
        <v>66266</v>
      </c>
      <c r="CZ25" s="28">
        <f t="shared" si="70"/>
        <v>0</v>
      </c>
      <c r="DA25" s="28">
        <f t="shared" si="71"/>
        <v>0</v>
      </c>
      <c r="DB25" s="2">
        <f t="shared" si="41"/>
        <v>0</v>
      </c>
      <c r="DC25" s="28">
        <f t="shared" si="72"/>
        <v>0</v>
      </c>
      <c r="DD25" s="28">
        <f t="shared" si="73"/>
        <v>0</v>
      </c>
      <c r="DE25" s="2">
        <f t="shared" si="43"/>
        <v>0</v>
      </c>
      <c r="DF25" s="46">
        <f t="shared" si="44"/>
        <v>45.95</v>
      </c>
      <c r="DG25" s="46">
        <f t="shared" si="45"/>
        <v>51.89</v>
      </c>
      <c r="DH25" s="46">
        <f t="shared" si="46"/>
        <v>48.34</v>
      </c>
      <c r="DI25" s="46" t="e">
        <f t="shared" si="47"/>
        <v>#DIV/0!</v>
      </c>
      <c r="DJ25" s="46" t="e">
        <f t="shared" si="48"/>
        <v>#DIV/0!</v>
      </c>
      <c r="DK25" s="46" t="e">
        <f t="shared" si="49"/>
        <v>#DIV/0!</v>
      </c>
      <c r="DL25" s="28" t="e">
        <f t="shared" si="50"/>
        <v>#DIV/0!</v>
      </c>
      <c r="DM25" s="28" t="e">
        <f t="shared" si="51"/>
        <v>#DIV/0!</v>
      </c>
      <c r="DN25" s="28" t="e">
        <f t="shared" si="52"/>
        <v>#DIV/0!</v>
      </c>
      <c r="DO25" s="46">
        <f>21002+414</f>
        <v>21416</v>
      </c>
      <c r="DP25" s="46">
        <f>19957+494</f>
        <v>20451</v>
      </c>
      <c r="DQ25" s="46">
        <f t="shared" si="53"/>
        <v>41867</v>
      </c>
      <c r="DR25" s="46">
        <v>0</v>
      </c>
      <c r="DS25" s="46">
        <v>0</v>
      </c>
      <c r="DT25" s="46">
        <f t="shared" si="54"/>
        <v>0</v>
      </c>
      <c r="DU25" s="46">
        <v>0</v>
      </c>
      <c r="DV25" s="46">
        <v>0</v>
      </c>
      <c r="DW25" s="46">
        <f t="shared" si="55"/>
        <v>0</v>
      </c>
      <c r="DX25" s="46">
        <f>25547+37259</f>
        <v>62806</v>
      </c>
      <c r="DY25" s="46">
        <f>21308+28099</f>
        <v>49407</v>
      </c>
      <c r="DZ25" s="46">
        <f t="shared" si="56"/>
        <v>112213</v>
      </c>
      <c r="EA25" s="46">
        <v>0</v>
      </c>
      <c r="EB25" s="46">
        <v>0</v>
      </c>
      <c r="EC25" s="46">
        <f t="shared" si="57"/>
        <v>0</v>
      </c>
      <c r="ED25" s="46">
        <v>0</v>
      </c>
      <c r="EE25" s="46">
        <v>0</v>
      </c>
      <c r="EF25" s="46">
        <f t="shared" si="58"/>
        <v>0</v>
      </c>
      <c r="EG25" s="46">
        <f t="shared" si="59"/>
        <v>-278822</v>
      </c>
      <c r="EH25" s="46">
        <f t="shared" si="60"/>
        <v>-154080</v>
      </c>
      <c r="EI25" s="46">
        <f t="shared" si="61"/>
        <v>0</v>
      </c>
      <c r="EJ25" s="46">
        <f t="shared" si="62"/>
        <v>0</v>
      </c>
      <c r="EK25" s="46">
        <f t="shared" si="63"/>
        <v>0</v>
      </c>
    </row>
    <row r="26" spans="1:142" ht="28.5">
      <c r="A26" s="51">
        <v>23</v>
      </c>
      <c r="B26" s="45" t="s">
        <v>95</v>
      </c>
      <c r="C26" s="48" t="s">
        <v>96</v>
      </c>
      <c r="D26" s="65" t="s">
        <v>75</v>
      </c>
      <c r="E26" s="65" t="s">
        <v>75</v>
      </c>
      <c r="F26" s="65" t="s">
        <v>75</v>
      </c>
      <c r="G26" s="65" t="s">
        <v>75</v>
      </c>
      <c r="H26" s="46">
        <v>2187</v>
      </c>
      <c r="I26" s="46">
        <v>1065</v>
      </c>
      <c r="J26" s="46">
        <v>11</v>
      </c>
      <c r="K26" s="46">
        <f t="shared" si="0"/>
        <v>3263</v>
      </c>
      <c r="L26" s="46">
        <v>274572</v>
      </c>
      <c r="M26" s="46">
        <v>187113</v>
      </c>
      <c r="N26" s="46">
        <v>1085</v>
      </c>
      <c r="O26" s="46">
        <f t="shared" si="1"/>
        <v>462770</v>
      </c>
      <c r="P26" s="46">
        <v>171212</v>
      </c>
      <c r="Q26" s="46">
        <v>136299</v>
      </c>
      <c r="R26" s="46">
        <v>776</v>
      </c>
      <c r="S26" s="46">
        <f t="shared" si="2"/>
        <v>308287</v>
      </c>
      <c r="T26" s="46">
        <f t="shared" si="3"/>
        <v>66.62</v>
      </c>
      <c r="U26" s="46">
        <v>141</v>
      </c>
      <c r="V26" s="46">
        <v>362</v>
      </c>
      <c r="W26" s="46">
        <v>536</v>
      </c>
      <c r="X26" s="46">
        <v>544</v>
      </c>
      <c r="Y26" s="46">
        <v>530</v>
      </c>
      <c r="Z26" s="46">
        <v>509</v>
      </c>
      <c r="AA26" s="46">
        <v>641</v>
      </c>
      <c r="AB26" s="47">
        <f t="shared" si="4"/>
        <v>0</v>
      </c>
      <c r="AC26" s="46">
        <v>184745</v>
      </c>
      <c r="AD26" s="46">
        <v>195038</v>
      </c>
      <c r="AE26" s="46">
        <f t="shared" si="5"/>
        <v>379783</v>
      </c>
      <c r="AF26" s="46">
        <v>22504</v>
      </c>
      <c r="AG26" s="46">
        <v>22404</v>
      </c>
      <c r="AH26" s="46">
        <f t="shared" si="6"/>
        <v>44908</v>
      </c>
      <c r="AI26" s="46">
        <v>42485</v>
      </c>
      <c r="AJ26" s="46">
        <v>44999</v>
      </c>
      <c r="AK26" s="46">
        <f t="shared" si="7"/>
        <v>87484</v>
      </c>
      <c r="AL26" s="46">
        <v>137459</v>
      </c>
      <c r="AM26" s="46">
        <v>135209</v>
      </c>
      <c r="AN26" s="46">
        <f t="shared" si="8"/>
        <v>272668</v>
      </c>
      <c r="AO26" s="46">
        <v>15869</v>
      </c>
      <c r="AP26" s="46">
        <v>13748</v>
      </c>
      <c r="AQ26" s="46">
        <f t="shared" si="9"/>
        <v>29617</v>
      </c>
      <c r="AR26" s="46">
        <v>29146</v>
      </c>
      <c r="AS26" s="46">
        <v>28391</v>
      </c>
      <c r="AT26" s="46">
        <f t="shared" si="10"/>
        <v>57537</v>
      </c>
      <c r="AU26" s="46">
        <v>0</v>
      </c>
      <c r="AV26" s="46">
        <v>0</v>
      </c>
      <c r="AW26" s="46">
        <f t="shared" si="11"/>
        <v>0</v>
      </c>
      <c r="AX26" s="46">
        <v>0</v>
      </c>
      <c r="AY26" s="46">
        <v>1</v>
      </c>
      <c r="AZ26" s="2">
        <f t="shared" si="12"/>
        <v>1</v>
      </c>
      <c r="BA26" s="46">
        <v>0</v>
      </c>
      <c r="BB26" s="46">
        <v>0</v>
      </c>
      <c r="BC26" s="46">
        <f t="shared" si="13"/>
        <v>0</v>
      </c>
      <c r="BD26" s="46">
        <f t="shared" si="75"/>
        <v>137459</v>
      </c>
      <c r="BE26" s="46">
        <f t="shared" si="74"/>
        <v>135209</v>
      </c>
      <c r="BF26" s="46">
        <f t="shared" si="15"/>
        <v>272668</v>
      </c>
      <c r="BG26" s="46">
        <f t="shared" si="64"/>
        <v>15869</v>
      </c>
      <c r="BH26" s="46">
        <f t="shared" si="65"/>
        <v>13749</v>
      </c>
      <c r="BI26" s="46">
        <f t="shared" si="17"/>
        <v>29618</v>
      </c>
      <c r="BJ26" s="46">
        <f t="shared" si="66"/>
        <v>29146</v>
      </c>
      <c r="BK26" s="46">
        <f t="shared" si="67"/>
        <v>28391</v>
      </c>
      <c r="BL26" s="46">
        <f t="shared" si="19"/>
        <v>57537</v>
      </c>
      <c r="BM26" s="46">
        <f t="shared" si="20"/>
        <v>74.400000000000006</v>
      </c>
      <c r="BN26" s="46">
        <f t="shared" si="21"/>
        <v>69.319999999999993</v>
      </c>
      <c r="BO26" s="46">
        <f t="shared" si="22"/>
        <v>71.8</v>
      </c>
      <c r="BP26" s="46">
        <f t="shared" si="23"/>
        <v>70.52</v>
      </c>
      <c r="BQ26" s="46">
        <f t="shared" si="24"/>
        <v>61.37</v>
      </c>
      <c r="BR26" s="46">
        <f t="shared" si="25"/>
        <v>65.95</v>
      </c>
      <c r="BS26" s="46">
        <f t="shared" si="26"/>
        <v>68.599999999999994</v>
      </c>
      <c r="BT26" s="46">
        <f t="shared" si="27"/>
        <v>63.09</v>
      </c>
      <c r="BU26" s="46">
        <f t="shared" si="28"/>
        <v>65.77</v>
      </c>
      <c r="BV26" s="46">
        <v>43767</v>
      </c>
      <c r="BW26" s="46">
        <v>39220</v>
      </c>
      <c r="BX26" s="46">
        <f t="shared" si="29"/>
        <v>82987</v>
      </c>
      <c r="BY26" s="46">
        <v>6122</v>
      </c>
      <c r="BZ26" s="46">
        <v>5666</v>
      </c>
      <c r="CA26" s="46">
        <f t="shared" si="76"/>
        <v>11788</v>
      </c>
      <c r="CB26" s="46">
        <v>13534</v>
      </c>
      <c r="CC26" s="46">
        <v>13892</v>
      </c>
      <c r="CD26" s="46">
        <f t="shared" si="31"/>
        <v>27426</v>
      </c>
      <c r="CE26" s="46">
        <v>23518</v>
      </c>
      <c r="CF26" s="46">
        <v>18101</v>
      </c>
      <c r="CG26" s="46">
        <f t="shared" si="77"/>
        <v>41619</v>
      </c>
      <c r="CH26" s="46">
        <v>3050</v>
      </c>
      <c r="CI26" s="46">
        <v>2281</v>
      </c>
      <c r="CJ26" s="46">
        <f t="shared" si="33"/>
        <v>5331</v>
      </c>
      <c r="CK26" s="46">
        <v>6094</v>
      </c>
      <c r="CL26" s="46">
        <v>6011</v>
      </c>
      <c r="CM26" s="46">
        <f t="shared" si="34"/>
        <v>12105</v>
      </c>
      <c r="CN26" s="46">
        <v>0</v>
      </c>
      <c r="CO26" s="46">
        <v>0</v>
      </c>
      <c r="CP26" s="46">
        <f t="shared" si="35"/>
        <v>0</v>
      </c>
      <c r="CQ26" s="46">
        <v>0</v>
      </c>
      <c r="CR26" s="46">
        <v>0</v>
      </c>
      <c r="CS26" s="46">
        <f t="shared" si="36"/>
        <v>0</v>
      </c>
      <c r="CT26" s="46">
        <v>0</v>
      </c>
      <c r="CU26" s="46">
        <v>0</v>
      </c>
      <c r="CV26" s="2">
        <f t="shared" si="37"/>
        <v>0</v>
      </c>
      <c r="CW26" s="46">
        <f t="shared" si="68"/>
        <v>23518</v>
      </c>
      <c r="CX26" s="46">
        <f t="shared" si="69"/>
        <v>18101</v>
      </c>
      <c r="CY26" s="46">
        <f t="shared" si="39"/>
        <v>41619</v>
      </c>
      <c r="CZ26" s="28">
        <f t="shared" si="70"/>
        <v>3050</v>
      </c>
      <c r="DA26" s="28">
        <f t="shared" si="71"/>
        <v>2281</v>
      </c>
      <c r="DB26" s="2">
        <f t="shared" si="41"/>
        <v>5331</v>
      </c>
      <c r="DC26" s="28">
        <f t="shared" si="72"/>
        <v>6094</v>
      </c>
      <c r="DD26" s="28">
        <f t="shared" si="73"/>
        <v>6011</v>
      </c>
      <c r="DE26" s="2">
        <f t="shared" si="43"/>
        <v>12105</v>
      </c>
      <c r="DF26" s="46">
        <f t="shared" si="44"/>
        <v>53.73</v>
      </c>
      <c r="DG26" s="46">
        <f t="shared" si="45"/>
        <v>46.15</v>
      </c>
      <c r="DH26" s="46">
        <f t="shared" si="46"/>
        <v>50.15</v>
      </c>
      <c r="DI26" s="46">
        <f t="shared" si="47"/>
        <v>49.82</v>
      </c>
      <c r="DJ26" s="46">
        <f t="shared" si="48"/>
        <v>40.26</v>
      </c>
      <c r="DK26" s="46">
        <f t="shared" si="49"/>
        <v>45.22</v>
      </c>
      <c r="DL26" s="28">
        <f t="shared" si="50"/>
        <v>45.03</v>
      </c>
      <c r="DM26" s="28">
        <f t="shared" si="51"/>
        <v>43.27</v>
      </c>
      <c r="DN26" s="28">
        <f t="shared" si="52"/>
        <v>44.14</v>
      </c>
      <c r="DO26" s="46">
        <v>65663</v>
      </c>
      <c r="DP26" s="46">
        <v>59738</v>
      </c>
      <c r="DQ26" s="46">
        <f t="shared" si="53"/>
        <v>125401</v>
      </c>
      <c r="DR26" s="46">
        <v>6526</v>
      </c>
      <c r="DS26" s="46">
        <v>4954</v>
      </c>
      <c r="DT26" s="46">
        <f t="shared" si="54"/>
        <v>11480</v>
      </c>
      <c r="DU26" s="46">
        <v>11880</v>
      </c>
      <c r="DV26" s="46">
        <v>11120</v>
      </c>
      <c r="DW26" s="46">
        <f t="shared" si="55"/>
        <v>23000</v>
      </c>
      <c r="DX26" s="46">
        <v>95314</v>
      </c>
      <c r="DY26" s="46">
        <v>93572</v>
      </c>
      <c r="DZ26" s="46">
        <f t="shared" si="56"/>
        <v>188886</v>
      </c>
      <c r="EA26" s="46">
        <v>12393</v>
      </c>
      <c r="EB26" s="46">
        <v>11076</v>
      </c>
      <c r="EC26" s="46">
        <f t="shared" si="57"/>
        <v>23469</v>
      </c>
      <c r="ED26" s="46">
        <v>24160</v>
      </c>
      <c r="EE26" s="46">
        <v>0</v>
      </c>
      <c r="EF26" s="46">
        <f t="shared" si="58"/>
        <v>24160</v>
      </c>
      <c r="EG26" s="46">
        <f t="shared" si="59"/>
        <v>0</v>
      </c>
      <c r="EH26" s="46">
        <f t="shared" si="60"/>
        <v>-6000</v>
      </c>
      <c r="EI26" s="46">
        <f t="shared" si="61"/>
        <v>0</v>
      </c>
      <c r="EJ26" s="46">
        <f t="shared" si="62"/>
        <v>0</v>
      </c>
      <c r="EK26" s="46">
        <f t="shared" si="63"/>
        <v>-22482</v>
      </c>
    </row>
    <row r="27" spans="1:142" ht="33.75" customHeight="1">
      <c r="A27" s="51">
        <v>33</v>
      </c>
      <c r="B27" s="45" t="s">
        <v>113</v>
      </c>
      <c r="C27" s="48" t="s">
        <v>114</v>
      </c>
      <c r="D27" s="64">
        <v>42824</v>
      </c>
      <c r="E27" s="64">
        <v>42837</v>
      </c>
      <c r="F27" s="64">
        <v>42901</v>
      </c>
      <c r="G27" s="64">
        <v>42908</v>
      </c>
      <c r="H27" s="46">
        <v>5161</v>
      </c>
      <c r="I27" s="46">
        <v>3285</v>
      </c>
      <c r="J27" s="46">
        <v>5712</v>
      </c>
      <c r="K27" s="46">
        <f t="shared" si="0"/>
        <v>14158</v>
      </c>
      <c r="L27" s="46">
        <v>338853</v>
      </c>
      <c r="M27" s="46">
        <v>248476</v>
      </c>
      <c r="N27" s="46">
        <v>268697</v>
      </c>
      <c r="O27" s="46">
        <f t="shared" si="1"/>
        <v>856026</v>
      </c>
      <c r="P27" s="46">
        <v>311812</v>
      </c>
      <c r="Q27" s="46">
        <v>231297</v>
      </c>
      <c r="R27" s="46">
        <v>259892</v>
      </c>
      <c r="S27" s="46">
        <f t="shared" si="2"/>
        <v>803001</v>
      </c>
      <c r="T27" s="46">
        <f t="shared" si="3"/>
        <v>93.81</v>
      </c>
      <c r="U27" s="46">
        <v>835</v>
      </c>
      <c r="V27" s="46">
        <v>2019</v>
      </c>
      <c r="W27" s="46">
        <v>2406</v>
      </c>
      <c r="X27" s="46">
        <v>2321</v>
      </c>
      <c r="Y27" s="46">
        <v>2044</v>
      </c>
      <c r="Z27" s="46">
        <v>1749</v>
      </c>
      <c r="AA27" s="46">
        <v>2784</v>
      </c>
      <c r="AB27" s="47">
        <f t="shared" si="4"/>
        <v>0</v>
      </c>
      <c r="AC27" s="46">
        <v>434503</v>
      </c>
      <c r="AD27" s="46">
        <v>394363</v>
      </c>
      <c r="AE27" s="46">
        <f t="shared" si="5"/>
        <v>828866</v>
      </c>
      <c r="AF27" s="46">
        <v>82799</v>
      </c>
      <c r="AG27" s="46">
        <v>73748</v>
      </c>
      <c r="AH27" s="46">
        <f t="shared" si="6"/>
        <v>156547</v>
      </c>
      <c r="AI27" s="46">
        <v>31091</v>
      </c>
      <c r="AJ27" s="46">
        <v>26965</v>
      </c>
      <c r="AK27" s="46">
        <f t="shared" si="7"/>
        <v>58056</v>
      </c>
      <c r="AL27" s="46">
        <v>284727</v>
      </c>
      <c r="AM27" s="46">
        <v>296734</v>
      </c>
      <c r="AN27" s="46">
        <f t="shared" si="8"/>
        <v>581461</v>
      </c>
      <c r="AO27" s="46">
        <v>48918</v>
      </c>
      <c r="AP27" s="46">
        <v>48772</v>
      </c>
      <c r="AQ27" s="46">
        <f t="shared" si="9"/>
        <v>97690</v>
      </c>
      <c r="AR27" s="46">
        <v>18809</v>
      </c>
      <c r="AS27" s="46">
        <v>18603</v>
      </c>
      <c r="AT27" s="46">
        <f t="shared" si="10"/>
        <v>37412</v>
      </c>
      <c r="AU27" s="46">
        <v>66564</v>
      </c>
      <c r="AV27" s="46">
        <v>45902</v>
      </c>
      <c r="AW27" s="46">
        <f t="shared" si="11"/>
        <v>112466</v>
      </c>
      <c r="AX27" s="46">
        <v>14209</v>
      </c>
      <c r="AY27" s="46">
        <v>10915</v>
      </c>
      <c r="AZ27" s="46">
        <f t="shared" si="12"/>
        <v>25124</v>
      </c>
      <c r="BA27" s="46">
        <v>5425</v>
      </c>
      <c r="BB27" s="46">
        <v>4027</v>
      </c>
      <c r="BC27" s="46">
        <f t="shared" si="13"/>
        <v>9452</v>
      </c>
      <c r="BD27" s="46">
        <f t="shared" si="75"/>
        <v>351291</v>
      </c>
      <c r="BE27" s="46">
        <f t="shared" si="74"/>
        <v>342636</v>
      </c>
      <c r="BF27" s="46">
        <f t="shared" si="15"/>
        <v>693927</v>
      </c>
      <c r="BG27" s="46">
        <f t="shared" si="64"/>
        <v>63127</v>
      </c>
      <c r="BH27" s="46">
        <f t="shared" si="65"/>
        <v>59687</v>
      </c>
      <c r="BI27" s="46">
        <f t="shared" si="17"/>
        <v>122814</v>
      </c>
      <c r="BJ27" s="46">
        <f t="shared" si="66"/>
        <v>24234</v>
      </c>
      <c r="BK27" s="46">
        <f t="shared" si="67"/>
        <v>22630</v>
      </c>
      <c r="BL27" s="46">
        <f t="shared" si="19"/>
        <v>46864</v>
      </c>
      <c r="BM27" s="46">
        <f t="shared" si="20"/>
        <v>80.849999999999994</v>
      </c>
      <c r="BN27" s="46">
        <f t="shared" si="21"/>
        <v>86.88</v>
      </c>
      <c r="BO27" s="46">
        <f t="shared" si="22"/>
        <v>83.72</v>
      </c>
      <c r="BP27" s="46">
        <f t="shared" si="23"/>
        <v>76.239999999999995</v>
      </c>
      <c r="BQ27" s="46">
        <f t="shared" si="24"/>
        <v>80.930000000000007</v>
      </c>
      <c r="BR27" s="46">
        <f t="shared" si="25"/>
        <v>78.45</v>
      </c>
      <c r="BS27" s="46">
        <f t="shared" si="26"/>
        <v>77.95</v>
      </c>
      <c r="BT27" s="46">
        <f t="shared" si="27"/>
        <v>83.92</v>
      </c>
      <c r="BU27" s="46">
        <f t="shared" si="28"/>
        <v>80.72</v>
      </c>
      <c r="BV27" s="46">
        <v>21465</v>
      </c>
      <c r="BW27" s="46">
        <v>5695</v>
      </c>
      <c r="BX27" s="46">
        <f t="shared" si="29"/>
        <v>27160</v>
      </c>
      <c r="BY27" s="46">
        <v>5467</v>
      </c>
      <c r="BZ27" s="46">
        <v>1766</v>
      </c>
      <c r="CA27" s="46">
        <f t="shared" si="76"/>
        <v>7233</v>
      </c>
      <c r="CB27" s="46">
        <v>1416</v>
      </c>
      <c r="CC27" s="46">
        <v>329</v>
      </c>
      <c r="CD27" s="46">
        <f t="shared" si="31"/>
        <v>1745</v>
      </c>
      <c r="CE27" s="46">
        <v>806</v>
      </c>
      <c r="CF27" s="46">
        <v>316</v>
      </c>
      <c r="CG27" s="46">
        <f t="shared" si="77"/>
        <v>1122</v>
      </c>
      <c r="CH27" s="46">
        <v>154</v>
      </c>
      <c r="CI27" s="46">
        <v>49</v>
      </c>
      <c r="CJ27" s="46">
        <f t="shared" si="33"/>
        <v>203</v>
      </c>
      <c r="CK27" s="46">
        <v>42</v>
      </c>
      <c r="CL27" s="46">
        <v>12</v>
      </c>
      <c r="CM27" s="46">
        <f t="shared" si="34"/>
        <v>54</v>
      </c>
      <c r="CN27" s="46">
        <v>2016</v>
      </c>
      <c r="CO27" s="46">
        <v>689</v>
      </c>
      <c r="CP27" s="46">
        <f t="shared" si="35"/>
        <v>2705</v>
      </c>
      <c r="CQ27" s="46">
        <v>471</v>
      </c>
      <c r="CR27" s="46">
        <v>177</v>
      </c>
      <c r="CS27" s="46">
        <f t="shared" si="36"/>
        <v>648</v>
      </c>
      <c r="CT27" s="46">
        <v>135</v>
      </c>
      <c r="CU27" s="46">
        <v>40</v>
      </c>
      <c r="CV27" s="46">
        <f t="shared" si="37"/>
        <v>175</v>
      </c>
      <c r="CW27" s="46">
        <f t="shared" si="68"/>
        <v>2822</v>
      </c>
      <c r="CX27" s="46">
        <f t="shared" si="69"/>
        <v>1005</v>
      </c>
      <c r="CY27" s="46">
        <f t="shared" si="39"/>
        <v>3827</v>
      </c>
      <c r="CZ27" s="28">
        <f t="shared" si="70"/>
        <v>625</v>
      </c>
      <c r="DA27" s="28">
        <f t="shared" si="71"/>
        <v>226</v>
      </c>
      <c r="DB27" s="2">
        <f t="shared" si="41"/>
        <v>851</v>
      </c>
      <c r="DC27" s="28">
        <f t="shared" si="72"/>
        <v>177</v>
      </c>
      <c r="DD27" s="28">
        <f t="shared" si="73"/>
        <v>52</v>
      </c>
      <c r="DE27" s="2">
        <f t="shared" si="43"/>
        <v>229</v>
      </c>
      <c r="DF27" s="46">
        <f t="shared" si="44"/>
        <v>13.15</v>
      </c>
      <c r="DG27" s="46">
        <f t="shared" si="45"/>
        <v>17.649999999999999</v>
      </c>
      <c r="DH27" s="46">
        <f t="shared" si="46"/>
        <v>14.09</v>
      </c>
      <c r="DI27" s="46">
        <f t="shared" si="47"/>
        <v>11.43</v>
      </c>
      <c r="DJ27" s="46">
        <f t="shared" si="48"/>
        <v>12.8</v>
      </c>
      <c r="DK27" s="46">
        <f t="shared" si="49"/>
        <v>11.77</v>
      </c>
      <c r="DL27" s="46">
        <f t="shared" si="50"/>
        <v>12.5</v>
      </c>
      <c r="DM27" s="46">
        <f t="shared" si="51"/>
        <v>15.81</v>
      </c>
      <c r="DN27" s="46">
        <f t="shared" si="52"/>
        <v>13.12</v>
      </c>
      <c r="DO27" s="46">
        <v>193561</v>
      </c>
      <c r="DP27" s="46">
        <v>233022</v>
      </c>
      <c r="DQ27" s="46">
        <f t="shared" si="53"/>
        <v>426583</v>
      </c>
      <c r="DR27" s="46">
        <v>30451</v>
      </c>
      <c r="DS27" s="46">
        <v>34325</v>
      </c>
      <c r="DT27" s="46">
        <f t="shared" si="54"/>
        <v>64776</v>
      </c>
      <c r="DU27" s="46">
        <v>11362</v>
      </c>
      <c r="DV27" s="46">
        <v>13302</v>
      </c>
      <c r="DW27" s="46">
        <f t="shared" si="55"/>
        <v>24664</v>
      </c>
      <c r="DX27" s="46">
        <v>91972</v>
      </c>
      <c r="DY27" s="46">
        <v>64028</v>
      </c>
      <c r="DZ27" s="46">
        <f t="shared" si="56"/>
        <v>156000</v>
      </c>
      <c r="EA27" s="46">
        <v>18621</v>
      </c>
      <c r="EB27" s="46">
        <v>14496</v>
      </c>
      <c r="EC27" s="46">
        <f t="shared" si="57"/>
        <v>33117</v>
      </c>
      <c r="ED27" s="46">
        <v>7489</v>
      </c>
      <c r="EE27" s="46">
        <v>5313</v>
      </c>
      <c r="EF27" s="46">
        <f t="shared" si="58"/>
        <v>12802</v>
      </c>
      <c r="EG27" s="46">
        <f t="shared" si="59"/>
        <v>0</v>
      </c>
      <c r="EH27" s="46">
        <f t="shared" si="60"/>
        <v>105247</v>
      </c>
      <c r="EI27" s="46">
        <f t="shared" si="61"/>
        <v>-115171</v>
      </c>
      <c r="EJ27" s="46">
        <f t="shared" si="62"/>
        <v>-25772</v>
      </c>
      <c r="EK27" s="46">
        <f t="shared" si="63"/>
        <v>-9627</v>
      </c>
    </row>
    <row r="28" spans="1:142" ht="33.75" customHeight="1">
      <c r="A28" s="51">
        <v>31</v>
      </c>
      <c r="B28" s="44" t="s">
        <v>110</v>
      </c>
      <c r="C28" s="55" t="s">
        <v>75</v>
      </c>
      <c r="D28" s="66" t="s">
        <v>75</v>
      </c>
      <c r="E28" s="66" t="s">
        <v>75</v>
      </c>
      <c r="F28" s="66" t="s">
        <v>75</v>
      </c>
      <c r="G28" s="66" t="s">
        <v>75</v>
      </c>
      <c r="H28" s="57">
        <v>0</v>
      </c>
      <c r="I28" s="57">
        <v>0</v>
      </c>
      <c r="J28" s="57">
        <v>0</v>
      </c>
      <c r="K28" s="57">
        <f t="shared" si="0"/>
        <v>0</v>
      </c>
      <c r="L28" s="57">
        <v>0</v>
      </c>
      <c r="M28" s="57">
        <v>0</v>
      </c>
      <c r="N28" s="57">
        <v>0</v>
      </c>
      <c r="O28" s="57">
        <f t="shared" si="1"/>
        <v>0</v>
      </c>
      <c r="P28" s="57">
        <v>0</v>
      </c>
      <c r="Q28" s="57">
        <v>0</v>
      </c>
      <c r="R28" s="57">
        <v>0</v>
      </c>
      <c r="S28" s="57">
        <f t="shared" si="2"/>
        <v>0</v>
      </c>
      <c r="T28" s="57" t="e">
        <f t="shared" si="3"/>
        <v>#DIV/0!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60">
        <f t="shared" si="4"/>
        <v>0</v>
      </c>
      <c r="AC28" s="57">
        <v>231537</v>
      </c>
      <c r="AD28" s="57">
        <v>223916</v>
      </c>
      <c r="AE28" s="57">
        <f t="shared" si="5"/>
        <v>455453</v>
      </c>
      <c r="AF28" s="57">
        <v>23902</v>
      </c>
      <c r="AG28" s="57">
        <v>22842</v>
      </c>
      <c r="AH28" s="57">
        <f t="shared" si="6"/>
        <v>46744</v>
      </c>
      <c r="AI28" s="57">
        <v>4264</v>
      </c>
      <c r="AJ28" s="57">
        <v>4192</v>
      </c>
      <c r="AK28" s="57">
        <f t="shared" si="7"/>
        <v>8456</v>
      </c>
      <c r="AL28" s="57">
        <v>220053</v>
      </c>
      <c r="AM28" s="57">
        <v>217103</v>
      </c>
      <c r="AN28" s="57">
        <f t="shared" si="8"/>
        <v>437156</v>
      </c>
      <c r="AO28" s="57">
        <v>21533</v>
      </c>
      <c r="AP28" s="57">
        <v>21493</v>
      </c>
      <c r="AQ28" s="57">
        <f t="shared" si="9"/>
        <v>43026</v>
      </c>
      <c r="AR28" s="57">
        <v>3482</v>
      </c>
      <c r="AS28" s="57">
        <v>3514</v>
      </c>
      <c r="AT28" s="57">
        <f t="shared" si="10"/>
        <v>6996</v>
      </c>
      <c r="AU28" s="57">
        <v>7454</v>
      </c>
      <c r="AV28" s="57">
        <v>4715</v>
      </c>
      <c r="AW28" s="57">
        <f t="shared" si="11"/>
        <v>12169</v>
      </c>
      <c r="AX28" s="57">
        <v>1437</v>
      </c>
      <c r="AY28" s="57">
        <v>956</v>
      </c>
      <c r="AZ28" s="57">
        <f t="shared" si="12"/>
        <v>2393</v>
      </c>
      <c r="BA28" s="57">
        <v>289</v>
      </c>
      <c r="BB28" s="57">
        <v>313</v>
      </c>
      <c r="BC28" s="57">
        <f t="shared" si="13"/>
        <v>602</v>
      </c>
      <c r="BD28" s="57">
        <f t="shared" si="75"/>
        <v>227507</v>
      </c>
      <c r="BE28" s="57">
        <f t="shared" si="74"/>
        <v>221818</v>
      </c>
      <c r="BF28" s="57">
        <f t="shared" si="15"/>
        <v>449325</v>
      </c>
      <c r="BG28" s="57">
        <f t="shared" si="64"/>
        <v>22970</v>
      </c>
      <c r="BH28" s="57">
        <f t="shared" si="65"/>
        <v>22449</v>
      </c>
      <c r="BI28" s="57">
        <f t="shared" si="17"/>
        <v>45419</v>
      </c>
      <c r="BJ28" s="46">
        <f t="shared" si="66"/>
        <v>3771</v>
      </c>
      <c r="BK28" s="46">
        <f t="shared" si="67"/>
        <v>3827</v>
      </c>
      <c r="BL28" s="46">
        <f t="shared" si="19"/>
        <v>7598</v>
      </c>
      <c r="BM28" s="57">
        <f t="shared" si="20"/>
        <v>98.26</v>
      </c>
      <c r="BN28" s="57">
        <f t="shared" si="21"/>
        <v>99.06</v>
      </c>
      <c r="BO28" s="57">
        <f t="shared" si="22"/>
        <v>98.65</v>
      </c>
      <c r="BP28" s="57">
        <f t="shared" si="23"/>
        <v>96.1</v>
      </c>
      <c r="BQ28" s="57">
        <f t="shared" si="24"/>
        <v>98.28</v>
      </c>
      <c r="BR28" s="57">
        <f t="shared" si="25"/>
        <v>97.17</v>
      </c>
      <c r="BS28" s="57">
        <f t="shared" si="26"/>
        <v>88.44</v>
      </c>
      <c r="BT28" s="57">
        <f t="shared" si="27"/>
        <v>91.29</v>
      </c>
      <c r="BU28" s="57">
        <f t="shared" si="28"/>
        <v>89.85</v>
      </c>
      <c r="BV28" s="57">
        <v>1953</v>
      </c>
      <c r="BW28" s="57">
        <v>685</v>
      </c>
      <c r="BX28" s="57">
        <f t="shared" si="29"/>
        <v>2638</v>
      </c>
      <c r="BY28" s="57">
        <v>0</v>
      </c>
      <c r="BZ28" s="57">
        <v>0</v>
      </c>
      <c r="CA28" s="57">
        <f t="shared" si="76"/>
        <v>0</v>
      </c>
      <c r="CB28" s="57">
        <v>0</v>
      </c>
      <c r="CC28" s="57">
        <v>0</v>
      </c>
      <c r="CD28" s="57">
        <f t="shared" si="31"/>
        <v>0</v>
      </c>
      <c r="CE28" s="57">
        <v>991</v>
      </c>
      <c r="CF28" s="57">
        <v>396</v>
      </c>
      <c r="CG28" s="57">
        <f t="shared" si="77"/>
        <v>1387</v>
      </c>
      <c r="CH28" s="57">
        <v>0</v>
      </c>
      <c r="CI28" s="57">
        <v>0</v>
      </c>
      <c r="CJ28" s="57">
        <f t="shared" si="33"/>
        <v>0</v>
      </c>
      <c r="CK28" s="57">
        <v>0</v>
      </c>
      <c r="CL28" s="57">
        <v>0</v>
      </c>
      <c r="CM28" s="57">
        <f t="shared" si="34"/>
        <v>0</v>
      </c>
      <c r="CN28" s="57">
        <v>0</v>
      </c>
      <c r="CO28" s="57">
        <v>0</v>
      </c>
      <c r="CP28" s="57">
        <f t="shared" si="35"/>
        <v>0</v>
      </c>
      <c r="CQ28" s="57">
        <v>0</v>
      </c>
      <c r="CR28" s="57">
        <v>0</v>
      </c>
      <c r="CS28" s="57">
        <f t="shared" si="36"/>
        <v>0</v>
      </c>
      <c r="CT28" s="57">
        <v>0</v>
      </c>
      <c r="CU28" s="57">
        <v>0</v>
      </c>
      <c r="CV28" s="57">
        <f t="shared" si="37"/>
        <v>0</v>
      </c>
      <c r="CW28" s="46">
        <f t="shared" si="68"/>
        <v>991</v>
      </c>
      <c r="CX28" s="46">
        <f t="shared" si="69"/>
        <v>396</v>
      </c>
      <c r="CY28" s="46">
        <f t="shared" si="39"/>
        <v>1387</v>
      </c>
      <c r="CZ28" s="28">
        <f t="shared" si="70"/>
        <v>0</v>
      </c>
      <c r="DA28" s="28">
        <f t="shared" si="71"/>
        <v>0</v>
      </c>
      <c r="DB28" s="2">
        <f t="shared" si="41"/>
        <v>0</v>
      </c>
      <c r="DC28" s="28">
        <f t="shared" si="72"/>
        <v>0</v>
      </c>
      <c r="DD28" s="28">
        <f t="shared" si="73"/>
        <v>0</v>
      </c>
      <c r="DE28" s="2">
        <f t="shared" si="43"/>
        <v>0</v>
      </c>
      <c r="DF28" s="57">
        <f t="shared" si="44"/>
        <v>50.74</v>
      </c>
      <c r="DG28" s="57">
        <f t="shared" si="45"/>
        <v>57.81</v>
      </c>
      <c r="DH28" s="57">
        <f t="shared" si="46"/>
        <v>52.58</v>
      </c>
      <c r="DI28" s="57" t="e">
        <f t="shared" si="47"/>
        <v>#DIV/0!</v>
      </c>
      <c r="DJ28" s="57" t="e">
        <f t="shared" si="48"/>
        <v>#DIV/0!</v>
      </c>
      <c r="DK28" s="57" t="e">
        <f t="shared" si="49"/>
        <v>#DIV/0!</v>
      </c>
      <c r="DL28" s="57" t="e">
        <f t="shared" si="50"/>
        <v>#DIV/0!</v>
      </c>
      <c r="DM28" s="57" t="e">
        <f t="shared" si="51"/>
        <v>#DIV/0!</v>
      </c>
      <c r="DN28" s="57" t="e">
        <f t="shared" si="52"/>
        <v>#DIV/0!</v>
      </c>
      <c r="DO28" s="57">
        <v>0</v>
      </c>
      <c r="DP28" s="57">
        <v>0</v>
      </c>
      <c r="DQ28" s="57">
        <v>72371</v>
      </c>
      <c r="DR28" s="57">
        <v>0</v>
      </c>
      <c r="DS28" s="57">
        <v>0</v>
      </c>
      <c r="DT28" s="57">
        <v>1409</v>
      </c>
      <c r="DU28" s="57">
        <v>0</v>
      </c>
      <c r="DV28" s="57">
        <v>0</v>
      </c>
      <c r="DW28" s="57">
        <v>112</v>
      </c>
      <c r="DX28" s="57">
        <v>0</v>
      </c>
      <c r="DY28" s="57">
        <v>0</v>
      </c>
      <c r="DZ28" s="57">
        <v>120478</v>
      </c>
      <c r="EA28" s="57">
        <v>0</v>
      </c>
      <c r="EB28" s="57">
        <v>0</v>
      </c>
      <c r="EC28" s="57">
        <v>2948</v>
      </c>
      <c r="ED28" s="57">
        <v>0</v>
      </c>
      <c r="EE28" s="57">
        <v>0</v>
      </c>
      <c r="EF28" s="57">
        <v>282</v>
      </c>
      <c r="EG28" s="57">
        <f t="shared" si="59"/>
        <v>-458091</v>
      </c>
      <c r="EH28" s="57">
        <f t="shared" si="60"/>
        <v>-450712</v>
      </c>
      <c r="EI28" s="57">
        <f t="shared" si="61"/>
        <v>-257863</v>
      </c>
      <c r="EJ28" s="57">
        <f t="shared" si="62"/>
        <v>-41062</v>
      </c>
      <c r="EK28" s="57">
        <f t="shared" si="63"/>
        <v>-7204</v>
      </c>
    </row>
    <row r="29" spans="1:142" ht="48.75" customHeight="1">
      <c r="A29" s="76"/>
      <c r="B29" s="35" t="s">
        <v>84</v>
      </c>
      <c r="C29" s="27" t="s">
        <v>57</v>
      </c>
      <c r="D29" s="63">
        <v>42796</v>
      </c>
      <c r="E29" s="63">
        <v>42821</v>
      </c>
      <c r="F29" s="81">
        <v>42921</v>
      </c>
      <c r="G29" s="81">
        <v>42929</v>
      </c>
      <c r="H29" s="6">
        <v>7449</v>
      </c>
      <c r="I29" s="6">
        <v>0</v>
      </c>
      <c r="J29" s="6">
        <v>6122</v>
      </c>
      <c r="K29" s="2">
        <f t="shared" si="0"/>
        <v>13571</v>
      </c>
      <c r="L29" s="6">
        <v>688078</v>
      </c>
      <c r="M29" s="6">
        <v>0</v>
      </c>
      <c r="N29" s="6">
        <v>421313</v>
      </c>
      <c r="O29" s="2">
        <f t="shared" si="1"/>
        <v>1109391</v>
      </c>
      <c r="P29" s="6">
        <v>348586</v>
      </c>
      <c r="Q29" s="6">
        <v>0</v>
      </c>
      <c r="R29" s="6">
        <v>242132</v>
      </c>
      <c r="S29" s="2">
        <f t="shared" si="2"/>
        <v>590718</v>
      </c>
      <c r="T29" s="15">
        <f t="shared" si="3"/>
        <v>53.25</v>
      </c>
      <c r="U29" s="6">
        <v>204</v>
      </c>
      <c r="V29" s="6">
        <v>640</v>
      </c>
      <c r="W29" s="6">
        <v>1096</v>
      </c>
      <c r="X29" s="6">
        <v>1418</v>
      </c>
      <c r="Y29" s="6">
        <v>1822</v>
      </c>
      <c r="Z29" s="6">
        <v>1972</v>
      </c>
      <c r="AA29" s="6">
        <v>6419</v>
      </c>
      <c r="AB29" s="29">
        <f t="shared" si="4"/>
        <v>0</v>
      </c>
      <c r="AC29" s="30">
        <v>429145</v>
      </c>
      <c r="AD29" s="30">
        <v>365929</v>
      </c>
      <c r="AE29" s="2">
        <f t="shared" si="5"/>
        <v>795074</v>
      </c>
      <c r="AF29" s="31">
        <v>77057</v>
      </c>
      <c r="AG29" s="31">
        <v>58109</v>
      </c>
      <c r="AH29" s="2">
        <f t="shared" si="6"/>
        <v>135166</v>
      </c>
      <c r="AI29" s="31">
        <v>56150</v>
      </c>
      <c r="AJ29" s="31">
        <v>58366</v>
      </c>
      <c r="AK29" s="2">
        <f t="shared" si="7"/>
        <v>114516</v>
      </c>
      <c r="AL29" s="30">
        <v>207979</v>
      </c>
      <c r="AM29" s="30">
        <v>188015</v>
      </c>
      <c r="AN29" s="2">
        <f t="shared" si="8"/>
        <v>395994</v>
      </c>
      <c r="AO29" s="31">
        <v>33398</v>
      </c>
      <c r="AP29" s="31">
        <v>26185</v>
      </c>
      <c r="AQ29" s="2">
        <f t="shared" si="9"/>
        <v>59583</v>
      </c>
      <c r="AR29" s="31">
        <v>24925</v>
      </c>
      <c r="AS29" s="31">
        <v>23675</v>
      </c>
      <c r="AT29" s="2">
        <f t="shared" si="10"/>
        <v>48600</v>
      </c>
      <c r="AU29" s="31">
        <v>62637</v>
      </c>
      <c r="AV29" s="31">
        <v>61994</v>
      </c>
      <c r="AW29" s="2">
        <f t="shared" si="11"/>
        <v>124631</v>
      </c>
      <c r="AX29" s="31">
        <v>11212</v>
      </c>
      <c r="AY29" s="31">
        <v>10359</v>
      </c>
      <c r="AZ29" s="2">
        <f t="shared" si="12"/>
        <v>21571</v>
      </c>
      <c r="BA29" s="31">
        <v>8174</v>
      </c>
      <c r="BB29" s="31">
        <v>9909</v>
      </c>
      <c r="BC29" s="2">
        <f t="shared" si="13"/>
        <v>18083</v>
      </c>
      <c r="BD29" s="28">
        <f t="shared" si="75"/>
        <v>270616</v>
      </c>
      <c r="BE29" s="28">
        <f t="shared" si="74"/>
        <v>250009</v>
      </c>
      <c r="BF29" s="2">
        <f t="shared" si="15"/>
        <v>520625</v>
      </c>
      <c r="BG29" s="28">
        <f t="shared" si="64"/>
        <v>44610</v>
      </c>
      <c r="BH29" s="28">
        <f t="shared" si="65"/>
        <v>36544</v>
      </c>
      <c r="BI29" s="2">
        <f t="shared" si="17"/>
        <v>81154</v>
      </c>
      <c r="BJ29" s="28">
        <f t="shared" si="66"/>
        <v>33099</v>
      </c>
      <c r="BK29" s="28">
        <f t="shared" si="67"/>
        <v>33584</v>
      </c>
      <c r="BL29" s="2">
        <f t="shared" si="19"/>
        <v>66683</v>
      </c>
      <c r="BM29" s="28">
        <f t="shared" si="20"/>
        <v>63.06</v>
      </c>
      <c r="BN29" s="28">
        <f t="shared" si="21"/>
        <v>68.319999999999993</v>
      </c>
      <c r="BO29" s="28">
        <f t="shared" si="22"/>
        <v>65.48</v>
      </c>
      <c r="BP29" s="28">
        <f t="shared" si="23"/>
        <v>57.89</v>
      </c>
      <c r="BQ29" s="28">
        <f t="shared" si="24"/>
        <v>62.89</v>
      </c>
      <c r="BR29" s="28">
        <f t="shared" si="25"/>
        <v>60.04</v>
      </c>
      <c r="BS29" s="61">
        <f t="shared" si="26"/>
        <v>58.95</v>
      </c>
      <c r="BT29" s="61">
        <f t="shared" si="27"/>
        <v>57.54</v>
      </c>
      <c r="BU29" s="61">
        <f t="shared" si="28"/>
        <v>58.23</v>
      </c>
      <c r="BV29" s="30">
        <v>184192</v>
      </c>
      <c r="BW29" s="30">
        <v>130125</v>
      </c>
      <c r="BX29" s="2">
        <f t="shared" si="29"/>
        <v>314317</v>
      </c>
      <c r="BY29" s="31">
        <v>37649</v>
      </c>
      <c r="BZ29" s="31">
        <v>26543</v>
      </c>
      <c r="CA29" s="2">
        <f t="shared" si="76"/>
        <v>64192</v>
      </c>
      <c r="CB29" s="31">
        <v>41680</v>
      </c>
      <c r="CC29" s="31">
        <v>33256</v>
      </c>
      <c r="CD29" s="2">
        <f t="shared" si="31"/>
        <v>74936</v>
      </c>
      <c r="CE29" s="30">
        <v>19827</v>
      </c>
      <c r="CF29" s="30">
        <v>13154</v>
      </c>
      <c r="CG29" s="2">
        <f t="shared" si="77"/>
        <v>32981</v>
      </c>
      <c r="CH29" s="31">
        <v>3903</v>
      </c>
      <c r="CI29" s="31">
        <v>2486</v>
      </c>
      <c r="CJ29" s="2">
        <f t="shared" si="33"/>
        <v>6389</v>
      </c>
      <c r="CK29" s="31">
        <v>3927</v>
      </c>
      <c r="CL29" s="31">
        <v>2839</v>
      </c>
      <c r="CM29" s="2">
        <f t="shared" si="34"/>
        <v>6766</v>
      </c>
      <c r="CN29" s="87">
        <v>19999</v>
      </c>
      <c r="CO29" s="87">
        <v>17113</v>
      </c>
      <c r="CP29" s="58">
        <f t="shared" si="35"/>
        <v>37112</v>
      </c>
      <c r="CQ29" s="87">
        <v>3968</v>
      </c>
      <c r="CR29" s="87">
        <v>3369</v>
      </c>
      <c r="CS29" s="58">
        <f t="shared" si="36"/>
        <v>7337</v>
      </c>
      <c r="CT29" s="87">
        <v>3975</v>
      </c>
      <c r="CU29" s="87">
        <v>3548</v>
      </c>
      <c r="CV29" s="58">
        <f t="shared" si="37"/>
        <v>7523</v>
      </c>
      <c r="CW29" s="28">
        <f t="shared" si="68"/>
        <v>39826</v>
      </c>
      <c r="CX29" s="28">
        <f t="shared" si="69"/>
        <v>30267</v>
      </c>
      <c r="CY29" s="2">
        <f t="shared" si="39"/>
        <v>70093</v>
      </c>
      <c r="CZ29" s="28">
        <f t="shared" si="70"/>
        <v>7871</v>
      </c>
      <c r="DA29" s="28">
        <f t="shared" si="71"/>
        <v>5855</v>
      </c>
      <c r="DB29" s="2">
        <f t="shared" si="41"/>
        <v>13726</v>
      </c>
      <c r="DC29" s="28">
        <f t="shared" si="72"/>
        <v>7902</v>
      </c>
      <c r="DD29" s="28">
        <f t="shared" si="73"/>
        <v>6387</v>
      </c>
      <c r="DE29" s="2">
        <f t="shared" si="43"/>
        <v>14289</v>
      </c>
      <c r="DF29" s="61">
        <f t="shared" si="44"/>
        <v>21.62</v>
      </c>
      <c r="DG29" s="61">
        <f t="shared" si="45"/>
        <v>23.26</v>
      </c>
      <c r="DH29" s="61">
        <f t="shared" si="46"/>
        <v>22.3</v>
      </c>
      <c r="DI29" s="61">
        <f t="shared" si="47"/>
        <v>20.91</v>
      </c>
      <c r="DJ29" s="61">
        <f t="shared" si="48"/>
        <v>22.06</v>
      </c>
      <c r="DK29" s="61">
        <f t="shared" si="49"/>
        <v>21.38</v>
      </c>
      <c r="DL29" s="61">
        <f t="shared" si="50"/>
        <v>18.96</v>
      </c>
      <c r="DM29" s="61">
        <f t="shared" si="51"/>
        <v>19.21</v>
      </c>
      <c r="DN29" s="61">
        <f t="shared" si="52"/>
        <v>19.07</v>
      </c>
      <c r="DO29" s="32">
        <v>107790</v>
      </c>
      <c r="DP29" s="32">
        <v>104394</v>
      </c>
      <c r="DQ29" s="58">
        <f t="shared" ref="DQ29:DQ50" si="78">DO29+DP29</f>
        <v>212184</v>
      </c>
      <c r="DR29" s="32">
        <v>15997</v>
      </c>
      <c r="DS29" s="32">
        <v>13136</v>
      </c>
      <c r="DT29" s="2">
        <f t="shared" ref="DT29:DT50" si="79">DR29+DS29</f>
        <v>29133</v>
      </c>
      <c r="DU29" s="32">
        <v>9372</v>
      </c>
      <c r="DV29" s="32">
        <v>8340</v>
      </c>
      <c r="DW29" s="2">
        <f t="shared" ref="DW29:DW50" si="80">DU29+DV29</f>
        <v>17712</v>
      </c>
      <c r="DX29" s="32">
        <v>202652</v>
      </c>
      <c r="DY29" s="32">
        <v>175882</v>
      </c>
      <c r="DZ29" s="58">
        <f t="shared" ref="DZ29:DZ50" si="81">DX29+DY29</f>
        <v>378534</v>
      </c>
      <c r="EA29" s="32">
        <v>36484</v>
      </c>
      <c r="EB29" s="32">
        <v>29263</v>
      </c>
      <c r="EC29" s="2">
        <f t="shared" ref="EC29:EC50" si="82">EA29+EB29</f>
        <v>65747</v>
      </c>
      <c r="ED29" s="32">
        <v>31629</v>
      </c>
      <c r="EE29" s="32">
        <v>31631</v>
      </c>
      <c r="EF29" s="2">
        <f t="shared" ref="EF29:EF50" si="83">ED29+EE29</f>
        <v>63260</v>
      </c>
      <c r="EG29" s="91">
        <f t="shared" si="59"/>
        <v>0</v>
      </c>
      <c r="EH29" s="91">
        <f t="shared" si="60"/>
        <v>0</v>
      </c>
      <c r="EI29" s="91">
        <f>DQ30+DZ29-CY29-BF29</f>
        <v>-212184</v>
      </c>
      <c r="EJ29" s="91">
        <f t="shared" si="62"/>
        <v>0</v>
      </c>
      <c r="EK29" s="91">
        <f t="shared" si="63"/>
        <v>0</v>
      </c>
      <c r="EL29" s="34"/>
    </row>
    <row r="30" spans="1:142" ht="28.5">
      <c r="A30" s="76">
        <v>11</v>
      </c>
      <c r="B30" s="27" t="s">
        <v>67</v>
      </c>
      <c r="C30" s="27" t="s">
        <v>68</v>
      </c>
      <c r="D30" s="63">
        <v>42837</v>
      </c>
      <c r="E30" s="63">
        <v>42845</v>
      </c>
      <c r="F30" s="81">
        <v>42930</v>
      </c>
      <c r="G30" s="81">
        <v>42936</v>
      </c>
      <c r="H30" s="6">
        <v>29</v>
      </c>
      <c r="I30" s="6">
        <v>0</v>
      </c>
      <c r="J30" s="6">
        <v>139</v>
      </c>
      <c r="K30" s="2">
        <f t="shared" si="0"/>
        <v>168</v>
      </c>
      <c r="L30" s="6">
        <v>316</v>
      </c>
      <c r="M30" s="6">
        <v>0</v>
      </c>
      <c r="N30" s="6">
        <v>1538</v>
      </c>
      <c r="O30" s="2">
        <f t="shared" si="1"/>
        <v>1854</v>
      </c>
      <c r="P30" s="6">
        <v>203</v>
      </c>
      <c r="Q30" s="6">
        <v>0</v>
      </c>
      <c r="R30" s="6">
        <v>649</v>
      </c>
      <c r="S30" s="2">
        <f t="shared" si="2"/>
        <v>852</v>
      </c>
      <c r="T30" s="15">
        <f t="shared" si="3"/>
        <v>45.95</v>
      </c>
      <c r="U30" s="6"/>
      <c r="V30" s="6"/>
      <c r="W30" s="6"/>
      <c r="X30" s="6"/>
      <c r="Y30" s="6"/>
      <c r="Z30" s="6"/>
      <c r="AA30" s="6"/>
      <c r="AB30" s="29">
        <f t="shared" si="4"/>
        <v>168</v>
      </c>
      <c r="AC30" s="30">
        <v>1406</v>
      </c>
      <c r="AD30" s="30">
        <v>448</v>
      </c>
      <c r="AE30" s="2">
        <f t="shared" si="5"/>
        <v>1854</v>
      </c>
      <c r="AF30" s="31">
        <v>104</v>
      </c>
      <c r="AG30" s="31">
        <v>71</v>
      </c>
      <c r="AH30" s="2">
        <f t="shared" si="6"/>
        <v>175</v>
      </c>
      <c r="AI30" s="31">
        <v>52</v>
      </c>
      <c r="AJ30" s="31">
        <v>56</v>
      </c>
      <c r="AK30" s="2">
        <f t="shared" si="7"/>
        <v>108</v>
      </c>
      <c r="AL30" s="30">
        <v>519</v>
      </c>
      <c r="AM30" s="30">
        <v>32</v>
      </c>
      <c r="AN30" s="2">
        <f t="shared" si="8"/>
        <v>551</v>
      </c>
      <c r="AO30" s="31">
        <v>11</v>
      </c>
      <c r="AP30" s="31">
        <v>5</v>
      </c>
      <c r="AQ30" s="2">
        <f t="shared" si="9"/>
        <v>16</v>
      </c>
      <c r="AR30" s="31">
        <v>1</v>
      </c>
      <c r="AS30" s="31">
        <v>2</v>
      </c>
      <c r="AT30" s="2">
        <f t="shared" si="10"/>
        <v>3</v>
      </c>
      <c r="AU30" s="31">
        <v>560</v>
      </c>
      <c r="AV30" s="31">
        <v>303</v>
      </c>
      <c r="AW30" s="2">
        <f t="shared" si="11"/>
        <v>863</v>
      </c>
      <c r="AX30" s="31">
        <v>64</v>
      </c>
      <c r="AY30" s="31">
        <v>45</v>
      </c>
      <c r="AZ30" s="2">
        <f t="shared" si="12"/>
        <v>109</v>
      </c>
      <c r="BA30" s="31">
        <v>36</v>
      </c>
      <c r="BB30" s="31">
        <v>44</v>
      </c>
      <c r="BC30" s="2">
        <f t="shared" si="13"/>
        <v>80</v>
      </c>
      <c r="BD30" s="28">
        <f t="shared" si="75"/>
        <v>1079</v>
      </c>
      <c r="BE30" s="28">
        <f t="shared" si="74"/>
        <v>335</v>
      </c>
      <c r="BF30" s="2">
        <f t="shared" si="15"/>
        <v>1414</v>
      </c>
      <c r="BG30" s="28">
        <f t="shared" si="64"/>
        <v>75</v>
      </c>
      <c r="BH30" s="28">
        <f t="shared" si="65"/>
        <v>50</v>
      </c>
      <c r="BI30" s="2">
        <f t="shared" si="17"/>
        <v>125</v>
      </c>
      <c r="BJ30" s="28">
        <f t="shared" si="66"/>
        <v>37</v>
      </c>
      <c r="BK30" s="28">
        <f t="shared" si="67"/>
        <v>46</v>
      </c>
      <c r="BL30" s="2">
        <f t="shared" si="19"/>
        <v>83</v>
      </c>
      <c r="BM30" s="28">
        <f t="shared" si="20"/>
        <v>76.739999999999995</v>
      </c>
      <c r="BN30" s="28">
        <f t="shared" si="21"/>
        <v>74.78</v>
      </c>
      <c r="BO30" s="28">
        <f t="shared" si="22"/>
        <v>76.27</v>
      </c>
      <c r="BP30" s="28">
        <f t="shared" si="23"/>
        <v>72.12</v>
      </c>
      <c r="BQ30" s="28">
        <f t="shared" si="24"/>
        <v>70.42</v>
      </c>
      <c r="BR30" s="28">
        <f t="shared" si="25"/>
        <v>71.430000000000007</v>
      </c>
      <c r="BS30" s="61">
        <f t="shared" si="26"/>
        <v>71.150000000000006</v>
      </c>
      <c r="BT30" s="61">
        <f t="shared" si="27"/>
        <v>82.14</v>
      </c>
      <c r="BU30" s="61">
        <f t="shared" si="28"/>
        <v>76.849999999999994</v>
      </c>
      <c r="BV30" s="30">
        <v>0</v>
      </c>
      <c r="BW30" s="30">
        <v>0</v>
      </c>
      <c r="BX30" s="2">
        <f t="shared" si="29"/>
        <v>0</v>
      </c>
      <c r="BY30" s="31">
        <v>0</v>
      </c>
      <c r="BZ30" s="31">
        <v>0</v>
      </c>
      <c r="CA30" s="2">
        <f t="shared" si="76"/>
        <v>0</v>
      </c>
      <c r="CB30" s="31">
        <v>0</v>
      </c>
      <c r="CC30" s="31">
        <v>0</v>
      </c>
      <c r="CD30" s="2">
        <f t="shared" si="31"/>
        <v>0</v>
      </c>
      <c r="CE30" s="31">
        <v>0</v>
      </c>
      <c r="CF30" s="31">
        <v>0</v>
      </c>
      <c r="CG30" s="2">
        <f t="shared" si="77"/>
        <v>0</v>
      </c>
      <c r="CH30" s="31">
        <v>0</v>
      </c>
      <c r="CI30" s="31">
        <v>0</v>
      </c>
      <c r="CJ30" s="2">
        <f t="shared" si="33"/>
        <v>0</v>
      </c>
      <c r="CK30" s="31">
        <v>0</v>
      </c>
      <c r="CL30" s="31">
        <v>0</v>
      </c>
      <c r="CM30" s="2">
        <f t="shared" si="34"/>
        <v>0</v>
      </c>
      <c r="CN30" s="89">
        <v>0</v>
      </c>
      <c r="CO30" s="89">
        <v>0</v>
      </c>
      <c r="CP30" s="58">
        <f t="shared" si="35"/>
        <v>0</v>
      </c>
      <c r="CQ30" s="87">
        <v>0</v>
      </c>
      <c r="CR30" s="87">
        <v>0</v>
      </c>
      <c r="CS30" s="58">
        <f t="shared" si="36"/>
        <v>0</v>
      </c>
      <c r="CT30" s="87">
        <v>0</v>
      </c>
      <c r="CU30" s="87">
        <v>0</v>
      </c>
      <c r="CV30" s="58">
        <f t="shared" si="37"/>
        <v>0</v>
      </c>
      <c r="CW30" s="28">
        <f t="shared" si="68"/>
        <v>0</v>
      </c>
      <c r="CX30" s="28">
        <f t="shared" si="69"/>
        <v>0</v>
      </c>
      <c r="CY30" s="2">
        <f t="shared" si="39"/>
        <v>0</v>
      </c>
      <c r="CZ30" s="28">
        <f t="shared" si="70"/>
        <v>0</v>
      </c>
      <c r="DA30" s="28">
        <f t="shared" si="71"/>
        <v>0</v>
      </c>
      <c r="DB30" s="2">
        <f t="shared" si="41"/>
        <v>0</v>
      </c>
      <c r="DC30" s="28">
        <f t="shared" si="72"/>
        <v>0</v>
      </c>
      <c r="DD30" s="28">
        <f t="shared" si="73"/>
        <v>0</v>
      </c>
      <c r="DE30" s="2">
        <f t="shared" si="43"/>
        <v>0</v>
      </c>
      <c r="DF30" s="61" t="e">
        <f t="shared" si="44"/>
        <v>#DIV/0!</v>
      </c>
      <c r="DG30" s="61" t="e">
        <f t="shared" si="45"/>
        <v>#DIV/0!</v>
      </c>
      <c r="DH30" s="61" t="e">
        <f t="shared" si="46"/>
        <v>#DIV/0!</v>
      </c>
      <c r="DI30" s="61" t="e">
        <f t="shared" si="47"/>
        <v>#DIV/0!</v>
      </c>
      <c r="DJ30" s="61" t="e">
        <f t="shared" si="48"/>
        <v>#DIV/0!</v>
      </c>
      <c r="DK30" s="61" t="e">
        <f t="shared" si="49"/>
        <v>#DIV/0!</v>
      </c>
      <c r="DL30" s="61" t="e">
        <f t="shared" si="50"/>
        <v>#DIV/0!</v>
      </c>
      <c r="DM30" s="61" t="e">
        <f t="shared" si="51"/>
        <v>#DIV/0!</v>
      </c>
      <c r="DN30" s="61" t="e">
        <f t="shared" si="52"/>
        <v>#DIV/0!</v>
      </c>
      <c r="DO30" s="32"/>
      <c r="DP30" s="32"/>
      <c r="DQ30" s="2">
        <f t="shared" si="78"/>
        <v>0</v>
      </c>
      <c r="DR30" s="32"/>
      <c r="DS30" s="32"/>
      <c r="DT30" s="2">
        <f t="shared" si="79"/>
        <v>0</v>
      </c>
      <c r="DU30" s="32"/>
      <c r="DV30" s="32"/>
      <c r="DW30" s="2">
        <f t="shared" si="80"/>
        <v>0</v>
      </c>
      <c r="DX30" s="32"/>
      <c r="DY30" s="32"/>
      <c r="DZ30" s="2">
        <f t="shared" si="81"/>
        <v>0</v>
      </c>
      <c r="EA30" s="32"/>
      <c r="EB30" s="32"/>
      <c r="EC30" s="2">
        <f t="shared" si="82"/>
        <v>0</v>
      </c>
      <c r="ED30" s="32"/>
      <c r="EE30" s="32"/>
      <c r="EF30" s="2">
        <f t="shared" si="83"/>
        <v>0</v>
      </c>
      <c r="EG30" s="4">
        <f t="shared" si="59"/>
        <v>0</v>
      </c>
      <c r="EH30" s="91">
        <f t="shared" si="60"/>
        <v>-562</v>
      </c>
      <c r="EI30" s="4">
        <f>DQ31+DZ30-CY30-BF30</f>
        <v>896775</v>
      </c>
      <c r="EJ30" s="4">
        <f t="shared" si="62"/>
        <v>-125</v>
      </c>
      <c r="EK30" s="4">
        <f t="shared" si="63"/>
        <v>-83</v>
      </c>
      <c r="EL30" s="34"/>
    </row>
    <row r="31" spans="1:142" ht="30">
      <c r="A31" s="51">
        <v>30</v>
      </c>
      <c r="B31" s="43" t="s">
        <v>107</v>
      </c>
      <c r="C31" s="48" t="s">
        <v>61</v>
      </c>
      <c r="D31" s="64">
        <v>42801</v>
      </c>
      <c r="E31" s="64">
        <v>42826</v>
      </c>
      <c r="F31" s="64">
        <v>42934</v>
      </c>
      <c r="G31" s="64">
        <v>42949</v>
      </c>
      <c r="H31" s="46">
        <v>0</v>
      </c>
      <c r="I31" s="46">
        <v>21684</v>
      </c>
      <c r="J31" s="46">
        <v>0</v>
      </c>
      <c r="K31" s="46">
        <f t="shared" si="0"/>
        <v>21684</v>
      </c>
      <c r="L31" s="46">
        <v>0</v>
      </c>
      <c r="M31" s="46">
        <v>1755005</v>
      </c>
      <c r="N31" s="46">
        <v>0</v>
      </c>
      <c r="O31" s="46">
        <f t="shared" si="1"/>
        <v>1755005</v>
      </c>
      <c r="P31" s="46">
        <v>0</v>
      </c>
      <c r="Q31" s="46">
        <v>1537034</v>
      </c>
      <c r="R31" s="46">
        <v>0</v>
      </c>
      <c r="S31" s="46">
        <f t="shared" si="2"/>
        <v>1537034</v>
      </c>
      <c r="T31" s="46">
        <f t="shared" si="3"/>
        <v>87.58</v>
      </c>
      <c r="U31" s="57">
        <v>3676</v>
      </c>
      <c r="V31" s="57">
        <v>8029</v>
      </c>
      <c r="W31" s="57">
        <v>5025</v>
      </c>
      <c r="X31" s="57">
        <v>2578</v>
      </c>
      <c r="Y31" s="57">
        <v>1154</v>
      </c>
      <c r="Z31" s="57">
        <v>581</v>
      </c>
      <c r="AA31" s="57">
        <v>641</v>
      </c>
      <c r="AB31" s="60">
        <f t="shared" si="4"/>
        <v>0</v>
      </c>
      <c r="AC31" s="46">
        <v>949323</v>
      </c>
      <c r="AD31" s="46">
        <v>759013</v>
      </c>
      <c r="AE31" s="46">
        <f t="shared" si="5"/>
        <v>1708336</v>
      </c>
      <c r="AF31" s="46">
        <v>138887</v>
      </c>
      <c r="AG31" s="46">
        <v>112343</v>
      </c>
      <c r="AH31" s="46">
        <f t="shared" si="6"/>
        <v>251230</v>
      </c>
      <c r="AI31" s="46">
        <v>83241</v>
      </c>
      <c r="AJ31" s="46">
        <v>66302</v>
      </c>
      <c r="AK31" s="46">
        <f t="shared" si="7"/>
        <v>149543</v>
      </c>
      <c r="AL31" s="46">
        <v>799260</v>
      </c>
      <c r="AM31" s="46">
        <v>685002</v>
      </c>
      <c r="AN31" s="46">
        <f t="shared" si="8"/>
        <v>1484262</v>
      </c>
      <c r="AO31" s="46">
        <v>108819</v>
      </c>
      <c r="AP31" s="46">
        <v>95959</v>
      </c>
      <c r="AQ31" s="46">
        <f t="shared" si="9"/>
        <v>204778</v>
      </c>
      <c r="AR31" s="46">
        <v>63430</v>
      </c>
      <c r="AS31" s="46">
        <v>54168</v>
      </c>
      <c r="AT31" s="46">
        <f t="shared" si="10"/>
        <v>117598</v>
      </c>
      <c r="AU31" s="46">
        <v>18565</v>
      </c>
      <c r="AV31" s="46">
        <v>9782</v>
      </c>
      <c r="AW31" s="46">
        <f t="shared" si="11"/>
        <v>28347</v>
      </c>
      <c r="AX31" s="46">
        <v>3795</v>
      </c>
      <c r="AY31" s="46">
        <v>2302</v>
      </c>
      <c r="AZ31" s="46">
        <f t="shared" si="12"/>
        <v>6097</v>
      </c>
      <c r="BA31" s="46">
        <v>1653</v>
      </c>
      <c r="BB31" s="46">
        <v>1083</v>
      </c>
      <c r="BC31" s="46">
        <f t="shared" si="13"/>
        <v>2736</v>
      </c>
      <c r="BD31" s="46">
        <f t="shared" si="75"/>
        <v>817825</v>
      </c>
      <c r="BE31" s="46">
        <f t="shared" si="74"/>
        <v>694784</v>
      </c>
      <c r="BF31" s="46">
        <f t="shared" si="15"/>
        <v>1512609</v>
      </c>
      <c r="BG31" s="46">
        <f t="shared" si="64"/>
        <v>112614</v>
      </c>
      <c r="BH31" s="46">
        <f t="shared" si="65"/>
        <v>98261</v>
      </c>
      <c r="BI31" s="46">
        <f t="shared" si="17"/>
        <v>210875</v>
      </c>
      <c r="BJ31" s="46">
        <f t="shared" si="66"/>
        <v>65083</v>
      </c>
      <c r="BK31" s="46">
        <f t="shared" si="67"/>
        <v>55251</v>
      </c>
      <c r="BL31" s="46">
        <f t="shared" si="19"/>
        <v>120334</v>
      </c>
      <c r="BM31" s="46">
        <f t="shared" si="20"/>
        <v>86.15</v>
      </c>
      <c r="BN31" s="46">
        <f t="shared" si="21"/>
        <v>91.54</v>
      </c>
      <c r="BO31" s="46">
        <f t="shared" si="22"/>
        <v>88.54</v>
      </c>
      <c r="BP31" s="46">
        <f t="shared" si="23"/>
        <v>81.08</v>
      </c>
      <c r="BQ31" s="46">
        <f t="shared" si="24"/>
        <v>87.47</v>
      </c>
      <c r="BR31" s="46">
        <f t="shared" si="25"/>
        <v>83.94</v>
      </c>
      <c r="BS31" s="46">
        <f t="shared" si="26"/>
        <v>78.19</v>
      </c>
      <c r="BT31" s="46">
        <f t="shared" si="27"/>
        <v>83.33</v>
      </c>
      <c r="BU31" s="46">
        <f t="shared" si="28"/>
        <v>80.47</v>
      </c>
      <c r="BV31" s="46">
        <v>33623</v>
      </c>
      <c r="BW31" s="46">
        <v>13046</v>
      </c>
      <c r="BX31" s="46">
        <f t="shared" si="29"/>
        <v>46669</v>
      </c>
      <c r="BY31" s="46">
        <v>4522</v>
      </c>
      <c r="BZ31" s="46">
        <v>1983</v>
      </c>
      <c r="CA31" s="46">
        <f t="shared" si="76"/>
        <v>6505</v>
      </c>
      <c r="CB31" s="46">
        <v>1560</v>
      </c>
      <c r="CC31" s="46">
        <v>695</v>
      </c>
      <c r="CD31" s="46">
        <f t="shared" si="31"/>
        <v>2255</v>
      </c>
      <c r="CE31" s="46">
        <v>14966</v>
      </c>
      <c r="CF31" s="46">
        <v>7251</v>
      </c>
      <c r="CG31" s="46">
        <f t="shared" si="77"/>
        <v>22217</v>
      </c>
      <c r="CH31" s="46">
        <v>1625</v>
      </c>
      <c r="CI31" s="46">
        <v>918</v>
      </c>
      <c r="CJ31" s="46">
        <f t="shared" si="33"/>
        <v>2543</v>
      </c>
      <c r="CK31" s="46">
        <v>684</v>
      </c>
      <c r="CL31" s="46">
        <v>383</v>
      </c>
      <c r="CM31" s="46">
        <f t="shared" si="34"/>
        <v>1067</v>
      </c>
      <c r="CN31" s="46">
        <v>1609</v>
      </c>
      <c r="CO31" s="46">
        <v>599</v>
      </c>
      <c r="CP31" s="46">
        <f t="shared" si="35"/>
        <v>2208</v>
      </c>
      <c r="CQ31" s="46">
        <v>267</v>
      </c>
      <c r="CR31" s="46">
        <v>108</v>
      </c>
      <c r="CS31" s="46">
        <f t="shared" si="36"/>
        <v>375</v>
      </c>
      <c r="CT31" s="46">
        <v>71</v>
      </c>
      <c r="CU31" s="46">
        <v>33</v>
      </c>
      <c r="CV31" s="46">
        <f t="shared" si="37"/>
        <v>104</v>
      </c>
      <c r="CW31" s="46">
        <f t="shared" si="68"/>
        <v>16575</v>
      </c>
      <c r="CX31" s="46">
        <f t="shared" si="69"/>
        <v>7850</v>
      </c>
      <c r="CY31" s="46">
        <f t="shared" si="39"/>
        <v>24425</v>
      </c>
      <c r="CZ31" s="28">
        <f t="shared" si="70"/>
        <v>1892</v>
      </c>
      <c r="DA31" s="28">
        <f t="shared" si="71"/>
        <v>1026</v>
      </c>
      <c r="DB31" s="2">
        <f t="shared" si="41"/>
        <v>2918</v>
      </c>
      <c r="DC31" s="28">
        <f t="shared" si="72"/>
        <v>755</v>
      </c>
      <c r="DD31" s="28">
        <f t="shared" si="73"/>
        <v>416</v>
      </c>
      <c r="DE31" s="2">
        <f t="shared" si="43"/>
        <v>1171</v>
      </c>
      <c r="DF31" s="57">
        <f t="shared" si="44"/>
        <v>49.3</v>
      </c>
      <c r="DG31" s="57">
        <f t="shared" si="45"/>
        <v>60.17</v>
      </c>
      <c r="DH31" s="57">
        <f t="shared" si="46"/>
        <v>52.34</v>
      </c>
      <c r="DI31" s="46">
        <f t="shared" si="47"/>
        <v>41.84</v>
      </c>
      <c r="DJ31" s="46">
        <f t="shared" si="48"/>
        <v>51.74</v>
      </c>
      <c r="DK31" s="46">
        <f t="shared" si="49"/>
        <v>44.86</v>
      </c>
      <c r="DL31" s="46">
        <f t="shared" si="50"/>
        <v>48.4</v>
      </c>
      <c r="DM31" s="46">
        <f t="shared" si="51"/>
        <v>59.86</v>
      </c>
      <c r="DN31" s="46">
        <f t="shared" si="52"/>
        <v>51.93</v>
      </c>
      <c r="DO31" s="46">
        <v>445593</v>
      </c>
      <c r="DP31" s="46">
        <v>452596</v>
      </c>
      <c r="DQ31" s="46">
        <f t="shared" si="78"/>
        <v>898189</v>
      </c>
      <c r="DR31" s="46">
        <v>50994</v>
      </c>
      <c r="DS31" s="46">
        <v>55163</v>
      </c>
      <c r="DT31" s="46">
        <f t="shared" si="79"/>
        <v>106157</v>
      </c>
      <c r="DU31" s="46">
        <v>27132</v>
      </c>
      <c r="DV31" s="46">
        <v>26310</v>
      </c>
      <c r="DW31" s="46">
        <f t="shared" si="80"/>
        <v>53442</v>
      </c>
      <c r="DX31" s="46">
        <v>388807</v>
      </c>
      <c r="DY31" s="46">
        <v>250038</v>
      </c>
      <c r="DZ31" s="46">
        <f t="shared" si="81"/>
        <v>638845</v>
      </c>
      <c r="EA31" s="46">
        <v>63447</v>
      </c>
      <c r="EB31" s="46">
        <v>43901</v>
      </c>
      <c r="EC31" s="46">
        <f t="shared" si="82"/>
        <v>107348</v>
      </c>
      <c r="ED31" s="46">
        <v>38706</v>
      </c>
      <c r="EE31" s="46">
        <v>29357</v>
      </c>
      <c r="EF31" s="46">
        <f t="shared" si="83"/>
        <v>68063</v>
      </c>
      <c r="EG31" s="46">
        <f t="shared" si="59"/>
        <v>0</v>
      </c>
      <c r="EH31" s="57">
        <f t="shared" si="60"/>
        <v>0</v>
      </c>
      <c r="EI31" s="46">
        <f t="shared" ref="EI31:EI50" si="84">DQ31+DZ31-CY31-BF31</f>
        <v>0</v>
      </c>
      <c r="EJ31" s="46">
        <f t="shared" si="62"/>
        <v>-288</v>
      </c>
      <c r="EK31" s="46">
        <f t="shared" si="63"/>
        <v>0</v>
      </c>
    </row>
    <row r="32" spans="1:142" ht="45">
      <c r="A32" s="51">
        <v>42</v>
      </c>
      <c r="B32" s="48" t="s">
        <v>128</v>
      </c>
      <c r="C32" s="46" t="s">
        <v>68</v>
      </c>
      <c r="D32" s="70">
        <v>42837</v>
      </c>
      <c r="E32" s="70">
        <v>42845</v>
      </c>
      <c r="F32" s="70">
        <v>42930</v>
      </c>
      <c r="G32" s="70">
        <v>42936</v>
      </c>
      <c r="H32" s="46">
        <v>29</v>
      </c>
      <c r="I32" s="46">
        <v>0</v>
      </c>
      <c r="J32" s="46">
        <v>139</v>
      </c>
      <c r="K32" s="46">
        <f t="shared" si="0"/>
        <v>168</v>
      </c>
      <c r="L32" s="46">
        <v>316</v>
      </c>
      <c r="M32" s="46">
        <v>0</v>
      </c>
      <c r="N32" s="46">
        <v>1538</v>
      </c>
      <c r="O32" s="46">
        <f t="shared" si="1"/>
        <v>1854</v>
      </c>
      <c r="P32" s="46">
        <v>203</v>
      </c>
      <c r="Q32" s="46">
        <v>0</v>
      </c>
      <c r="R32" s="46">
        <v>649</v>
      </c>
      <c r="S32" s="46">
        <f t="shared" si="2"/>
        <v>852</v>
      </c>
      <c r="T32" s="46">
        <f t="shared" si="3"/>
        <v>45.95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60">
        <f t="shared" si="4"/>
        <v>168</v>
      </c>
      <c r="AC32" s="46">
        <v>1406</v>
      </c>
      <c r="AD32" s="46">
        <v>448</v>
      </c>
      <c r="AE32" s="46">
        <f t="shared" si="5"/>
        <v>1854</v>
      </c>
      <c r="AF32" s="46">
        <v>104</v>
      </c>
      <c r="AG32" s="46">
        <v>71</v>
      </c>
      <c r="AH32" s="46">
        <f t="shared" si="6"/>
        <v>175</v>
      </c>
      <c r="AI32" s="46">
        <v>52</v>
      </c>
      <c r="AJ32" s="46">
        <v>56</v>
      </c>
      <c r="AK32" s="46">
        <f t="shared" si="7"/>
        <v>108</v>
      </c>
      <c r="AL32" s="46">
        <v>519</v>
      </c>
      <c r="AM32" s="46">
        <v>32</v>
      </c>
      <c r="AN32" s="46">
        <f t="shared" si="8"/>
        <v>551</v>
      </c>
      <c r="AO32" s="46">
        <v>11</v>
      </c>
      <c r="AP32" s="46">
        <v>5</v>
      </c>
      <c r="AQ32" s="46">
        <f t="shared" si="9"/>
        <v>16</v>
      </c>
      <c r="AR32" s="46">
        <v>16</v>
      </c>
      <c r="AS32" s="46">
        <v>1</v>
      </c>
      <c r="AT32" s="46">
        <f t="shared" si="10"/>
        <v>17</v>
      </c>
      <c r="AU32" s="46">
        <v>560</v>
      </c>
      <c r="AV32" s="46">
        <v>303</v>
      </c>
      <c r="AW32" s="46">
        <f t="shared" si="11"/>
        <v>863</v>
      </c>
      <c r="AX32" s="46">
        <v>64</v>
      </c>
      <c r="AY32" s="46">
        <v>45</v>
      </c>
      <c r="AZ32" s="46">
        <f t="shared" si="12"/>
        <v>109</v>
      </c>
      <c r="BA32" s="46">
        <v>36</v>
      </c>
      <c r="BB32" s="46">
        <v>44</v>
      </c>
      <c r="BC32" s="46">
        <f t="shared" si="13"/>
        <v>80</v>
      </c>
      <c r="BD32" s="46">
        <v>837</v>
      </c>
      <c r="BE32" s="46">
        <v>115</v>
      </c>
      <c r="BF32" s="46">
        <f t="shared" si="15"/>
        <v>952</v>
      </c>
      <c r="BG32" s="46">
        <v>31</v>
      </c>
      <c r="BH32" s="46">
        <v>18</v>
      </c>
      <c r="BI32" s="46">
        <f t="shared" si="17"/>
        <v>49</v>
      </c>
      <c r="BJ32" s="46">
        <v>7</v>
      </c>
      <c r="BK32" s="46">
        <v>18</v>
      </c>
      <c r="BL32" s="46">
        <f t="shared" si="19"/>
        <v>25</v>
      </c>
      <c r="BM32" s="46">
        <f t="shared" si="20"/>
        <v>59.53</v>
      </c>
      <c r="BN32" s="46">
        <f t="shared" si="21"/>
        <v>25.67</v>
      </c>
      <c r="BO32" s="46">
        <f t="shared" si="22"/>
        <v>51.35</v>
      </c>
      <c r="BP32" s="46">
        <f t="shared" si="23"/>
        <v>29.81</v>
      </c>
      <c r="BQ32" s="46">
        <f t="shared" si="24"/>
        <v>25.35</v>
      </c>
      <c r="BR32" s="46">
        <f t="shared" si="25"/>
        <v>28</v>
      </c>
      <c r="BS32" s="46">
        <f t="shared" si="26"/>
        <v>13.46</v>
      </c>
      <c r="BT32" s="46">
        <f t="shared" si="27"/>
        <v>32.14</v>
      </c>
      <c r="BU32" s="46">
        <f t="shared" si="28"/>
        <v>23.15</v>
      </c>
      <c r="BV32" s="46">
        <v>0</v>
      </c>
      <c r="BW32" s="46">
        <v>0</v>
      </c>
      <c r="BX32" s="46">
        <f t="shared" si="29"/>
        <v>0</v>
      </c>
      <c r="BY32" s="46">
        <v>0</v>
      </c>
      <c r="BZ32" s="46">
        <v>0</v>
      </c>
      <c r="CA32" s="46">
        <f t="shared" si="76"/>
        <v>0</v>
      </c>
      <c r="CB32" s="46">
        <v>0</v>
      </c>
      <c r="CC32" s="46">
        <v>0</v>
      </c>
      <c r="CD32" s="46">
        <f t="shared" si="31"/>
        <v>0</v>
      </c>
      <c r="CE32" s="46">
        <v>0</v>
      </c>
      <c r="CF32" s="46">
        <v>0</v>
      </c>
      <c r="CG32" s="46">
        <f t="shared" si="77"/>
        <v>0</v>
      </c>
      <c r="CH32" s="46">
        <v>0</v>
      </c>
      <c r="CI32" s="46">
        <v>0</v>
      </c>
      <c r="CJ32" s="46">
        <f t="shared" si="33"/>
        <v>0</v>
      </c>
      <c r="CK32" s="46">
        <v>0</v>
      </c>
      <c r="CL32" s="46">
        <v>0</v>
      </c>
      <c r="CM32" s="46">
        <f t="shared" si="34"/>
        <v>0</v>
      </c>
      <c r="CN32" s="46">
        <v>0</v>
      </c>
      <c r="CO32" s="46">
        <v>0</v>
      </c>
      <c r="CP32" s="46">
        <f t="shared" si="35"/>
        <v>0</v>
      </c>
      <c r="CQ32" s="46">
        <v>0</v>
      </c>
      <c r="CR32" s="46">
        <v>0</v>
      </c>
      <c r="CS32" s="46">
        <f t="shared" si="36"/>
        <v>0</v>
      </c>
      <c r="CT32" s="46">
        <v>0</v>
      </c>
      <c r="CU32" s="46">
        <v>0</v>
      </c>
      <c r="CV32" s="46">
        <f t="shared" si="37"/>
        <v>0</v>
      </c>
      <c r="CW32" s="46">
        <v>0</v>
      </c>
      <c r="CX32" s="46">
        <v>0</v>
      </c>
      <c r="CY32" s="46">
        <f t="shared" si="39"/>
        <v>0</v>
      </c>
      <c r="CZ32" s="46">
        <v>0</v>
      </c>
      <c r="DA32" s="46">
        <v>0</v>
      </c>
      <c r="DB32" s="46">
        <f t="shared" si="41"/>
        <v>0</v>
      </c>
      <c r="DC32" s="46">
        <v>0</v>
      </c>
      <c r="DD32" s="46">
        <v>0</v>
      </c>
      <c r="DE32" s="46">
        <f t="shared" si="43"/>
        <v>0</v>
      </c>
      <c r="DF32" s="57" t="e">
        <f t="shared" si="44"/>
        <v>#DIV/0!</v>
      </c>
      <c r="DG32" s="57" t="e">
        <f t="shared" si="45"/>
        <v>#DIV/0!</v>
      </c>
      <c r="DH32" s="57" t="e">
        <f t="shared" si="46"/>
        <v>#DIV/0!</v>
      </c>
      <c r="DI32" s="46" t="e">
        <f t="shared" si="47"/>
        <v>#DIV/0!</v>
      </c>
      <c r="DJ32" s="46" t="e">
        <f t="shared" si="48"/>
        <v>#DIV/0!</v>
      </c>
      <c r="DK32" s="46" t="e">
        <f t="shared" si="49"/>
        <v>#DIV/0!</v>
      </c>
      <c r="DL32" s="46" t="e">
        <f t="shared" si="50"/>
        <v>#DIV/0!</v>
      </c>
      <c r="DM32" s="46" t="e">
        <f t="shared" si="51"/>
        <v>#DIV/0!</v>
      </c>
      <c r="DN32" s="46" t="e">
        <f t="shared" si="52"/>
        <v>#DIV/0!</v>
      </c>
      <c r="DO32" s="46">
        <v>0</v>
      </c>
      <c r="DP32" s="46">
        <v>0</v>
      </c>
      <c r="DQ32" s="46">
        <f t="shared" si="78"/>
        <v>0</v>
      </c>
      <c r="DR32" s="46">
        <v>0</v>
      </c>
      <c r="DS32" s="46">
        <v>0</v>
      </c>
      <c r="DT32" s="46">
        <f t="shared" si="79"/>
        <v>0</v>
      </c>
      <c r="DU32" s="46">
        <v>0</v>
      </c>
      <c r="DV32" s="46">
        <v>0</v>
      </c>
      <c r="DW32" s="46">
        <f t="shared" si="80"/>
        <v>0</v>
      </c>
      <c r="DX32" s="46">
        <v>0</v>
      </c>
      <c r="DY32" s="46">
        <v>0</v>
      </c>
      <c r="DZ32" s="46">
        <f t="shared" si="81"/>
        <v>0</v>
      </c>
      <c r="EA32" s="46">
        <v>0</v>
      </c>
      <c r="EB32" s="46">
        <v>0</v>
      </c>
      <c r="EC32" s="46">
        <f t="shared" si="82"/>
        <v>0</v>
      </c>
      <c r="ED32" s="46">
        <v>0</v>
      </c>
      <c r="EE32" s="46">
        <v>0</v>
      </c>
      <c r="EF32" s="46">
        <f t="shared" si="83"/>
        <v>0</v>
      </c>
      <c r="EG32" s="46">
        <f t="shared" si="59"/>
        <v>0</v>
      </c>
      <c r="EH32" s="57">
        <f t="shared" si="60"/>
        <v>-100</v>
      </c>
      <c r="EI32" s="46">
        <f t="shared" si="84"/>
        <v>-952</v>
      </c>
      <c r="EJ32" s="46">
        <f t="shared" si="62"/>
        <v>-49</v>
      </c>
      <c r="EK32" s="46">
        <f t="shared" si="63"/>
        <v>-25</v>
      </c>
    </row>
    <row r="33" spans="1:142" ht="28.5">
      <c r="A33" s="51">
        <v>28</v>
      </c>
      <c r="B33" s="67" t="s">
        <v>106</v>
      </c>
      <c r="C33" s="48" t="s">
        <v>105</v>
      </c>
      <c r="D33" s="65" t="s">
        <v>75</v>
      </c>
      <c r="E33" s="65" t="s">
        <v>75</v>
      </c>
      <c r="F33" s="65" t="s">
        <v>75</v>
      </c>
      <c r="G33" s="65" t="s">
        <v>75</v>
      </c>
      <c r="H33" s="46">
        <v>0</v>
      </c>
      <c r="I33" s="46">
        <v>0</v>
      </c>
      <c r="J33" s="46">
        <v>0</v>
      </c>
      <c r="K33" s="46">
        <f t="shared" si="0"/>
        <v>0</v>
      </c>
      <c r="L33" s="46">
        <v>0</v>
      </c>
      <c r="M33" s="46">
        <v>0</v>
      </c>
      <c r="N33" s="46">
        <v>0</v>
      </c>
      <c r="O33" s="46">
        <f t="shared" si="1"/>
        <v>0</v>
      </c>
      <c r="P33" s="46">
        <v>0</v>
      </c>
      <c r="Q33" s="46">
        <v>0</v>
      </c>
      <c r="R33" s="46">
        <v>0</v>
      </c>
      <c r="S33" s="46">
        <f t="shared" si="2"/>
        <v>0</v>
      </c>
      <c r="T33" s="46" t="e">
        <f t="shared" si="3"/>
        <v>#DIV/0!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7">
        <f t="shared" si="4"/>
        <v>0</v>
      </c>
      <c r="AC33" s="46">
        <v>16119</v>
      </c>
      <c r="AD33" s="46">
        <v>19116</v>
      </c>
      <c r="AE33" s="46">
        <f t="shared" si="5"/>
        <v>35235</v>
      </c>
      <c r="AF33" s="46">
        <v>125</v>
      </c>
      <c r="AG33" s="46">
        <v>141</v>
      </c>
      <c r="AH33" s="46">
        <f t="shared" si="6"/>
        <v>266</v>
      </c>
      <c r="AI33" s="46">
        <v>14310</v>
      </c>
      <c r="AJ33" s="46">
        <v>17452</v>
      </c>
      <c r="AK33" s="46">
        <f t="shared" si="7"/>
        <v>31762</v>
      </c>
      <c r="AL33" s="46">
        <v>11240</v>
      </c>
      <c r="AM33" s="46">
        <v>13046</v>
      </c>
      <c r="AN33" s="46">
        <f t="shared" si="8"/>
        <v>24286</v>
      </c>
      <c r="AO33" s="46">
        <v>76</v>
      </c>
      <c r="AP33" s="46">
        <v>95</v>
      </c>
      <c r="AQ33" s="46">
        <f t="shared" si="9"/>
        <v>171</v>
      </c>
      <c r="AR33" s="46">
        <v>9925</v>
      </c>
      <c r="AS33" s="46">
        <v>11851</v>
      </c>
      <c r="AT33" s="46">
        <f t="shared" si="10"/>
        <v>21776</v>
      </c>
      <c r="AU33" s="46">
        <v>0</v>
      </c>
      <c r="AV33" s="46">
        <v>0</v>
      </c>
      <c r="AW33" s="46">
        <f t="shared" si="11"/>
        <v>0</v>
      </c>
      <c r="AX33" s="46">
        <v>0</v>
      </c>
      <c r="AY33" s="46">
        <v>0</v>
      </c>
      <c r="AZ33" s="46">
        <f t="shared" si="12"/>
        <v>0</v>
      </c>
      <c r="BA33" s="46">
        <v>0</v>
      </c>
      <c r="BB33" s="46">
        <v>0</v>
      </c>
      <c r="BC33" s="46">
        <f t="shared" si="13"/>
        <v>0</v>
      </c>
      <c r="BD33" s="46">
        <f t="shared" ref="BD33:BE38" si="85">AL33+AU33</f>
        <v>11240</v>
      </c>
      <c r="BE33" s="46">
        <f t="shared" si="85"/>
        <v>13046</v>
      </c>
      <c r="BF33" s="46">
        <f t="shared" si="15"/>
        <v>24286</v>
      </c>
      <c r="BG33" s="46">
        <f t="shared" ref="BG33:BH38" si="86">AO33+AX33</f>
        <v>76</v>
      </c>
      <c r="BH33" s="46">
        <f t="shared" si="86"/>
        <v>95</v>
      </c>
      <c r="BI33" s="46">
        <f t="shared" si="17"/>
        <v>171</v>
      </c>
      <c r="BJ33" s="46">
        <f t="shared" ref="BJ33:BK38" si="87">AR33+BA33</f>
        <v>9925</v>
      </c>
      <c r="BK33" s="46">
        <f t="shared" si="87"/>
        <v>11851</v>
      </c>
      <c r="BL33" s="46">
        <f t="shared" si="19"/>
        <v>21776</v>
      </c>
      <c r="BM33" s="46">
        <f t="shared" si="20"/>
        <v>69.73</v>
      </c>
      <c r="BN33" s="46">
        <f t="shared" si="21"/>
        <v>68.25</v>
      </c>
      <c r="BO33" s="46">
        <f t="shared" si="22"/>
        <v>68.930000000000007</v>
      </c>
      <c r="BP33" s="46">
        <f t="shared" si="23"/>
        <v>60.8</v>
      </c>
      <c r="BQ33" s="46">
        <f t="shared" si="24"/>
        <v>67.38</v>
      </c>
      <c r="BR33" s="46">
        <f t="shared" si="25"/>
        <v>64.290000000000006</v>
      </c>
      <c r="BS33" s="46">
        <f t="shared" si="26"/>
        <v>69.36</v>
      </c>
      <c r="BT33" s="46">
        <f t="shared" si="27"/>
        <v>67.91</v>
      </c>
      <c r="BU33" s="46">
        <f t="shared" si="28"/>
        <v>68.56</v>
      </c>
      <c r="BV33" s="46">
        <v>7536</v>
      </c>
      <c r="BW33" s="46">
        <v>8202</v>
      </c>
      <c r="BX33" s="46">
        <f t="shared" si="29"/>
        <v>15738</v>
      </c>
      <c r="BY33" s="46">
        <v>15</v>
      </c>
      <c r="BZ33" s="46">
        <v>16</v>
      </c>
      <c r="CA33" s="46">
        <f t="shared" si="76"/>
        <v>31</v>
      </c>
      <c r="CB33" s="46">
        <v>7379</v>
      </c>
      <c r="CC33" s="46">
        <v>8020</v>
      </c>
      <c r="CD33" s="46">
        <f t="shared" si="31"/>
        <v>15399</v>
      </c>
      <c r="CE33" s="46">
        <v>1449</v>
      </c>
      <c r="CF33" s="46">
        <v>1823</v>
      </c>
      <c r="CG33" s="46">
        <f t="shared" si="77"/>
        <v>3272</v>
      </c>
      <c r="CH33" s="46">
        <v>4</v>
      </c>
      <c r="CI33" s="46">
        <v>12</v>
      </c>
      <c r="CJ33" s="46">
        <f t="shared" si="33"/>
        <v>16</v>
      </c>
      <c r="CK33" s="46">
        <v>1385</v>
      </c>
      <c r="CL33" s="46">
        <v>1739</v>
      </c>
      <c r="CM33" s="46">
        <f t="shared" si="34"/>
        <v>3124</v>
      </c>
      <c r="CN33" s="46">
        <v>0</v>
      </c>
      <c r="CO33" s="46">
        <v>0</v>
      </c>
      <c r="CP33" s="46">
        <f t="shared" si="35"/>
        <v>0</v>
      </c>
      <c r="CQ33" s="46">
        <v>0</v>
      </c>
      <c r="CR33" s="46">
        <v>0</v>
      </c>
      <c r="CS33" s="46">
        <f t="shared" si="36"/>
        <v>0</v>
      </c>
      <c r="CT33" s="46">
        <v>0</v>
      </c>
      <c r="CU33" s="46">
        <v>0</v>
      </c>
      <c r="CV33" s="46">
        <f t="shared" si="37"/>
        <v>0</v>
      </c>
      <c r="CW33" s="46">
        <f>CE33+CN33</f>
        <v>1449</v>
      </c>
      <c r="CX33" s="46">
        <f>CF33+CO33</f>
        <v>1823</v>
      </c>
      <c r="CY33" s="46">
        <f t="shared" si="39"/>
        <v>3272</v>
      </c>
      <c r="CZ33" s="28">
        <f>CH33+CQ33</f>
        <v>4</v>
      </c>
      <c r="DA33" s="28">
        <f>CI33+CR33</f>
        <v>12</v>
      </c>
      <c r="DB33" s="2">
        <f t="shared" si="41"/>
        <v>16</v>
      </c>
      <c r="DC33" s="28">
        <f>CK33+CT33</f>
        <v>1385</v>
      </c>
      <c r="DD33" s="28">
        <f>CL33+CU33</f>
        <v>1739</v>
      </c>
      <c r="DE33" s="2">
        <f t="shared" si="43"/>
        <v>3124</v>
      </c>
      <c r="DF33" s="57">
        <f t="shared" si="44"/>
        <v>19.23</v>
      </c>
      <c r="DG33" s="57">
        <f t="shared" si="45"/>
        <v>22.23</v>
      </c>
      <c r="DH33" s="57">
        <f t="shared" si="46"/>
        <v>20.79</v>
      </c>
      <c r="DI33" s="46">
        <f t="shared" si="47"/>
        <v>26.67</v>
      </c>
      <c r="DJ33" s="46">
        <f t="shared" si="48"/>
        <v>75</v>
      </c>
      <c r="DK33" s="46">
        <f t="shared" si="49"/>
        <v>51.61</v>
      </c>
      <c r="DL33" s="46">
        <f t="shared" si="50"/>
        <v>18.77</v>
      </c>
      <c r="DM33" s="46">
        <f t="shared" si="51"/>
        <v>21.68</v>
      </c>
      <c r="DN33" s="46">
        <f t="shared" si="52"/>
        <v>20.29</v>
      </c>
      <c r="DO33" s="46">
        <v>677</v>
      </c>
      <c r="DP33" s="46">
        <v>828</v>
      </c>
      <c r="DQ33" s="46">
        <f t="shared" si="78"/>
        <v>1505</v>
      </c>
      <c r="DR33" s="46">
        <v>7</v>
      </c>
      <c r="DS33" s="46">
        <v>6</v>
      </c>
      <c r="DT33" s="46">
        <f t="shared" si="79"/>
        <v>13</v>
      </c>
      <c r="DU33" s="46">
        <v>528</v>
      </c>
      <c r="DV33" s="46">
        <v>683</v>
      </c>
      <c r="DW33" s="46">
        <f t="shared" si="80"/>
        <v>1211</v>
      </c>
      <c r="DX33" s="46">
        <v>2177</v>
      </c>
      <c r="DY33" s="46">
        <v>2482</v>
      </c>
      <c r="DZ33" s="46">
        <f t="shared" si="81"/>
        <v>4659</v>
      </c>
      <c r="EA33" s="46">
        <v>15</v>
      </c>
      <c r="EB33" s="46">
        <v>18</v>
      </c>
      <c r="EC33" s="46">
        <f t="shared" si="82"/>
        <v>33</v>
      </c>
      <c r="ED33" s="46">
        <v>1889</v>
      </c>
      <c r="EE33" s="46">
        <v>2232</v>
      </c>
      <c r="EF33" s="46">
        <f t="shared" si="83"/>
        <v>4121</v>
      </c>
      <c r="EG33" s="46">
        <f t="shared" si="59"/>
        <v>-50973</v>
      </c>
      <c r="EH33" s="57">
        <f t="shared" si="60"/>
        <v>-27558</v>
      </c>
      <c r="EI33" s="46">
        <f t="shared" si="84"/>
        <v>-21394</v>
      </c>
      <c r="EJ33" s="46">
        <f t="shared" si="62"/>
        <v>-141</v>
      </c>
      <c r="EK33" s="46">
        <f t="shared" si="63"/>
        <v>-19568</v>
      </c>
    </row>
    <row r="34" spans="1:142" ht="30">
      <c r="A34" s="51">
        <v>39</v>
      </c>
      <c r="B34" s="48" t="s">
        <v>124</v>
      </c>
      <c r="C34" s="48" t="s">
        <v>119</v>
      </c>
      <c r="D34" s="64">
        <v>42769</v>
      </c>
      <c r="E34" s="64">
        <v>42818</v>
      </c>
      <c r="F34" s="64">
        <v>42907</v>
      </c>
      <c r="G34" s="64">
        <v>42908</v>
      </c>
      <c r="H34" s="46">
        <v>182</v>
      </c>
      <c r="I34" s="46">
        <v>84</v>
      </c>
      <c r="J34" s="46">
        <v>63</v>
      </c>
      <c r="K34" s="46">
        <f t="shared" si="0"/>
        <v>329</v>
      </c>
      <c r="L34" s="46">
        <v>4880</v>
      </c>
      <c r="M34" s="46">
        <v>3789</v>
      </c>
      <c r="N34" s="46">
        <v>5959</v>
      </c>
      <c r="O34" s="46">
        <f t="shared" si="1"/>
        <v>14628</v>
      </c>
      <c r="P34" s="46">
        <v>3153</v>
      </c>
      <c r="Q34" s="46">
        <v>2891</v>
      </c>
      <c r="R34" s="46">
        <v>4596</v>
      </c>
      <c r="S34" s="46">
        <f t="shared" si="2"/>
        <v>10640</v>
      </c>
      <c r="T34" s="46">
        <f t="shared" si="3"/>
        <v>72.739999999999995</v>
      </c>
      <c r="U34" s="46">
        <v>74</v>
      </c>
      <c r="V34" s="46">
        <v>78</v>
      </c>
      <c r="W34" s="46">
        <v>99</v>
      </c>
      <c r="X34" s="46">
        <v>74</v>
      </c>
      <c r="Y34" s="46">
        <v>49</v>
      </c>
      <c r="Z34" s="46">
        <v>62</v>
      </c>
      <c r="AA34" s="46">
        <v>194</v>
      </c>
      <c r="AB34" s="47">
        <f t="shared" si="4"/>
        <v>-301</v>
      </c>
      <c r="AC34" s="46">
        <v>6892</v>
      </c>
      <c r="AD34" s="46">
        <v>7636</v>
      </c>
      <c r="AE34" s="46">
        <f t="shared" si="5"/>
        <v>14528</v>
      </c>
      <c r="AF34" s="46">
        <v>12</v>
      </c>
      <c r="AG34" s="46">
        <v>19</v>
      </c>
      <c r="AH34" s="46">
        <f t="shared" si="6"/>
        <v>31</v>
      </c>
      <c r="AI34" s="46">
        <v>6791</v>
      </c>
      <c r="AJ34" s="46">
        <v>7517</v>
      </c>
      <c r="AK34" s="46">
        <f t="shared" si="7"/>
        <v>14308</v>
      </c>
      <c r="AL34" s="46">
        <v>5099</v>
      </c>
      <c r="AM34" s="46">
        <v>5438</v>
      </c>
      <c r="AN34" s="46">
        <f t="shared" si="8"/>
        <v>10537</v>
      </c>
      <c r="AO34" s="46">
        <v>10</v>
      </c>
      <c r="AP34" s="46">
        <v>13</v>
      </c>
      <c r="AQ34" s="46">
        <f t="shared" si="9"/>
        <v>23</v>
      </c>
      <c r="AR34" s="46">
        <v>5012</v>
      </c>
      <c r="AS34" s="46">
        <v>5351</v>
      </c>
      <c r="AT34" s="46">
        <f t="shared" si="10"/>
        <v>10363</v>
      </c>
      <c r="AU34" s="46">
        <v>45</v>
      </c>
      <c r="AV34" s="46">
        <v>38</v>
      </c>
      <c r="AW34" s="46">
        <f t="shared" si="11"/>
        <v>83</v>
      </c>
      <c r="AX34" s="46">
        <v>0</v>
      </c>
      <c r="AY34" s="46">
        <v>0</v>
      </c>
      <c r="AZ34" s="46">
        <f t="shared" si="12"/>
        <v>0</v>
      </c>
      <c r="BA34" s="46">
        <v>45</v>
      </c>
      <c r="BB34" s="46">
        <v>38</v>
      </c>
      <c r="BC34" s="46">
        <f t="shared" si="13"/>
        <v>83</v>
      </c>
      <c r="BD34" s="46">
        <f t="shared" si="85"/>
        <v>5144</v>
      </c>
      <c r="BE34" s="46">
        <f t="shared" si="85"/>
        <v>5476</v>
      </c>
      <c r="BF34" s="46">
        <f t="shared" si="15"/>
        <v>10620</v>
      </c>
      <c r="BG34" s="46">
        <f t="shared" si="86"/>
        <v>10</v>
      </c>
      <c r="BH34" s="46">
        <f t="shared" si="86"/>
        <v>13</v>
      </c>
      <c r="BI34" s="46">
        <f t="shared" si="17"/>
        <v>23</v>
      </c>
      <c r="BJ34" s="46">
        <f t="shared" si="87"/>
        <v>5057</v>
      </c>
      <c r="BK34" s="46">
        <f t="shared" si="87"/>
        <v>5389</v>
      </c>
      <c r="BL34" s="46">
        <f t="shared" si="19"/>
        <v>10446</v>
      </c>
      <c r="BM34" s="46">
        <f t="shared" si="20"/>
        <v>74.64</v>
      </c>
      <c r="BN34" s="46">
        <f t="shared" si="21"/>
        <v>71.709999999999994</v>
      </c>
      <c r="BO34" s="46">
        <f t="shared" si="22"/>
        <v>73.099999999999994</v>
      </c>
      <c r="BP34" s="46">
        <f t="shared" si="23"/>
        <v>83.33</v>
      </c>
      <c r="BQ34" s="46">
        <f t="shared" si="24"/>
        <v>68.42</v>
      </c>
      <c r="BR34" s="46">
        <f t="shared" si="25"/>
        <v>74.19</v>
      </c>
      <c r="BS34" s="46">
        <f t="shared" si="26"/>
        <v>74.47</v>
      </c>
      <c r="BT34" s="46">
        <f t="shared" si="27"/>
        <v>71.69</v>
      </c>
      <c r="BU34" s="46">
        <f t="shared" si="28"/>
        <v>73.010000000000005</v>
      </c>
      <c r="BV34" s="46">
        <v>53</v>
      </c>
      <c r="BW34" s="46">
        <v>47</v>
      </c>
      <c r="BX34" s="46">
        <f t="shared" si="29"/>
        <v>100</v>
      </c>
      <c r="BY34" s="46">
        <v>0</v>
      </c>
      <c r="BZ34" s="46">
        <v>0</v>
      </c>
      <c r="CA34" s="46">
        <f t="shared" si="76"/>
        <v>0</v>
      </c>
      <c r="CB34" s="46">
        <v>53</v>
      </c>
      <c r="CC34" s="46">
        <v>47</v>
      </c>
      <c r="CD34" s="46">
        <f t="shared" si="31"/>
        <v>100</v>
      </c>
      <c r="CE34" s="46">
        <v>14</v>
      </c>
      <c r="CF34" s="46">
        <v>6</v>
      </c>
      <c r="CG34" s="46">
        <f t="shared" si="77"/>
        <v>20</v>
      </c>
      <c r="CH34" s="46">
        <v>0</v>
      </c>
      <c r="CI34" s="46">
        <v>0</v>
      </c>
      <c r="CJ34" s="46">
        <f t="shared" si="33"/>
        <v>0</v>
      </c>
      <c r="CK34" s="46">
        <v>14</v>
      </c>
      <c r="CL34" s="46">
        <v>6</v>
      </c>
      <c r="CM34" s="46">
        <f t="shared" si="34"/>
        <v>20</v>
      </c>
      <c r="CN34" s="46">
        <v>0</v>
      </c>
      <c r="CO34" s="46">
        <v>0</v>
      </c>
      <c r="CP34" s="46">
        <f t="shared" si="35"/>
        <v>0</v>
      </c>
      <c r="CQ34" s="46">
        <v>0</v>
      </c>
      <c r="CR34" s="46">
        <v>0</v>
      </c>
      <c r="CS34" s="46">
        <f t="shared" si="36"/>
        <v>0</v>
      </c>
      <c r="CT34" s="46">
        <v>0</v>
      </c>
      <c r="CU34" s="46">
        <v>0</v>
      </c>
      <c r="CV34" s="46">
        <f t="shared" si="37"/>
        <v>0</v>
      </c>
      <c r="CW34" s="46">
        <v>14</v>
      </c>
      <c r="CX34" s="46">
        <v>6</v>
      </c>
      <c r="CY34" s="46">
        <f t="shared" si="39"/>
        <v>20</v>
      </c>
      <c r="CZ34" s="46">
        <v>0</v>
      </c>
      <c r="DA34" s="46">
        <v>0</v>
      </c>
      <c r="DB34" s="46">
        <f t="shared" si="41"/>
        <v>0</v>
      </c>
      <c r="DC34" s="46">
        <v>14</v>
      </c>
      <c r="DD34" s="46">
        <v>6</v>
      </c>
      <c r="DE34" s="46">
        <f t="shared" si="43"/>
        <v>20</v>
      </c>
      <c r="DF34" s="46">
        <f t="shared" si="44"/>
        <v>26.42</v>
      </c>
      <c r="DG34" s="46">
        <f t="shared" si="45"/>
        <v>12.77</v>
      </c>
      <c r="DH34" s="46">
        <f t="shared" si="46"/>
        <v>20</v>
      </c>
      <c r="DI34" s="46" t="e">
        <f t="shared" si="47"/>
        <v>#DIV/0!</v>
      </c>
      <c r="DJ34" s="46" t="e">
        <f t="shared" si="48"/>
        <v>#DIV/0!</v>
      </c>
      <c r="DK34" s="46" t="e">
        <f t="shared" si="49"/>
        <v>#DIV/0!</v>
      </c>
      <c r="DL34" s="46">
        <f t="shared" si="50"/>
        <v>26.42</v>
      </c>
      <c r="DM34" s="46">
        <f t="shared" si="51"/>
        <v>12.77</v>
      </c>
      <c r="DN34" s="46">
        <f t="shared" si="52"/>
        <v>20</v>
      </c>
      <c r="DO34" s="46">
        <v>1885</v>
      </c>
      <c r="DP34" s="46">
        <v>2233</v>
      </c>
      <c r="DQ34" s="46">
        <f t="shared" si="78"/>
        <v>4118</v>
      </c>
      <c r="DR34" s="46">
        <v>5</v>
      </c>
      <c r="DS34" s="46">
        <v>8</v>
      </c>
      <c r="DT34" s="46">
        <f t="shared" si="79"/>
        <v>13</v>
      </c>
      <c r="DU34" s="46">
        <v>1850</v>
      </c>
      <c r="DV34" s="46">
        <v>2209</v>
      </c>
      <c r="DW34" s="46">
        <f t="shared" si="80"/>
        <v>4059</v>
      </c>
      <c r="DX34" s="46">
        <v>3273</v>
      </c>
      <c r="DY34" s="46">
        <v>3249</v>
      </c>
      <c r="DZ34" s="46">
        <f t="shared" si="81"/>
        <v>6522</v>
      </c>
      <c r="EA34" s="46">
        <v>5</v>
      </c>
      <c r="EB34" s="46">
        <v>5</v>
      </c>
      <c r="EC34" s="46">
        <f t="shared" si="82"/>
        <v>10</v>
      </c>
      <c r="ED34" s="46">
        <v>3208</v>
      </c>
      <c r="EE34" s="46">
        <v>3199</v>
      </c>
      <c r="EF34" s="46">
        <f t="shared" si="83"/>
        <v>6407</v>
      </c>
      <c r="EG34" s="46">
        <f t="shared" si="59"/>
        <v>0</v>
      </c>
      <c r="EH34" s="57">
        <f t="shared" si="60"/>
        <v>0</v>
      </c>
      <c r="EI34" s="46">
        <f t="shared" si="84"/>
        <v>0</v>
      </c>
      <c r="EJ34" s="46">
        <f t="shared" si="62"/>
        <v>0</v>
      </c>
      <c r="EK34" s="46">
        <f t="shared" si="63"/>
        <v>0</v>
      </c>
    </row>
    <row r="35" spans="1:142" ht="30">
      <c r="A35" s="51">
        <v>19</v>
      </c>
      <c r="B35" s="43" t="s">
        <v>81</v>
      </c>
      <c r="C35" s="54" t="s">
        <v>83</v>
      </c>
      <c r="D35" s="64">
        <v>42781</v>
      </c>
      <c r="E35" s="64">
        <v>42793</v>
      </c>
      <c r="F35" s="64">
        <v>42861</v>
      </c>
      <c r="G35" s="64">
        <v>43014</v>
      </c>
      <c r="H35" s="6">
        <v>294</v>
      </c>
      <c r="I35" s="6">
        <v>0</v>
      </c>
      <c r="J35" s="6">
        <v>422</v>
      </c>
      <c r="K35" s="2">
        <f t="shared" si="0"/>
        <v>716</v>
      </c>
      <c r="L35" s="6">
        <v>4296</v>
      </c>
      <c r="M35" s="6">
        <v>0</v>
      </c>
      <c r="N35" s="6">
        <v>14673</v>
      </c>
      <c r="O35" s="2">
        <f t="shared" si="1"/>
        <v>18969</v>
      </c>
      <c r="P35" s="6">
        <v>1830</v>
      </c>
      <c r="Q35" s="6">
        <v>0</v>
      </c>
      <c r="R35" s="6">
        <v>13085</v>
      </c>
      <c r="S35" s="2">
        <f t="shared" si="2"/>
        <v>14915</v>
      </c>
      <c r="T35" s="15">
        <f t="shared" si="3"/>
        <v>78.63</v>
      </c>
      <c r="U35" s="6">
        <v>72</v>
      </c>
      <c r="V35" s="6">
        <v>154</v>
      </c>
      <c r="W35" s="6">
        <v>60</v>
      </c>
      <c r="X35" s="6">
        <v>68</v>
      </c>
      <c r="Y35" s="6">
        <v>48</v>
      </c>
      <c r="Z35" s="6">
        <v>49</v>
      </c>
      <c r="AA35" s="6">
        <v>223</v>
      </c>
      <c r="AB35" s="47">
        <f t="shared" si="4"/>
        <v>42</v>
      </c>
      <c r="AC35" s="30">
        <v>10699</v>
      </c>
      <c r="AD35" s="30">
        <v>11747</v>
      </c>
      <c r="AE35" s="46">
        <f t="shared" si="5"/>
        <v>22446</v>
      </c>
      <c r="AF35" s="31">
        <v>106</v>
      </c>
      <c r="AG35" s="31">
        <v>92</v>
      </c>
      <c r="AH35" s="2">
        <f t="shared" si="6"/>
        <v>198</v>
      </c>
      <c r="AI35" s="31">
        <v>9677</v>
      </c>
      <c r="AJ35" s="31">
        <v>10721</v>
      </c>
      <c r="AK35" s="2">
        <f t="shared" si="7"/>
        <v>20398</v>
      </c>
      <c r="AL35" s="30">
        <v>7577</v>
      </c>
      <c r="AM35" s="30">
        <v>8178</v>
      </c>
      <c r="AN35" s="2">
        <f t="shared" si="8"/>
        <v>15755</v>
      </c>
      <c r="AO35" s="31">
        <v>85</v>
      </c>
      <c r="AP35" s="31">
        <v>70</v>
      </c>
      <c r="AQ35" s="2">
        <f t="shared" si="9"/>
        <v>155</v>
      </c>
      <c r="AR35" s="31">
        <v>6767</v>
      </c>
      <c r="AS35" s="31">
        <v>7377</v>
      </c>
      <c r="AT35" s="2">
        <f t="shared" si="10"/>
        <v>14144</v>
      </c>
      <c r="AU35" s="31">
        <v>0</v>
      </c>
      <c r="AV35" s="31">
        <v>0</v>
      </c>
      <c r="AW35" s="2">
        <f t="shared" si="11"/>
        <v>0</v>
      </c>
      <c r="AX35" s="31">
        <v>0</v>
      </c>
      <c r="AY35" s="31">
        <v>0</v>
      </c>
      <c r="AZ35" s="2">
        <f t="shared" si="12"/>
        <v>0</v>
      </c>
      <c r="BA35" s="31">
        <v>0</v>
      </c>
      <c r="BB35" s="31">
        <v>0</v>
      </c>
      <c r="BC35" s="2">
        <f t="shared" si="13"/>
        <v>0</v>
      </c>
      <c r="BD35" s="28">
        <f t="shared" si="85"/>
        <v>7577</v>
      </c>
      <c r="BE35" s="28">
        <f t="shared" si="85"/>
        <v>8178</v>
      </c>
      <c r="BF35" s="2">
        <f t="shared" si="15"/>
        <v>15755</v>
      </c>
      <c r="BG35" s="46">
        <f t="shared" si="86"/>
        <v>85</v>
      </c>
      <c r="BH35" s="46">
        <f t="shared" si="86"/>
        <v>70</v>
      </c>
      <c r="BI35" s="46">
        <f t="shared" si="17"/>
        <v>155</v>
      </c>
      <c r="BJ35" s="28">
        <f t="shared" si="87"/>
        <v>6767</v>
      </c>
      <c r="BK35" s="28">
        <f t="shared" si="87"/>
        <v>7377</v>
      </c>
      <c r="BL35" s="2">
        <f t="shared" si="19"/>
        <v>14144</v>
      </c>
      <c r="BM35" s="28">
        <f t="shared" si="20"/>
        <v>70.819999999999993</v>
      </c>
      <c r="BN35" s="28">
        <f t="shared" si="21"/>
        <v>69.62</v>
      </c>
      <c r="BO35" s="28">
        <f t="shared" si="22"/>
        <v>70.19</v>
      </c>
      <c r="BP35" s="46">
        <f t="shared" si="23"/>
        <v>80.19</v>
      </c>
      <c r="BQ35" s="46">
        <f t="shared" si="24"/>
        <v>76.09</v>
      </c>
      <c r="BR35" s="46">
        <f t="shared" si="25"/>
        <v>78.28</v>
      </c>
      <c r="BS35" s="28">
        <f t="shared" si="26"/>
        <v>69.930000000000007</v>
      </c>
      <c r="BT35" s="28">
        <f t="shared" si="27"/>
        <v>68.81</v>
      </c>
      <c r="BU35" s="28">
        <f t="shared" si="28"/>
        <v>69.34</v>
      </c>
      <c r="BV35" s="30">
        <v>452</v>
      </c>
      <c r="BW35" s="30">
        <v>467</v>
      </c>
      <c r="BX35" s="2">
        <f t="shared" si="29"/>
        <v>919</v>
      </c>
      <c r="BY35" s="31">
        <v>0</v>
      </c>
      <c r="BZ35" s="31">
        <v>0</v>
      </c>
      <c r="CA35" s="2">
        <f t="shared" si="76"/>
        <v>0</v>
      </c>
      <c r="CB35" s="31">
        <v>0</v>
      </c>
      <c r="CC35" s="31">
        <v>0</v>
      </c>
      <c r="CD35" s="2">
        <f t="shared" si="31"/>
        <v>0</v>
      </c>
      <c r="CE35" s="30">
        <v>172</v>
      </c>
      <c r="CF35" s="30">
        <v>186</v>
      </c>
      <c r="CG35" s="2">
        <f t="shared" si="77"/>
        <v>358</v>
      </c>
      <c r="CH35" s="31">
        <v>0</v>
      </c>
      <c r="CI35" s="31">
        <v>0</v>
      </c>
      <c r="CJ35" s="2">
        <f t="shared" si="33"/>
        <v>0</v>
      </c>
      <c r="CK35" s="31">
        <v>0</v>
      </c>
      <c r="CL35" s="31">
        <v>0</v>
      </c>
      <c r="CM35" s="2">
        <f t="shared" si="34"/>
        <v>0</v>
      </c>
      <c r="CN35" s="31">
        <v>0</v>
      </c>
      <c r="CO35" s="31">
        <v>0</v>
      </c>
      <c r="CP35" s="2">
        <f t="shared" si="35"/>
        <v>0</v>
      </c>
      <c r="CQ35" s="31">
        <v>0</v>
      </c>
      <c r="CR35" s="31">
        <v>0</v>
      </c>
      <c r="CS35" s="2">
        <f t="shared" si="36"/>
        <v>0</v>
      </c>
      <c r="CT35" s="31">
        <v>0</v>
      </c>
      <c r="CU35" s="31">
        <v>0</v>
      </c>
      <c r="CV35" s="2">
        <f t="shared" si="37"/>
        <v>0</v>
      </c>
      <c r="CW35" s="46">
        <f t="shared" ref="CW35:CX38" si="88">CE35+CN35</f>
        <v>172</v>
      </c>
      <c r="CX35" s="46">
        <f t="shared" si="88"/>
        <v>186</v>
      </c>
      <c r="CY35" s="46">
        <f t="shared" si="39"/>
        <v>358</v>
      </c>
      <c r="CZ35" s="28">
        <f t="shared" ref="CZ35:DA38" si="89">CH35+CQ35</f>
        <v>0</v>
      </c>
      <c r="DA35" s="28">
        <f t="shared" si="89"/>
        <v>0</v>
      </c>
      <c r="DB35" s="2">
        <f t="shared" si="41"/>
        <v>0</v>
      </c>
      <c r="DC35" s="28">
        <f t="shared" ref="DC35:DD38" si="90">CK35+CT35</f>
        <v>0</v>
      </c>
      <c r="DD35" s="28">
        <f t="shared" si="90"/>
        <v>0</v>
      </c>
      <c r="DE35" s="2">
        <f t="shared" si="43"/>
        <v>0</v>
      </c>
      <c r="DF35" s="46">
        <f t="shared" si="44"/>
        <v>38.049999999999997</v>
      </c>
      <c r="DG35" s="46">
        <f t="shared" si="45"/>
        <v>39.83</v>
      </c>
      <c r="DH35" s="46">
        <f t="shared" si="46"/>
        <v>38.96</v>
      </c>
      <c r="DI35" s="28" t="e">
        <f t="shared" si="47"/>
        <v>#DIV/0!</v>
      </c>
      <c r="DJ35" s="28" t="e">
        <f t="shared" si="48"/>
        <v>#DIV/0!</v>
      </c>
      <c r="DK35" s="28" t="e">
        <f t="shared" si="49"/>
        <v>#DIV/0!</v>
      </c>
      <c r="DL35" s="28" t="e">
        <f t="shared" si="50"/>
        <v>#DIV/0!</v>
      </c>
      <c r="DM35" s="28" t="e">
        <f t="shared" si="51"/>
        <v>#DIV/0!</v>
      </c>
      <c r="DN35" s="28" t="e">
        <f t="shared" si="52"/>
        <v>#DIV/0!</v>
      </c>
      <c r="DO35" s="32">
        <v>2770</v>
      </c>
      <c r="DP35" s="32">
        <v>3525</v>
      </c>
      <c r="DQ35" s="2">
        <f t="shared" si="78"/>
        <v>6295</v>
      </c>
      <c r="DR35" s="32">
        <v>43</v>
      </c>
      <c r="DS35" s="32">
        <v>27</v>
      </c>
      <c r="DT35" s="2">
        <f t="shared" si="79"/>
        <v>70</v>
      </c>
      <c r="DU35" s="32">
        <v>2357</v>
      </c>
      <c r="DV35" s="32">
        <v>3127</v>
      </c>
      <c r="DW35" s="2">
        <f t="shared" si="80"/>
        <v>5484</v>
      </c>
      <c r="DX35" s="32">
        <v>4807</v>
      </c>
      <c r="DY35" s="32">
        <v>4653</v>
      </c>
      <c r="DZ35" s="2">
        <f t="shared" si="81"/>
        <v>9460</v>
      </c>
      <c r="EA35" s="32">
        <v>42</v>
      </c>
      <c r="EB35" s="32">
        <v>43</v>
      </c>
      <c r="EC35" s="2">
        <f t="shared" si="82"/>
        <v>85</v>
      </c>
      <c r="ED35" s="32">
        <v>4410</v>
      </c>
      <c r="EE35" s="32">
        <v>4250</v>
      </c>
      <c r="EF35" s="2">
        <f t="shared" si="83"/>
        <v>8660</v>
      </c>
      <c r="EG35" s="4">
        <f t="shared" si="59"/>
        <v>-4396</v>
      </c>
      <c r="EH35" s="57">
        <f t="shared" si="60"/>
        <v>-1198</v>
      </c>
      <c r="EI35" s="4">
        <f t="shared" si="84"/>
        <v>-358</v>
      </c>
      <c r="EJ35" s="46">
        <f t="shared" si="62"/>
        <v>0</v>
      </c>
      <c r="EK35" s="46">
        <f t="shared" si="63"/>
        <v>0</v>
      </c>
    </row>
    <row r="36" spans="1:142" ht="28.5">
      <c r="A36" s="50">
        <v>2</v>
      </c>
      <c r="B36" s="27" t="s">
        <v>50</v>
      </c>
      <c r="C36" s="27" t="s">
        <v>51</v>
      </c>
      <c r="D36" s="63">
        <v>42818</v>
      </c>
      <c r="E36" s="63">
        <v>42825</v>
      </c>
      <c r="F36" s="62" t="s">
        <v>101</v>
      </c>
      <c r="G36" s="62" t="s">
        <v>101</v>
      </c>
      <c r="H36" s="6">
        <v>0</v>
      </c>
      <c r="I36" s="6">
        <v>0</v>
      </c>
      <c r="J36" s="6">
        <v>36</v>
      </c>
      <c r="K36" s="2">
        <f t="shared" si="0"/>
        <v>36</v>
      </c>
      <c r="L36" s="6">
        <v>0</v>
      </c>
      <c r="M36" s="6">
        <v>0</v>
      </c>
      <c r="N36" s="6">
        <v>830</v>
      </c>
      <c r="O36" s="2">
        <f t="shared" si="1"/>
        <v>830</v>
      </c>
      <c r="P36" s="6">
        <v>0</v>
      </c>
      <c r="Q36" s="6">
        <v>0</v>
      </c>
      <c r="R36" s="6">
        <v>782</v>
      </c>
      <c r="S36" s="2">
        <f t="shared" si="2"/>
        <v>782</v>
      </c>
      <c r="T36" s="15">
        <f t="shared" si="3"/>
        <v>94.22</v>
      </c>
      <c r="U36" s="6">
        <v>24</v>
      </c>
      <c r="V36" s="6">
        <v>6</v>
      </c>
      <c r="W36" s="6">
        <v>5</v>
      </c>
      <c r="X36" s="6">
        <v>0</v>
      </c>
      <c r="Y36" s="6">
        <v>1</v>
      </c>
      <c r="Z36" s="6">
        <v>0</v>
      </c>
      <c r="AA36" s="6">
        <v>0</v>
      </c>
      <c r="AB36" s="29">
        <f t="shared" si="4"/>
        <v>0</v>
      </c>
      <c r="AC36" s="30">
        <v>546</v>
      </c>
      <c r="AD36" s="30">
        <v>284</v>
      </c>
      <c r="AE36" s="2">
        <f t="shared" si="5"/>
        <v>830</v>
      </c>
      <c r="AF36" s="31">
        <v>69</v>
      </c>
      <c r="AG36" s="31">
        <v>83</v>
      </c>
      <c r="AH36" s="2">
        <f t="shared" si="6"/>
        <v>152</v>
      </c>
      <c r="AI36" s="31">
        <v>7</v>
      </c>
      <c r="AJ36" s="31">
        <v>10</v>
      </c>
      <c r="AK36" s="2">
        <f t="shared" si="7"/>
        <v>17</v>
      </c>
      <c r="AL36" s="30">
        <v>518</v>
      </c>
      <c r="AM36" s="30">
        <v>264</v>
      </c>
      <c r="AN36" s="2">
        <f t="shared" si="8"/>
        <v>782</v>
      </c>
      <c r="AO36" s="31">
        <v>60</v>
      </c>
      <c r="AP36" s="31">
        <v>77</v>
      </c>
      <c r="AQ36" s="2">
        <f t="shared" si="9"/>
        <v>137</v>
      </c>
      <c r="AR36" s="31">
        <v>5</v>
      </c>
      <c r="AS36" s="31">
        <v>9</v>
      </c>
      <c r="AT36" s="2">
        <f t="shared" si="10"/>
        <v>14</v>
      </c>
      <c r="AU36" s="32">
        <v>0</v>
      </c>
      <c r="AV36" s="32">
        <v>0</v>
      </c>
      <c r="AW36" s="2">
        <f t="shared" si="11"/>
        <v>0</v>
      </c>
      <c r="AX36" s="33">
        <v>0</v>
      </c>
      <c r="AY36" s="33">
        <v>0</v>
      </c>
      <c r="AZ36" s="2">
        <f t="shared" si="12"/>
        <v>0</v>
      </c>
      <c r="BA36" s="31">
        <v>0</v>
      </c>
      <c r="BB36" s="31">
        <v>0</v>
      </c>
      <c r="BC36" s="2">
        <f t="shared" si="13"/>
        <v>0</v>
      </c>
      <c r="BD36" s="28">
        <f t="shared" si="85"/>
        <v>518</v>
      </c>
      <c r="BE36" s="28">
        <f t="shared" si="85"/>
        <v>264</v>
      </c>
      <c r="BF36" s="2">
        <f t="shared" si="15"/>
        <v>782</v>
      </c>
      <c r="BG36" s="28">
        <f t="shared" si="86"/>
        <v>60</v>
      </c>
      <c r="BH36" s="28">
        <f t="shared" si="86"/>
        <v>77</v>
      </c>
      <c r="BI36" s="2">
        <f t="shared" si="17"/>
        <v>137</v>
      </c>
      <c r="BJ36" s="28">
        <f t="shared" si="87"/>
        <v>5</v>
      </c>
      <c r="BK36" s="28">
        <f t="shared" si="87"/>
        <v>9</v>
      </c>
      <c r="BL36" s="2">
        <f t="shared" si="19"/>
        <v>14</v>
      </c>
      <c r="BM36" s="28">
        <f t="shared" si="20"/>
        <v>94.87</v>
      </c>
      <c r="BN36" s="28">
        <f t="shared" si="21"/>
        <v>92.96</v>
      </c>
      <c r="BO36" s="28">
        <f t="shared" si="22"/>
        <v>94.22</v>
      </c>
      <c r="BP36" s="28">
        <f t="shared" si="23"/>
        <v>86.96</v>
      </c>
      <c r="BQ36" s="28">
        <f t="shared" si="24"/>
        <v>92.77</v>
      </c>
      <c r="BR36" s="28">
        <f t="shared" si="25"/>
        <v>90.13</v>
      </c>
      <c r="BS36" s="28">
        <f t="shared" si="26"/>
        <v>71.430000000000007</v>
      </c>
      <c r="BT36" s="28">
        <f t="shared" si="27"/>
        <v>90</v>
      </c>
      <c r="BU36" s="28">
        <f t="shared" si="28"/>
        <v>82.35</v>
      </c>
      <c r="BV36" s="30"/>
      <c r="BW36" s="30"/>
      <c r="BX36" s="2">
        <f t="shared" si="29"/>
        <v>0</v>
      </c>
      <c r="BY36" s="31">
        <v>0</v>
      </c>
      <c r="BZ36" s="31">
        <v>0</v>
      </c>
      <c r="CA36" s="2">
        <f t="shared" si="76"/>
        <v>0</v>
      </c>
      <c r="CB36" s="31">
        <v>0</v>
      </c>
      <c r="CC36" s="31">
        <v>0</v>
      </c>
      <c r="CD36" s="2">
        <f t="shared" si="31"/>
        <v>0</v>
      </c>
      <c r="CE36" s="30">
        <v>0</v>
      </c>
      <c r="CF36" s="30">
        <v>0</v>
      </c>
      <c r="CG36" s="2">
        <f t="shared" si="77"/>
        <v>0</v>
      </c>
      <c r="CH36" s="31">
        <v>0</v>
      </c>
      <c r="CI36" s="31">
        <v>0</v>
      </c>
      <c r="CJ36" s="2">
        <f t="shared" si="33"/>
        <v>0</v>
      </c>
      <c r="CK36" s="31">
        <v>0</v>
      </c>
      <c r="CL36" s="31">
        <v>0</v>
      </c>
      <c r="CM36" s="2">
        <f t="shared" si="34"/>
        <v>0</v>
      </c>
      <c r="CN36" s="31">
        <v>0</v>
      </c>
      <c r="CO36" s="31">
        <v>0</v>
      </c>
      <c r="CP36" s="2">
        <f t="shared" si="35"/>
        <v>0</v>
      </c>
      <c r="CQ36" s="33">
        <v>0</v>
      </c>
      <c r="CR36" s="33">
        <v>0</v>
      </c>
      <c r="CS36" s="2">
        <f t="shared" si="36"/>
        <v>0</v>
      </c>
      <c r="CT36" s="33">
        <v>0</v>
      </c>
      <c r="CU36" s="33">
        <v>0</v>
      </c>
      <c r="CV36" s="2">
        <f t="shared" si="37"/>
        <v>0</v>
      </c>
      <c r="CW36" s="28">
        <f t="shared" si="88"/>
        <v>0</v>
      </c>
      <c r="CX36" s="28">
        <f t="shared" si="88"/>
        <v>0</v>
      </c>
      <c r="CY36" s="2">
        <f t="shared" si="39"/>
        <v>0</v>
      </c>
      <c r="CZ36" s="28">
        <f t="shared" si="89"/>
        <v>0</v>
      </c>
      <c r="DA36" s="28">
        <f t="shared" si="89"/>
        <v>0</v>
      </c>
      <c r="DB36" s="2">
        <f t="shared" si="41"/>
        <v>0</v>
      </c>
      <c r="DC36" s="28">
        <f t="shared" si="90"/>
        <v>0</v>
      </c>
      <c r="DD36" s="28">
        <f t="shared" si="90"/>
        <v>0</v>
      </c>
      <c r="DE36" s="2">
        <f t="shared" si="43"/>
        <v>0</v>
      </c>
      <c r="DF36" s="28" t="e">
        <f t="shared" si="44"/>
        <v>#DIV/0!</v>
      </c>
      <c r="DG36" s="28" t="e">
        <f t="shared" si="45"/>
        <v>#DIV/0!</v>
      </c>
      <c r="DH36" s="28" t="e">
        <f t="shared" si="46"/>
        <v>#DIV/0!</v>
      </c>
      <c r="DI36" s="28" t="e">
        <f t="shared" si="47"/>
        <v>#DIV/0!</v>
      </c>
      <c r="DJ36" s="28" t="e">
        <f t="shared" si="48"/>
        <v>#DIV/0!</v>
      </c>
      <c r="DK36" s="28" t="e">
        <f t="shared" si="49"/>
        <v>#DIV/0!</v>
      </c>
      <c r="DL36" s="28" t="e">
        <f t="shared" si="50"/>
        <v>#DIV/0!</v>
      </c>
      <c r="DM36" s="28" t="e">
        <f t="shared" si="51"/>
        <v>#DIV/0!</v>
      </c>
      <c r="DN36" s="28" t="e">
        <f t="shared" si="52"/>
        <v>#DIV/0!</v>
      </c>
      <c r="DO36" s="32">
        <v>249</v>
      </c>
      <c r="DP36" s="32">
        <v>165</v>
      </c>
      <c r="DQ36" s="2">
        <f t="shared" si="78"/>
        <v>414</v>
      </c>
      <c r="DR36" s="32">
        <v>16</v>
      </c>
      <c r="DS36" s="32">
        <v>39</v>
      </c>
      <c r="DT36" s="2">
        <f t="shared" si="79"/>
        <v>55</v>
      </c>
      <c r="DU36" s="32">
        <v>4</v>
      </c>
      <c r="DV36" s="32">
        <v>5</v>
      </c>
      <c r="DW36" s="2">
        <f t="shared" si="80"/>
        <v>9</v>
      </c>
      <c r="DX36" s="32">
        <v>269</v>
      </c>
      <c r="DY36" s="32">
        <v>99</v>
      </c>
      <c r="DZ36" s="2">
        <f t="shared" si="81"/>
        <v>368</v>
      </c>
      <c r="EA36" s="32">
        <v>44</v>
      </c>
      <c r="EB36" s="32">
        <v>38</v>
      </c>
      <c r="EC36" s="2">
        <f t="shared" si="82"/>
        <v>82</v>
      </c>
      <c r="ED36" s="32">
        <v>1</v>
      </c>
      <c r="EE36" s="32">
        <v>4</v>
      </c>
      <c r="EF36" s="2">
        <f t="shared" si="83"/>
        <v>5</v>
      </c>
      <c r="EG36" s="4">
        <f t="shared" si="59"/>
        <v>0</v>
      </c>
      <c r="EH36" s="91">
        <f t="shared" si="60"/>
        <v>0</v>
      </c>
      <c r="EI36" s="4">
        <f t="shared" si="84"/>
        <v>0</v>
      </c>
      <c r="EJ36" s="4">
        <f t="shared" si="62"/>
        <v>0</v>
      </c>
      <c r="EK36" s="4">
        <f t="shared" si="63"/>
        <v>0</v>
      </c>
      <c r="EL36" s="34"/>
    </row>
    <row r="37" spans="1:142" ht="28.5">
      <c r="A37" s="76">
        <v>13</v>
      </c>
      <c r="B37" s="35" t="s">
        <v>70</v>
      </c>
      <c r="C37" s="27" t="s">
        <v>71</v>
      </c>
      <c r="D37" s="63">
        <v>42808</v>
      </c>
      <c r="E37" s="63">
        <v>42823</v>
      </c>
      <c r="F37" s="63">
        <v>42910</v>
      </c>
      <c r="G37" s="63">
        <v>42922</v>
      </c>
      <c r="H37" s="6">
        <v>3415</v>
      </c>
      <c r="I37" s="6">
        <v>397</v>
      </c>
      <c r="J37" s="6">
        <v>3896</v>
      </c>
      <c r="K37" s="2">
        <f t="shared" si="0"/>
        <v>7708</v>
      </c>
      <c r="L37" s="6">
        <v>257196</v>
      </c>
      <c r="M37" s="6">
        <v>37196</v>
      </c>
      <c r="N37" s="6">
        <v>156372</v>
      </c>
      <c r="O37" s="2">
        <f t="shared" si="1"/>
        <v>450764</v>
      </c>
      <c r="P37" s="6">
        <v>131368</v>
      </c>
      <c r="Q37" s="6">
        <v>18583</v>
      </c>
      <c r="R37" s="6">
        <v>99020</v>
      </c>
      <c r="S37" s="2">
        <f t="shared" si="2"/>
        <v>248971</v>
      </c>
      <c r="T37" s="15">
        <f t="shared" si="3"/>
        <v>55.23</v>
      </c>
      <c r="U37" s="6">
        <v>468</v>
      </c>
      <c r="V37" s="6">
        <v>741</v>
      </c>
      <c r="W37" s="6">
        <v>799</v>
      </c>
      <c r="X37" s="6">
        <v>716</v>
      </c>
      <c r="Y37" s="6">
        <v>801</v>
      </c>
      <c r="Z37" s="6">
        <v>878</v>
      </c>
      <c r="AA37" s="6">
        <v>3305</v>
      </c>
      <c r="AB37" s="29">
        <f t="shared" si="4"/>
        <v>0</v>
      </c>
      <c r="AC37" s="30">
        <v>257489</v>
      </c>
      <c r="AD37" s="30">
        <v>193275</v>
      </c>
      <c r="AE37" s="2">
        <f t="shared" si="5"/>
        <v>450764</v>
      </c>
      <c r="AF37" s="31">
        <v>92620</v>
      </c>
      <c r="AG37" s="31">
        <v>78800</v>
      </c>
      <c r="AH37" s="2">
        <f t="shared" si="6"/>
        <v>171420</v>
      </c>
      <c r="AI37" s="31">
        <v>34</v>
      </c>
      <c r="AJ37" s="31">
        <v>29</v>
      </c>
      <c r="AK37" s="2">
        <f t="shared" si="7"/>
        <v>63</v>
      </c>
      <c r="AL37" s="30">
        <v>96315</v>
      </c>
      <c r="AM37" s="30">
        <v>93686</v>
      </c>
      <c r="AN37" s="2">
        <f t="shared" si="8"/>
        <v>190001</v>
      </c>
      <c r="AO37" s="31">
        <v>33029</v>
      </c>
      <c r="AP37" s="31">
        <v>36042</v>
      </c>
      <c r="AQ37" s="2">
        <f t="shared" si="9"/>
        <v>69071</v>
      </c>
      <c r="AR37" s="31">
        <v>21</v>
      </c>
      <c r="AS37" s="31">
        <v>15</v>
      </c>
      <c r="AT37" s="2">
        <f t="shared" si="10"/>
        <v>36</v>
      </c>
      <c r="AU37" s="31">
        <v>35669</v>
      </c>
      <c r="AV37" s="31">
        <v>23301</v>
      </c>
      <c r="AW37" s="2">
        <f t="shared" si="11"/>
        <v>58970</v>
      </c>
      <c r="AX37" s="31">
        <v>7854</v>
      </c>
      <c r="AY37" s="31">
        <v>6182</v>
      </c>
      <c r="AZ37" s="2">
        <f t="shared" si="12"/>
        <v>14036</v>
      </c>
      <c r="BA37" s="31">
        <v>2</v>
      </c>
      <c r="BB37" s="31">
        <v>4</v>
      </c>
      <c r="BC37" s="2">
        <f t="shared" si="13"/>
        <v>6</v>
      </c>
      <c r="BD37" s="28">
        <f t="shared" si="85"/>
        <v>131984</v>
      </c>
      <c r="BE37" s="28">
        <f t="shared" si="85"/>
        <v>116987</v>
      </c>
      <c r="BF37" s="2">
        <f t="shared" si="15"/>
        <v>248971</v>
      </c>
      <c r="BG37" s="28">
        <f t="shared" si="86"/>
        <v>40883</v>
      </c>
      <c r="BH37" s="28">
        <f t="shared" si="86"/>
        <v>42224</v>
      </c>
      <c r="BI37" s="2">
        <f t="shared" si="17"/>
        <v>83107</v>
      </c>
      <c r="BJ37" s="28">
        <f t="shared" si="87"/>
        <v>23</v>
      </c>
      <c r="BK37" s="28">
        <f t="shared" si="87"/>
        <v>19</v>
      </c>
      <c r="BL37" s="2">
        <f t="shared" si="19"/>
        <v>42</v>
      </c>
      <c r="BM37" s="28">
        <f t="shared" si="20"/>
        <v>51.26</v>
      </c>
      <c r="BN37" s="28">
        <f t="shared" si="21"/>
        <v>60.53</v>
      </c>
      <c r="BO37" s="28">
        <f t="shared" si="22"/>
        <v>55.23</v>
      </c>
      <c r="BP37" s="28">
        <f t="shared" si="23"/>
        <v>44.14</v>
      </c>
      <c r="BQ37" s="28">
        <f t="shared" si="24"/>
        <v>53.58</v>
      </c>
      <c r="BR37" s="28">
        <f t="shared" si="25"/>
        <v>48.48</v>
      </c>
      <c r="BS37" s="28">
        <f t="shared" si="26"/>
        <v>67.650000000000006</v>
      </c>
      <c r="BT37" s="28">
        <f t="shared" si="27"/>
        <v>65.52</v>
      </c>
      <c r="BU37" s="28">
        <f t="shared" si="28"/>
        <v>66.67</v>
      </c>
      <c r="BV37" s="30">
        <v>0</v>
      </c>
      <c r="BW37" s="30">
        <v>0</v>
      </c>
      <c r="BX37" s="2">
        <f t="shared" si="29"/>
        <v>0</v>
      </c>
      <c r="BY37" s="31">
        <v>0</v>
      </c>
      <c r="BZ37" s="31">
        <v>0</v>
      </c>
      <c r="CA37" s="2">
        <f t="shared" si="76"/>
        <v>0</v>
      </c>
      <c r="CB37" s="31">
        <v>0</v>
      </c>
      <c r="CC37" s="31">
        <v>0</v>
      </c>
      <c r="CD37" s="2">
        <f t="shared" si="31"/>
        <v>0</v>
      </c>
      <c r="CE37" s="30">
        <v>0</v>
      </c>
      <c r="CF37" s="30">
        <v>0</v>
      </c>
      <c r="CG37" s="2">
        <f t="shared" si="77"/>
        <v>0</v>
      </c>
      <c r="CH37" s="31">
        <v>0</v>
      </c>
      <c r="CI37" s="31">
        <v>0</v>
      </c>
      <c r="CJ37" s="2">
        <f t="shared" si="33"/>
        <v>0</v>
      </c>
      <c r="CK37" s="31">
        <v>0</v>
      </c>
      <c r="CL37" s="31">
        <v>0</v>
      </c>
      <c r="CM37" s="2">
        <f t="shared" si="34"/>
        <v>0</v>
      </c>
      <c r="CN37" s="31">
        <v>0</v>
      </c>
      <c r="CO37" s="31">
        <v>0</v>
      </c>
      <c r="CP37" s="2">
        <f t="shared" si="35"/>
        <v>0</v>
      </c>
      <c r="CQ37" s="31">
        <v>0</v>
      </c>
      <c r="CR37" s="31">
        <v>0</v>
      </c>
      <c r="CS37" s="2">
        <f t="shared" si="36"/>
        <v>0</v>
      </c>
      <c r="CT37" s="31">
        <v>0</v>
      </c>
      <c r="CU37" s="31">
        <v>0</v>
      </c>
      <c r="CV37" s="2">
        <f t="shared" si="37"/>
        <v>0</v>
      </c>
      <c r="CW37" s="28">
        <f t="shared" si="88"/>
        <v>0</v>
      </c>
      <c r="CX37" s="28">
        <f t="shared" si="88"/>
        <v>0</v>
      </c>
      <c r="CY37" s="2">
        <f t="shared" si="39"/>
        <v>0</v>
      </c>
      <c r="CZ37" s="28">
        <f t="shared" si="89"/>
        <v>0</v>
      </c>
      <c r="DA37" s="28">
        <f t="shared" si="89"/>
        <v>0</v>
      </c>
      <c r="DB37" s="2">
        <f t="shared" si="41"/>
        <v>0</v>
      </c>
      <c r="DC37" s="28">
        <f t="shared" si="90"/>
        <v>0</v>
      </c>
      <c r="DD37" s="28">
        <f t="shared" si="90"/>
        <v>0</v>
      </c>
      <c r="DE37" s="2">
        <f t="shared" si="43"/>
        <v>0</v>
      </c>
      <c r="DF37" s="28" t="e">
        <f t="shared" si="44"/>
        <v>#DIV/0!</v>
      </c>
      <c r="DG37" s="28" t="e">
        <f t="shared" si="45"/>
        <v>#DIV/0!</v>
      </c>
      <c r="DH37" s="28" t="e">
        <f t="shared" si="46"/>
        <v>#DIV/0!</v>
      </c>
      <c r="DI37" s="28" t="e">
        <f t="shared" si="47"/>
        <v>#DIV/0!</v>
      </c>
      <c r="DJ37" s="28" t="e">
        <f t="shared" si="48"/>
        <v>#DIV/0!</v>
      </c>
      <c r="DK37" s="28" t="e">
        <f t="shared" si="49"/>
        <v>#DIV/0!</v>
      </c>
      <c r="DL37" s="28" t="e">
        <f t="shared" si="50"/>
        <v>#DIV/0!</v>
      </c>
      <c r="DM37" s="28" t="e">
        <f t="shared" si="51"/>
        <v>#DIV/0!</v>
      </c>
      <c r="DN37" s="28" t="e">
        <f t="shared" si="52"/>
        <v>#DIV/0!</v>
      </c>
      <c r="DO37" s="32">
        <v>92147</v>
      </c>
      <c r="DP37" s="32">
        <v>98190</v>
      </c>
      <c r="DQ37" s="2">
        <f t="shared" si="78"/>
        <v>190337</v>
      </c>
      <c r="DR37" s="32">
        <v>26097</v>
      </c>
      <c r="DS37" s="32">
        <v>33745</v>
      </c>
      <c r="DT37" s="2">
        <f t="shared" si="79"/>
        <v>59842</v>
      </c>
      <c r="DU37" s="32">
        <v>18</v>
      </c>
      <c r="DV37" s="32">
        <v>17</v>
      </c>
      <c r="DW37" s="2">
        <f t="shared" si="80"/>
        <v>35</v>
      </c>
      <c r="DX37" s="32">
        <v>39840</v>
      </c>
      <c r="DY37" s="32">
        <v>18794</v>
      </c>
      <c r="DZ37" s="2">
        <f t="shared" si="81"/>
        <v>58634</v>
      </c>
      <c r="EA37" s="32">
        <v>14786</v>
      </c>
      <c r="EB37" s="32">
        <v>8479</v>
      </c>
      <c r="EC37" s="2">
        <f t="shared" si="82"/>
        <v>23265</v>
      </c>
      <c r="ED37" s="32">
        <v>5</v>
      </c>
      <c r="EE37" s="32">
        <v>2</v>
      </c>
      <c r="EF37" s="2">
        <f t="shared" si="83"/>
        <v>7</v>
      </c>
      <c r="EG37" s="4">
        <f t="shared" si="59"/>
        <v>0</v>
      </c>
      <c r="EH37" s="91">
        <f t="shared" si="60"/>
        <v>0</v>
      </c>
      <c r="EI37" s="4">
        <f t="shared" si="84"/>
        <v>0</v>
      </c>
      <c r="EJ37" s="4">
        <f t="shared" si="62"/>
        <v>0</v>
      </c>
      <c r="EK37" s="4">
        <f t="shared" si="63"/>
        <v>0</v>
      </c>
      <c r="EL37" s="34"/>
    </row>
    <row r="38" spans="1:142" ht="28.5">
      <c r="A38" s="51">
        <v>17</v>
      </c>
      <c r="B38" s="43" t="s">
        <v>79</v>
      </c>
      <c r="C38" s="48" t="s">
        <v>80</v>
      </c>
      <c r="D38" s="64">
        <v>42783</v>
      </c>
      <c r="E38" s="64">
        <v>42804</v>
      </c>
      <c r="F38" s="64">
        <v>42943</v>
      </c>
      <c r="G38" s="64">
        <v>42947</v>
      </c>
      <c r="H38" s="46">
        <v>4067</v>
      </c>
      <c r="I38" s="46">
        <v>0</v>
      </c>
      <c r="J38" s="46">
        <v>2531</v>
      </c>
      <c r="K38" s="2">
        <f t="shared" si="0"/>
        <v>6598</v>
      </c>
      <c r="L38" s="46">
        <v>283943</v>
      </c>
      <c r="M38" s="46">
        <v>0</v>
      </c>
      <c r="N38" s="46">
        <v>98813</v>
      </c>
      <c r="O38" s="2">
        <f t="shared" si="1"/>
        <v>382756</v>
      </c>
      <c r="P38" s="46">
        <v>150813</v>
      </c>
      <c r="Q38" s="46">
        <v>0</v>
      </c>
      <c r="R38" s="46">
        <v>67383</v>
      </c>
      <c r="S38" s="2">
        <f t="shared" si="2"/>
        <v>218196</v>
      </c>
      <c r="T38" s="15">
        <f t="shared" si="3"/>
        <v>57.01</v>
      </c>
      <c r="U38" s="46">
        <v>214</v>
      </c>
      <c r="V38" s="46">
        <v>401</v>
      </c>
      <c r="W38" s="46">
        <v>429</v>
      </c>
      <c r="X38" s="46">
        <v>510</v>
      </c>
      <c r="Y38" s="46">
        <v>669</v>
      </c>
      <c r="Z38" s="46">
        <v>846</v>
      </c>
      <c r="AA38" s="46">
        <v>3529</v>
      </c>
      <c r="AB38" s="29">
        <f t="shared" si="4"/>
        <v>0</v>
      </c>
      <c r="AC38" s="46">
        <v>188722</v>
      </c>
      <c r="AD38" s="46">
        <v>194034</v>
      </c>
      <c r="AE38" s="46">
        <f t="shared" si="5"/>
        <v>382756</v>
      </c>
      <c r="AF38" s="46">
        <v>17883</v>
      </c>
      <c r="AG38" s="46">
        <v>18381</v>
      </c>
      <c r="AH38" s="46">
        <f t="shared" si="6"/>
        <v>36264</v>
      </c>
      <c r="AI38" s="46">
        <v>37511</v>
      </c>
      <c r="AJ38" s="46">
        <v>37393</v>
      </c>
      <c r="AK38" s="2">
        <f t="shared" si="7"/>
        <v>74904</v>
      </c>
      <c r="AL38" s="46">
        <v>93479</v>
      </c>
      <c r="AM38" s="46">
        <v>90464</v>
      </c>
      <c r="AN38" s="46">
        <f t="shared" si="8"/>
        <v>183943</v>
      </c>
      <c r="AO38" s="46">
        <v>7656</v>
      </c>
      <c r="AP38" s="46">
        <v>7191</v>
      </c>
      <c r="AQ38" s="46">
        <f t="shared" si="9"/>
        <v>14847</v>
      </c>
      <c r="AR38" s="46">
        <v>15255</v>
      </c>
      <c r="AS38" s="46">
        <v>14072</v>
      </c>
      <c r="AT38" s="46">
        <f t="shared" si="10"/>
        <v>29327</v>
      </c>
      <c r="AU38" s="46">
        <v>17722</v>
      </c>
      <c r="AV38" s="46">
        <v>16531</v>
      </c>
      <c r="AW38" s="46">
        <f t="shared" si="11"/>
        <v>34253</v>
      </c>
      <c r="AX38" s="46">
        <v>1889</v>
      </c>
      <c r="AY38" s="46">
        <v>1770</v>
      </c>
      <c r="AZ38" s="2">
        <f t="shared" si="12"/>
        <v>3659</v>
      </c>
      <c r="BA38" s="46">
        <v>4510</v>
      </c>
      <c r="BB38" s="46">
        <v>3957</v>
      </c>
      <c r="BC38" s="46">
        <f t="shared" si="13"/>
        <v>8467</v>
      </c>
      <c r="BD38" s="46">
        <f t="shared" si="85"/>
        <v>111201</v>
      </c>
      <c r="BE38" s="46">
        <f t="shared" si="85"/>
        <v>106995</v>
      </c>
      <c r="BF38" s="46">
        <f t="shared" si="15"/>
        <v>218196</v>
      </c>
      <c r="BG38" s="46">
        <f t="shared" si="86"/>
        <v>9545</v>
      </c>
      <c r="BH38" s="46">
        <f t="shared" si="86"/>
        <v>8961</v>
      </c>
      <c r="BI38" s="46">
        <f t="shared" si="17"/>
        <v>18506</v>
      </c>
      <c r="BJ38" s="46">
        <f t="shared" si="87"/>
        <v>19765</v>
      </c>
      <c r="BK38" s="46">
        <f t="shared" si="87"/>
        <v>18029</v>
      </c>
      <c r="BL38" s="46">
        <f t="shared" si="19"/>
        <v>37794</v>
      </c>
      <c r="BM38" s="46">
        <f t="shared" si="20"/>
        <v>58.92</v>
      </c>
      <c r="BN38" s="46">
        <f t="shared" si="21"/>
        <v>55.14</v>
      </c>
      <c r="BO38" s="46">
        <f t="shared" si="22"/>
        <v>57.01</v>
      </c>
      <c r="BP38" s="46">
        <f t="shared" si="23"/>
        <v>53.37</v>
      </c>
      <c r="BQ38" s="46">
        <f t="shared" si="24"/>
        <v>48.75</v>
      </c>
      <c r="BR38" s="46">
        <f t="shared" si="25"/>
        <v>51.03</v>
      </c>
      <c r="BS38" s="46">
        <f t="shared" si="26"/>
        <v>52.69</v>
      </c>
      <c r="BT38" s="46">
        <f t="shared" si="27"/>
        <v>48.21</v>
      </c>
      <c r="BU38" s="46">
        <f t="shared" si="28"/>
        <v>50.46</v>
      </c>
      <c r="BV38" s="46">
        <v>0</v>
      </c>
      <c r="BW38" s="46">
        <v>0</v>
      </c>
      <c r="BX38" s="46">
        <f t="shared" si="29"/>
        <v>0</v>
      </c>
      <c r="BY38" s="46">
        <v>0</v>
      </c>
      <c r="BZ38" s="46">
        <v>0</v>
      </c>
      <c r="CA38" s="2">
        <f t="shared" si="76"/>
        <v>0</v>
      </c>
      <c r="CB38" s="46">
        <v>0</v>
      </c>
      <c r="CC38" s="46">
        <v>0</v>
      </c>
      <c r="CD38" s="2">
        <f t="shared" si="31"/>
        <v>0</v>
      </c>
      <c r="CE38" s="46">
        <v>0</v>
      </c>
      <c r="CF38" s="46">
        <v>0</v>
      </c>
      <c r="CG38" s="46">
        <f t="shared" si="77"/>
        <v>0</v>
      </c>
      <c r="CH38" s="46">
        <v>0</v>
      </c>
      <c r="CI38" s="46">
        <v>0</v>
      </c>
      <c r="CJ38" s="2">
        <f t="shared" si="33"/>
        <v>0</v>
      </c>
      <c r="CK38" s="46">
        <v>0</v>
      </c>
      <c r="CL38" s="46">
        <v>0</v>
      </c>
      <c r="CM38" s="2">
        <f t="shared" si="34"/>
        <v>0</v>
      </c>
      <c r="CN38" s="46">
        <v>0</v>
      </c>
      <c r="CO38" s="46">
        <v>0</v>
      </c>
      <c r="CP38" s="2">
        <f t="shared" si="35"/>
        <v>0</v>
      </c>
      <c r="CQ38" s="46">
        <v>0</v>
      </c>
      <c r="CR38" s="46">
        <v>0</v>
      </c>
      <c r="CS38" s="2">
        <f t="shared" si="36"/>
        <v>0</v>
      </c>
      <c r="CT38" s="46">
        <v>0</v>
      </c>
      <c r="CU38" s="46">
        <v>0</v>
      </c>
      <c r="CV38" s="2">
        <f t="shared" si="37"/>
        <v>0</v>
      </c>
      <c r="CW38" s="46">
        <f t="shared" si="88"/>
        <v>0</v>
      </c>
      <c r="CX38" s="46">
        <f t="shared" si="88"/>
        <v>0</v>
      </c>
      <c r="CY38" s="46">
        <f t="shared" si="39"/>
        <v>0</v>
      </c>
      <c r="CZ38" s="28">
        <f t="shared" si="89"/>
        <v>0</v>
      </c>
      <c r="DA38" s="28">
        <f t="shared" si="89"/>
        <v>0</v>
      </c>
      <c r="DB38" s="2">
        <f t="shared" si="41"/>
        <v>0</v>
      </c>
      <c r="DC38" s="28">
        <f t="shared" si="90"/>
        <v>0</v>
      </c>
      <c r="DD38" s="28">
        <f t="shared" si="90"/>
        <v>0</v>
      </c>
      <c r="DE38" s="2">
        <f t="shared" si="43"/>
        <v>0</v>
      </c>
      <c r="DF38" s="46" t="e">
        <f t="shared" si="44"/>
        <v>#DIV/0!</v>
      </c>
      <c r="DG38" s="46" t="e">
        <f t="shared" si="45"/>
        <v>#DIV/0!</v>
      </c>
      <c r="DH38" s="46" t="e">
        <f t="shared" si="46"/>
        <v>#DIV/0!</v>
      </c>
      <c r="DI38" s="28" t="e">
        <f t="shared" si="47"/>
        <v>#DIV/0!</v>
      </c>
      <c r="DJ38" s="28" t="e">
        <f t="shared" si="48"/>
        <v>#DIV/0!</v>
      </c>
      <c r="DK38" s="28" t="e">
        <f t="shared" si="49"/>
        <v>#DIV/0!</v>
      </c>
      <c r="DL38" s="28" t="e">
        <f t="shared" si="50"/>
        <v>#DIV/0!</v>
      </c>
      <c r="DM38" s="28" t="e">
        <f t="shared" si="51"/>
        <v>#DIV/0!</v>
      </c>
      <c r="DN38" s="28" t="e">
        <f t="shared" si="52"/>
        <v>#DIV/0!</v>
      </c>
      <c r="DO38" s="46">
        <v>25995</v>
      </c>
      <c r="DP38" s="46">
        <v>30514</v>
      </c>
      <c r="DQ38" s="46">
        <f t="shared" si="78"/>
        <v>56509</v>
      </c>
      <c r="DR38" s="46">
        <v>1922</v>
      </c>
      <c r="DS38" s="46">
        <v>1726</v>
      </c>
      <c r="DT38" s="46">
        <f t="shared" si="79"/>
        <v>3648</v>
      </c>
      <c r="DU38" s="46">
        <v>3797</v>
      </c>
      <c r="DV38" s="46">
        <v>3250</v>
      </c>
      <c r="DW38" s="46">
        <f t="shared" si="80"/>
        <v>7047</v>
      </c>
      <c r="DX38" s="46">
        <v>74381</v>
      </c>
      <c r="DY38" s="46">
        <v>87306</v>
      </c>
      <c r="DZ38" s="2">
        <f t="shared" si="81"/>
        <v>161687</v>
      </c>
      <c r="EA38" s="46">
        <v>7623</v>
      </c>
      <c r="EB38" s="46">
        <v>7235</v>
      </c>
      <c r="EC38" s="2">
        <f t="shared" si="82"/>
        <v>14858</v>
      </c>
      <c r="ED38" s="46">
        <v>15968</v>
      </c>
      <c r="EE38" s="46">
        <v>14779</v>
      </c>
      <c r="EF38" s="2">
        <f t="shared" si="83"/>
        <v>30747</v>
      </c>
      <c r="EG38" s="4">
        <f t="shared" si="59"/>
        <v>0</v>
      </c>
      <c r="EH38" s="91">
        <f t="shared" si="60"/>
        <v>0</v>
      </c>
      <c r="EI38" s="4">
        <f t="shared" si="84"/>
        <v>0</v>
      </c>
      <c r="EJ38" s="4">
        <f t="shared" si="62"/>
        <v>0</v>
      </c>
      <c r="EK38" s="4">
        <f t="shared" si="63"/>
        <v>0</v>
      </c>
    </row>
    <row r="39" spans="1:142" ht="30">
      <c r="A39" s="51">
        <v>40</v>
      </c>
      <c r="B39" s="48" t="s">
        <v>125</v>
      </c>
      <c r="C39" s="48" t="s">
        <v>119</v>
      </c>
      <c r="D39" s="65" t="s">
        <v>75</v>
      </c>
      <c r="E39" s="65" t="s">
        <v>75</v>
      </c>
      <c r="F39" s="65" t="s">
        <v>75</v>
      </c>
      <c r="G39" s="65" t="s">
        <v>75</v>
      </c>
      <c r="H39" s="46">
        <v>0</v>
      </c>
      <c r="I39" s="46">
        <v>0</v>
      </c>
      <c r="J39" s="46">
        <v>0</v>
      </c>
      <c r="K39" s="46">
        <f t="shared" si="0"/>
        <v>0</v>
      </c>
      <c r="L39" s="46">
        <v>0</v>
      </c>
      <c r="M39" s="46">
        <v>0</v>
      </c>
      <c r="N39" s="46">
        <v>0</v>
      </c>
      <c r="O39" s="46">
        <f t="shared" si="1"/>
        <v>0</v>
      </c>
      <c r="P39" s="46">
        <v>0</v>
      </c>
      <c r="Q39" s="46">
        <v>0</v>
      </c>
      <c r="R39" s="46">
        <v>283725</v>
      </c>
      <c r="S39" s="46">
        <f t="shared" si="2"/>
        <v>283725</v>
      </c>
      <c r="T39" s="46" t="e">
        <f t="shared" si="3"/>
        <v>#DIV/0!</v>
      </c>
      <c r="U39" s="46">
        <v>5059</v>
      </c>
      <c r="V39" s="46">
        <v>4841</v>
      </c>
      <c r="W39" s="46">
        <v>1506</v>
      </c>
      <c r="X39" s="46">
        <v>489</v>
      </c>
      <c r="Y39" s="46">
        <v>182</v>
      </c>
      <c r="Z39" s="46">
        <v>69</v>
      </c>
      <c r="AA39" s="46">
        <v>42</v>
      </c>
      <c r="AB39" s="47">
        <f t="shared" si="4"/>
        <v>-12188</v>
      </c>
      <c r="AC39" s="46">
        <v>490870</v>
      </c>
      <c r="AD39" s="46">
        <v>491227</v>
      </c>
      <c r="AE39" s="46">
        <f t="shared" si="5"/>
        <v>982097</v>
      </c>
      <c r="AF39" s="46">
        <v>117953</v>
      </c>
      <c r="AG39" s="46">
        <v>123166</v>
      </c>
      <c r="AH39" s="46">
        <f t="shared" si="6"/>
        <v>241119</v>
      </c>
      <c r="AI39" s="46">
        <v>4798</v>
      </c>
      <c r="AJ39" s="46">
        <v>4849</v>
      </c>
      <c r="AK39" s="46">
        <f t="shared" si="7"/>
        <v>9647</v>
      </c>
      <c r="AL39" s="46">
        <v>454212</v>
      </c>
      <c r="AM39" s="46">
        <v>472499</v>
      </c>
      <c r="AN39" s="46">
        <f t="shared" si="8"/>
        <v>926711</v>
      </c>
      <c r="AO39" s="46">
        <v>103904</v>
      </c>
      <c r="AP39" s="46">
        <v>11458</v>
      </c>
      <c r="AQ39" s="46">
        <f t="shared" si="9"/>
        <v>115362</v>
      </c>
      <c r="AR39" s="46">
        <v>4200</v>
      </c>
      <c r="AS39" s="46">
        <v>4357</v>
      </c>
      <c r="AT39" s="46">
        <f t="shared" si="10"/>
        <v>8557</v>
      </c>
      <c r="AU39" s="46"/>
      <c r="AV39" s="46"/>
      <c r="AW39" s="46">
        <f t="shared" si="11"/>
        <v>0</v>
      </c>
      <c r="AX39" s="46"/>
      <c r="AY39" s="46"/>
      <c r="AZ39" s="46">
        <f t="shared" si="12"/>
        <v>0</v>
      </c>
      <c r="BA39" s="46"/>
      <c r="BB39" s="46"/>
      <c r="BC39" s="46">
        <f t="shared" si="13"/>
        <v>0</v>
      </c>
      <c r="BD39" s="46"/>
      <c r="BE39" s="46"/>
      <c r="BF39" s="46">
        <f t="shared" si="15"/>
        <v>0</v>
      </c>
      <c r="BG39" s="46"/>
      <c r="BH39" s="46"/>
      <c r="BI39" s="46">
        <f t="shared" si="17"/>
        <v>0</v>
      </c>
      <c r="BJ39" s="46"/>
      <c r="BK39" s="46"/>
      <c r="BL39" s="46">
        <f t="shared" si="19"/>
        <v>0</v>
      </c>
      <c r="BM39" s="46">
        <f t="shared" si="20"/>
        <v>0</v>
      </c>
      <c r="BN39" s="46">
        <f t="shared" si="21"/>
        <v>0</v>
      </c>
      <c r="BO39" s="46">
        <f t="shared" si="22"/>
        <v>0</v>
      </c>
      <c r="BP39" s="46">
        <f t="shared" si="23"/>
        <v>0</v>
      </c>
      <c r="BQ39" s="46">
        <f t="shared" si="24"/>
        <v>0</v>
      </c>
      <c r="BR39" s="46">
        <f t="shared" si="25"/>
        <v>0</v>
      </c>
      <c r="BS39" s="46">
        <f t="shared" si="26"/>
        <v>0</v>
      </c>
      <c r="BT39" s="46">
        <f t="shared" si="27"/>
        <v>0</v>
      </c>
      <c r="BU39" s="46">
        <f t="shared" si="28"/>
        <v>0</v>
      </c>
      <c r="BV39" s="46">
        <v>31867</v>
      </c>
      <c r="BW39" s="46">
        <v>11940</v>
      </c>
      <c r="BX39" s="46">
        <f t="shared" si="29"/>
        <v>43807</v>
      </c>
      <c r="BY39" s="46">
        <v>10394</v>
      </c>
      <c r="BZ39" s="46">
        <v>3967</v>
      </c>
      <c r="CA39" s="46">
        <f t="shared" si="76"/>
        <v>14361</v>
      </c>
      <c r="CB39" s="46">
        <v>327</v>
      </c>
      <c r="CC39" s="46">
        <v>150</v>
      </c>
      <c r="CD39" s="46">
        <f t="shared" si="31"/>
        <v>477</v>
      </c>
      <c r="CE39" s="46">
        <v>7495</v>
      </c>
      <c r="CF39" s="46">
        <v>4347</v>
      </c>
      <c r="CG39" s="46">
        <f t="shared" si="77"/>
        <v>11842</v>
      </c>
      <c r="CH39" s="46">
        <v>2183</v>
      </c>
      <c r="CI39" s="46">
        <v>1211</v>
      </c>
      <c r="CJ39" s="46">
        <f t="shared" si="33"/>
        <v>3394</v>
      </c>
      <c r="CK39" s="46">
        <v>69</v>
      </c>
      <c r="CL39" s="46">
        <v>46</v>
      </c>
      <c r="CM39" s="46">
        <f t="shared" si="34"/>
        <v>115</v>
      </c>
      <c r="CN39" s="46">
        <v>0</v>
      </c>
      <c r="CO39" s="46">
        <v>0</v>
      </c>
      <c r="CP39" s="46">
        <f t="shared" si="35"/>
        <v>0</v>
      </c>
      <c r="CQ39" s="46">
        <v>0</v>
      </c>
      <c r="CR39" s="46">
        <v>0</v>
      </c>
      <c r="CS39" s="46">
        <f t="shared" si="36"/>
        <v>0</v>
      </c>
      <c r="CT39" s="46">
        <v>0</v>
      </c>
      <c r="CU39" s="46">
        <v>0</v>
      </c>
      <c r="CV39" s="46">
        <f t="shared" si="37"/>
        <v>0</v>
      </c>
      <c r="CW39" s="46">
        <v>0</v>
      </c>
      <c r="CX39" s="46">
        <v>0</v>
      </c>
      <c r="CY39" s="46">
        <f t="shared" si="39"/>
        <v>0</v>
      </c>
      <c r="CZ39" s="46">
        <v>0</v>
      </c>
      <c r="DA39" s="46">
        <v>0</v>
      </c>
      <c r="DB39" s="46">
        <f t="shared" si="41"/>
        <v>0</v>
      </c>
      <c r="DC39" s="46">
        <v>0</v>
      </c>
      <c r="DD39" s="46">
        <v>0</v>
      </c>
      <c r="DE39" s="46">
        <f t="shared" si="43"/>
        <v>0</v>
      </c>
      <c r="DF39" s="46">
        <f t="shared" si="44"/>
        <v>0</v>
      </c>
      <c r="DG39" s="46">
        <f t="shared" si="45"/>
        <v>0</v>
      </c>
      <c r="DH39" s="46">
        <f t="shared" si="46"/>
        <v>0</v>
      </c>
      <c r="DI39" s="46">
        <f t="shared" si="47"/>
        <v>0</v>
      </c>
      <c r="DJ39" s="46">
        <f t="shared" si="48"/>
        <v>0</v>
      </c>
      <c r="DK39" s="46">
        <f t="shared" si="49"/>
        <v>0</v>
      </c>
      <c r="DL39" s="46">
        <f t="shared" si="50"/>
        <v>0</v>
      </c>
      <c r="DM39" s="46">
        <f t="shared" si="51"/>
        <v>0</v>
      </c>
      <c r="DN39" s="46">
        <f t="shared" si="52"/>
        <v>0</v>
      </c>
      <c r="DO39" s="46">
        <v>348603</v>
      </c>
      <c r="DP39" s="46">
        <v>406794</v>
      </c>
      <c r="DQ39" s="46">
        <f t="shared" si="78"/>
        <v>755397</v>
      </c>
      <c r="DR39" s="46">
        <v>69963</v>
      </c>
      <c r="DS39" s="46">
        <v>89856</v>
      </c>
      <c r="DT39" s="46">
        <f t="shared" si="79"/>
        <v>159819</v>
      </c>
      <c r="DU39" s="46">
        <v>2751</v>
      </c>
      <c r="DV39" s="46">
        <v>3029</v>
      </c>
      <c r="DW39" s="46">
        <f t="shared" si="80"/>
        <v>5780</v>
      </c>
      <c r="DX39" s="46">
        <v>105609</v>
      </c>
      <c r="DY39" s="46">
        <v>65705</v>
      </c>
      <c r="DZ39" s="46">
        <f t="shared" si="81"/>
        <v>171314</v>
      </c>
      <c r="EA39" s="46">
        <v>33941</v>
      </c>
      <c r="EB39" s="46">
        <v>25002</v>
      </c>
      <c r="EC39" s="46">
        <f t="shared" si="82"/>
        <v>58943</v>
      </c>
      <c r="ED39" s="46">
        <v>1449</v>
      </c>
      <c r="EE39" s="46">
        <v>1328</v>
      </c>
      <c r="EF39" s="46">
        <f t="shared" si="83"/>
        <v>2777</v>
      </c>
      <c r="EG39" s="46">
        <f t="shared" si="59"/>
        <v>-1025904</v>
      </c>
      <c r="EH39" s="46">
        <f t="shared" si="60"/>
        <v>283725</v>
      </c>
      <c r="EI39" s="46">
        <f t="shared" si="84"/>
        <v>926711</v>
      </c>
      <c r="EJ39" s="46">
        <f t="shared" si="62"/>
        <v>218762</v>
      </c>
      <c r="EK39" s="46">
        <f t="shared" si="63"/>
        <v>8557</v>
      </c>
    </row>
    <row r="40" spans="1:142" ht="30">
      <c r="A40" s="51">
        <v>26</v>
      </c>
      <c r="B40" s="45" t="s">
        <v>102</v>
      </c>
      <c r="C40" s="48" t="s">
        <v>103</v>
      </c>
      <c r="D40" s="64">
        <v>42797</v>
      </c>
      <c r="E40" s="64">
        <v>42817</v>
      </c>
      <c r="F40" s="65" t="s">
        <v>75</v>
      </c>
      <c r="G40" s="65" t="s">
        <v>75</v>
      </c>
      <c r="H40" s="46">
        <v>956</v>
      </c>
      <c r="I40" s="46">
        <v>0</v>
      </c>
      <c r="J40" s="46">
        <v>0</v>
      </c>
      <c r="K40" s="46">
        <f t="shared" si="0"/>
        <v>956</v>
      </c>
      <c r="L40" s="46">
        <v>49374</v>
      </c>
      <c r="M40" s="46">
        <v>0</v>
      </c>
      <c r="N40" s="46">
        <v>0</v>
      </c>
      <c r="O40" s="46">
        <f t="shared" si="1"/>
        <v>49374</v>
      </c>
      <c r="P40" s="46">
        <v>29289</v>
      </c>
      <c r="Q40" s="46">
        <v>0</v>
      </c>
      <c r="R40" s="46">
        <v>0</v>
      </c>
      <c r="S40" s="46">
        <f t="shared" si="2"/>
        <v>29289</v>
      </c>
      <c r="T40" s="46">
        <f t="shared" si="3"/>
        <v>59.32</v>
      </c>
      <c r="U40" s="46">
        <v>1598</v>
      </c>
      <c r="V40" s="46">
        <v>51</v>
      </c>
      <c r="W40" s="46">
        <v>67</v>
      </c>
      <c r="X40" s="46">
        <v>119</v>
      </c>
      <c r="Y40" s="46">
        <v>126</v>
      </c>
      <c r="Z40" s="46">
        <v>139</v>
      </c>
      <c r="AA40" s="46">
        <v>335</v>
      </c>
      <c r="AB40" s="47">
        <f t="shared" si="4"/>
        <v>-1479</v>
      </c>
      <c r="AC40" s="46">
        <v>23837</v>
      </c>
      <c r="AD40" s="46">
        <v>24516</v>
      </c>
      <c r="AE40" s="46">
        <f t="shared" si="5"/>
        <v>48353</v>
      </c>
      <c r="AF40" s="46">
        <v>4644</v>
      </c>
      <c r="AG40" s="46">
        <v>4581</v>
      </c>
      <c r="AH40" s="46">
        <f t="shared" si="6"/>
        <v>9225</v>
      </c>
      <c r="AI40" s="46">
        <v>7905</v>
      </c>
      <c r="AJ40" s="46">
        <v>7934</v>
      </c>
      <c r="AK40" s="46">
        <f t="shared" si="7"/>
        <v>15839</v>
      </c>
      <c r="AL40" s="46">
        <v>14724</v>
      </c>
      <c r="AM40" s="46">
        <v>14279</v>
      </c>
      <c r="AN40" s="46">
        <f t="shared" si="8"/>
        <v>29003</v>
      </c>
      <c r="AO40" s="46">
        <v>3091</v>
      </c>
      <c r="AP40" s="46">
        <v>2989</v>
      </c>
      <c r="AQ40" s="46">
        <f t="shared" si="9"/>
        <v>6080</v>
      </c>
      <c r="AR40" s="46">
        <v>3614</v>
      </c>
      <c r="AS40" s="46">
        <v>3023</v>
      </c>
      <c r="AT40" s="46">
        <f t="shared" si="10"/>
        <v>6637</v>
      </c>
      <c r="AU40" s="46">
        <v>0</v>
      </c>
      <c r="AV40" s="46">
        <v>0</v>
      </c>
      <c r="AW40" s="46">
        <f t="shared" si="11"/>
        <v>0</v>
      </c>
      <c r="AX40" s="46">
        <v>0</v>
      </c>
      <c r="AY40" s="46">
        <v>0</v>
      </c>
      <c r="AZ40" s="46">
        <f t="shared" si="12"/>
        <v>0</v>
      </c>
      <c r="BA40" s="46">
        <v>0</v>
      </c>
      <c r="BB40" s="46">
        <v>0</v>
      </c>
      <c r="BC40" s="46">
        <f t="shared" si="13"/>
        <v>0</v>
      </c>
      <c r="BD40" s="46">
        <f>AL40+AU40</f>
        <v>14724</v>
      </c>
      <c r="BE40" s="46">
        <f>AM40+AV40</f>
        <v>14279</v>
      </c>
      <c r="BF40" s="46">
        <f t="shared" si="15"/>
        <v>29003</v>
      </c>
      <c r="BG40" s="46">
        <f>AO40+AX40</f>
        <v>3091</v>
      </c>
      <c r="BH40" s="46">
        <f>AP40+AY40</f>
        <v>2989</v>
      </c>
      <c r="BI40" s="46">
        <f t="shared" si="17"/>
        <v>6080</v>
      </c>
      <c r="BJ40" s="46">
        <f>AR40+BA40</f>
        <v>3614</v>
      </c>
      <c r="BK40" s="46">
        <f>AS40+BB40</f>
        <v>3023</v>
      </c>
      <c r="BL40" s="46">
        <f t="shared" si="19"/>
        <v>6637</v>
      </c>
      <c r="BM40" s="46">
        <f t="shared" si="20"/>
        <v>61.77</v>
      </c>
      <c r="BN40" s="46">
        <f t="shared" si="21"/>
        <v>58.24</v>
      </c>
      <c r="BO40" s="46">
        <f t="shared" si="22"/>
        <v>59.98</v>
      </c>
      <c r="BP40" s="46">
        <f t="shared" si="23"/>
        <v>66.56</v>
      </c>
      <c r="BQ40" s="46">
        <f t="shared" si="24"/>
        <v>65.25</v>
      </c>
      <c r="BR40" s="46">
        <f t="shared" si="25"/>
        <v>65.91</v>
      </c>
      <c r="BS40" s="46">
        <f t="shared" si="26"/>
        <v>45.72</v>
      </c>
      <c r="BT40" s="46">
        <f t="shared" si="27"/>
        <v>38.1</v>
      </c>
      <c r="BU40" s="46">
        <f t="shared" si="28"/>
        <v>41.9</v>
      </c>
      <c r="BV40" s="46">
        <v>488</v>
      </c>
      <c r="BW40" s="46">
        <v>533</v>
      </c>
      <c r="BX40" s="46">
        <f t="shared" si="29"/>
        <v>1021</v>
      </c>
      <c r="BY40" s="46">
        <v>95</v>
      </c>
      <c r="BZ40" s="46">
        <v>84</v>
      </c>
      <c r="CA40" s="46">
        <f t="shared" si="76"/>
        <v>179</v>
      </c>
      <c r="CB40" s="46">
        <v>139</v>
      </c>
      <c r="CC40" s="46">
        <v>170</v>
      </c>
      <c r="CD40" s="46">
        <f t="shared" si="31"/>
        <v>309</v>
      </c>
      <c r="CE40" s="46">
        <v>98</v>
      </c>
      <c r="CF40" s="46">
        <v>188</v>
      </c>
      <c r="CG40" s="46">
        <f t="shared" si="77"/>
        <v>286</v>
      </c>
      <c r="CH40" s="46">
        <v>16</v>
      </c>
      <c r="CI40" s="46">
        <v>36</v>
      </c>
      <c r="CJ40" s="46">
        <f t="shared" si="33"/>
        <v>52</v>
      </c>
      <c r="CK40" s="46">
        <v>29</v>
      </c>
      <c r="CL40" s="46">
        <v>40</v>
      </c>
      <c r="CM40" s="46">
        <f t="shared" si="34"/>
        <v>69</v>
      </c>
      <c r="CN40" s="46">
        <v>0</v>
      </c>
      <c r="CO40" s="46">
        <v>0</v>
      </c>
      <c r="CP40" s="46">
        <f t="shared" si="35"/>
        <v>0</v>
      </c>
      <c r="CQ40" s="46">
        <v>0</v>
      </c>
      <c r="CR40" s="46">
        <v>0</v>
      </c>
      <c r="CS40" s="46">
        <f t="shared" si="36"/>
        <v>0</v>
      </c>
      <c r="CT40" s="46">
        <v>0</v>
      </c>
      <c r="CU40" s="46">
        <v>0</v>
      </c>
      <c r="CV40" s="2">
        <f t="shared" si="37"/>
        <v>0</v>
      </c>
      <c r="CW40" s="46">
        <f>CE40+CN40</f>
        <v>98</v>
      </c>
      <c r="CX40" s="46">
        <f>CF40+CO40</f>
        <v>188</v>
      </c>
      <c r="CY40" s="46">
        <f t="shared" si="39"/>
        <v>286</v>
      </c>
      <c r="CZ40" s="28">
        <f>CH40+CQ40</f>
        <v>16</v>
      </c>
      <c r="DA40" s="28">
        <f>CI40+CR40</f>
        <v>36</v>
      </c>
      <c r="DB40" s="2">
        <f t="shared" si="41"/>
        <v>52</v>
      </c>
      <c r="DC40" s="28">
        <f>CK40+CT40</f>
        <v>29</v>
      </c>
      <c r="DD40" s="28">
        <f>CL40+CU40</f>
        <v>40</v>
      </c>
      <c r="DE40" s="2">
        <f t="shared" si="43"/>
        <v>69</v>
      </c>
      <c r="DF40" s="46">
        <f t="shared" si="44"/>
        <v>20.079999999999998</v>
      </c>
      <c r="DG40" s="46">
        <f t="shared" si="45"/>
        <v>35.270000000000003</v>
      </c>
      <c r="DH40" s="46">
        <f t="shared" si="46"/>
        <v>28.01</v>
      </c>
      <c r="DI40" s="46">
        <f t="shared" si="47"/>
        <v>16.84</v>
      </c>
      <c r="DJ40" s="46">
        <f t="shared" si="48"/>
        <v>42.86</v>
      </c>
      <c r="DK40" s="46">
        <f t="shared" si="49"/>
        <v>29.05</v>
      </c>
      <c r="DL40" s="28">
        <f t="shared" si="50"/>
        <v>20.86</v>
      </c>
      <c r="DM40" s="28">
        <f t="shared" si="51"/>
        <v>23.53</v>
      </c>
      <c r="DN40" s="28">
        <f t="shared" si="52"/>
        <v>22.33</v>
      </c>
      <c r="DO40" s="46">
        <v>2325</v>
      </c>
      <c r="DP40" s="46">
        <v>2155</v>
      </c>
      <c r="DQ40" s="46">
        <f t="shared" si="78"/>
        <v>4480</v>
      </c>
      <c r="DR40" s="46">
        <v>510</v>
      </c>
      <c r="DS40" s="46">
        <v>456</v>
      </c>
      <c r="DT40" s="46">
        <f t="shared" si="79"/>
        <v>966</v>
      </c>
      <c r="DU40" s="46">
        <v>128</v>
      </c>
      <c r="DV40" s="46">
        <v>104</v>
      </c>
      <c r="DW40" s="46">
        <f t="shared" si="80"/>
        <v>232</v>
      </c>
      <c r="DX40" s="46">
        <v>12497</v>
      </c>
      <c r="DY40" s="46">
        <v>12312</v>
      </c>
      <c r="DZ40" s="46">
        <f t="shared" si="81"/>
        <v>24809</v>
      </c>
      <c r="EA40" s="46">
        <v>2597</v>
      </c>
      <c r="EB40" s="46">
        <v>2569</v>
      </c>
      <c r="EC40" s="46">
        <f t="shared" si="82"/>
        <v>5166</v>
      </c>
      <c r="ED40" s="46">
        <v>3515</v>
      </c>
      <c r="EE40" s="46">
        <v>2959</v>
      </c>
      <c r="EF40" s="46">
        <f t="shared" si="83"/>
        <v>6474</v>
      </c>
      <c r="EG40" s="46">
        <f t="shared" si="59"/>
        <v>0</v>
      </c>
      <c r="EH40" s="46">
        <f t="shared" si="60"/>
        <v>0</v>
      </c>
      <c r="EI40" s="46">
        <f t="shared" si="84"/>
        <v>0</v>
      </c>
      <c r="EJ40" s="46">
        <f t="shared" si="62"/>
        <v>0</v>
      </c>
      <c r="EK40" s="46">
        <f t="shared" si="63"/>
        <v>0</v>
      </c>
    </row>
    <row r="41" spans="1:142" ht="28.5">
      <c r="A41" s="50">
        <v>14</v>
      </c>
      <c r="B41" s="35" t="s">
        <v>73</v>
      </c>
      <c r="C41" s="27" t="s">
        <v>74</v>
      </c>
      <c r="D41" s="63">
        <v>42814</v>
      </c>
      <c r="E41" s="63">
        <v>42824</v>
      </c>
      <c r="F41" s="63">
        <v>42944</v>
      </c>
      <c r="G41" s="63">
        <v>42952</v>
      </c>
      <c r="H41" s="6"/>
      <c r="I41" s="6" t="s">
        <v>75</v>
      </c>
      <c r="J41" s="6"/>
      <c r="K41" s="2">
        <f t="shared" si="0"/>
        <v>0</v>
      </c>
      <c r="L41" s="6">
        <v>0</v>
      </c>
      <c r="M41" s="6">
        <v>162</v>
      </c>
      <c r="N41" s="6">
        <v>80</v>
      </c>
      <c r="O41" s="2">
        <f t="shared" si="1"/>
        <v>242</v>
      </c>
      <c r="P41" s="6">
        <v>0</v>
      </c>
      <c r="Q41" s="6">
        <v>159</v>
      </c>
      <c r="R41" s="6">
        <v>77</v>
      </c>
      <c r="S41" s="2">
        <f t="shared" si="2"/>
        <v>236</v>
      </c>
      <c r="T41" s="15">
        <f t="shared" si="3"/>
        <v>97.52</v>
      </c>
      <c r="U41" s="6"/>
      <c r="V41" s="6">
        <v>4</v>
      </c>
      <c r="W41" s="6"/>
      <c r="X41" s="6"/>
      <c r="Y41" s="6"/>
      <c r="Z41" s="6"/>
      <c r="AA41" s="6"/>
      <c r="AB41" s="29">
        <f t="shared" si="4"/>
        <v>-4</v>
      </c>
      <c r="AC41" s="30">
        <v>125</v>
      </c>
      <c r="AD41" s="30">
        <v>117</v>
      </c>
      <c r="AE41" s="2">
        <f t="shared" si="5"/>
        <v>242</v>
      </c>
      <c r="AF41" s="31">
        <v>20</v>
      </c>
      <c r="AG41" s="31">
        <v>20</v>
      </c>
      <c r="AH41" s="2">
        <f t="shared" si="6"/>
        <v>40</v>
      </c>
      <c r="AI41" s="31">
        <v>13</v>
      </c>
      <c r="AJ41" s="31">
        <v>20</v>
      </c>
      <c r="AK41" s="2">
        <f t="shared" si="7"/>
        <v>33</v>
      </c>
      <c r="AL41" s="30">
        <v>120</v>
      </c>
      <c r="AM41" s="30">
        <v>110</v>
      </c>
      <c r="AN41" s="2">
        <f t="shared" si="8"/>
        <v>230</v>
      </c>
      <c r="AO41" s="31">
        <v>19</v>
      </c>
      <c r="AP41" s="31">
        <v>17</v>
      </c>
      <c r="AQ41" s="2">
        <f t="shared" si="9"/>
        <v>36</v>
      </c>
      <c r="AR41" s="31">
        <v>12</v>
      </c>
      <c r="AS41" s="31">
        <v>19</v>
      </c>
      <c r="AT41" s="2">
        <f t="shared" si="10"/>
        <v>31</v>
      </c>
      <c r="AU41" s="31">
        <v>2</v>
      </c>
      <c r="AV41" s="31">
        <v>4</v>
      </c>
      <c r="AW41" s="2">
        <f t="shared" si="11"/>
        <v>6</v>
      </c>
      <c r="AX41" s="30">
        <v>1</v>
      </c>
      <c r="AY41" s="30">
        <v>1</v>
      </c>
      <c r="AZ41" s="2">
        <f t="shared" si="12"/>
        <v>2</v>
      </c>
      <c r="BA41" s="33">
        <v>0</v>
      </c>
      <c r="BB41" s="33">
        <v>0</v>
      </c>
      <c r="BC41" s="2">
        <f t="shared" si="13"/>
        <v>0</v>
      </c>
      <c r="BD41" s="28">
        <f>AL41+AU41</f>
        <v>122</v>
      </c>
      <c r="BE41" s="28">
        <f>AM41+AV41</f>
        <v>114</v>
      </c>
      <c r="BF41" s="2">
        <f t="shared" si="15"/>
        <v>236</v>
      </c>
      <c r="BG41" s="28">
        <f>AO41+AX41</f>
        <v>20</v>
      </c>
      <c r="BH41" s="28">
        <f>AP41+AY41</f>
        <v>18</v>
      </c>
      <c r="BI41" s="2">
        <f t="shared" si="17"/>
        <v>38</v>
      </c>
      <c r="BJ41" s="28">
        <f>AR41+BA41</f>
        <v>12</v>
      </c>
      <c r="BK41" s="28">
        <f>AS41+BB41</f>
        <v>19</v>
      </c>
      <c r="BL41" s="2">
        <f t="shared" si="19"/>
        <v>31</v>
      </c>
      <c r="BM41" s="28">
        <f t="shared" si="20"/>
        <v>97.6</v>
      </c>
      <c r="BN41" s="28">
        <f t="shared" si="21"/>
        <v>97.44</v>
      </c>
      <c r="BO41" s="28">
        <f t="shared" si="22"/>
        <v>97.52</v>
      </c>
      <c r="BP41" s="28">
        <f t="shared" si="23"/>
        <v>100</v>
      </c>
      <c r="BQ41" s="28">
        <f t="shared" si="24"/>
        <v>90</v>
      </c>
      <c r="BR41" s="28">
        <f t="shared" si="25"/>
        <v>95</v>
      </c>
      <c r="BS41" s="28">
        <f t="shared" si="26"/>
        <v>92.31</v>
      </c>
      <c r="BT41" s="28">
        <f t="shared" si="27"/>
        <v>95</v>
      </c>
      <c r="BU41" s="28">
        <f t="shared" si="28"/>
        <v>93.94</v>
      </c>
      <c r="BV41" s="30">
        <v>0</v>
      </c>
      <c r="BW41" s="30">
        <v>0</v>
      </c>
      <c r="BX41" s="2">
        <f t="shared" si="29"/>
        <v>0</v>
      </c>
      <c r="BY41" s="31">
        <v>0</v>
      </c>
      <c r="BZ41" s="31">
        <v>0</v>
      </c>
      <c r="CA41" s="2">
        <f t="shared" si="76"/>
        <v>0</v>
      </c>
      <c r="CB41" s="31">
        <v>0</v>
      </c>
      <c r="CC41" s="31">
        <v>0</v>
      </c>
      <c r="CD41" s="2">
        <f t="shared" si="31"/>
        <v>0</v>
      </c>
      <c r="CE41" s="30">
        <v>0</v>
      </c>
      <c r="CF41" s="30">
        <v>0</v>
      </c>
      <c r="CG41" s="2">
        <f t="shared" si="77"/>
        <v>0</v>
      </c>
      <c r="CH41" s="31">
        <v>0</v>
      </c>
      <c r="CI41" s="31">
        <v>0</v>
      </c>
      <c r="CJ41" s="2">
        <f t="shared" si="33"/>
        <v>0</v>
      </c>
      <c r="CK41" s="31">
        <v>0</v>
      </c>
      <c r="CL41" s="31">
        <v>0</v>
      </c>
      <c r="CM41" s="2">
        <f t="shared" si="34"/>
        <v>0</v>
      </c>
      <c r="CN41" s="31">
        <v>0</v>
      </c>
      <c r="CO41" s="31">
        <v>0</v>
      </c>
      <c r="CP41" s="2">
        <f t="shared" si="35"/>
        <v>0</v>
      </c>
      <c r="CQ41" s="31">
        <v>0</v>
      </c>
      <c r="CR41" s="31">
        <v>0</v>
      </c>
      <c r="CS41" s="2">
        <f t="shared" si="36"/>
        <v>0</v>
      </c>
      <c r="CT41" s="31">
        <v>0</v>
      </c>
      <c r="CU41" s="31">
        <v>0</v>
      </c>
      <c r="CV41" s="2">
        <f t="shared" si="37"/>
        <v>0</v>
      </c>
      <c r="CW41" s="28">
        <f>CE41+CN41</f>
        <v>0</v>
      </c>
      <c r="CX41" s="28">
        <f>CF41+CO41</f>
        <v>0</v>
      </c>
      <c r="CY41" s="2">
        <f t="shared" si="39"/>
        <v>0</v>
      </c>
      <c r="CZ41" s="28">
        <f>CH41+CQ41</f>
        <v>0</v>
      </c>
      <c r="DA41" s="28">
        <f>CI41+CR41</f>
        <v>0</v>
      </c>
      <c r="DB41" s="2">
        <f t="shared" si="41"/>
        <v>0</v>
      </c>
      <c r="DC41" s="28">
        <f>CK41+CT41</f>
        <v>0</v>
      </c>
      <c r="DD41" s="28">
        <f>CL41+CU41</f>
        <v>0</v>
      </c>
      <c r="DE41" s="2">
        <f t="shared" si="43"/>
        <v>0</v>
      </c>
      <c r="DF41" s="28" t="e">
        <f t="shared" si="44"/>
        <v>#DIV/0!</v>
      </c>
      <c r="DG41" s="28" t="e">
        <f t="shared" si="45"/>
        <v>#DIV/0!</v>
      </c>
      <c r="DH41" s="28" t="e">
        <f t="shared" si="46"/>
        <v>#DIV/0!</v>
      </c>
      <c r="DI41" s="28" t="e">
        <f t="shared" si="47"/>
        <v>#DIV/0!</v>
      </c>
      <c r="DJ41" s="28" t="e">
        <f t="shared" si="48"/>
        <v>#DIV/0!</v>
      </c>
      <c r="DK41" s="28" t="e">
        <f t="shared" si="49"/>
        <v>#DIV/0!</v>
      </c>
      <c r="DL41" s="28" t="e">
        <f t="shared" si="50"/>
        <v>#DIV/0!</v>
      </c>
      <c r="DM41" s="28" t="e">
        <f t="shared" si="51"/>
        <v>#DIV/0!</v>
      </c>
      <c r="DN41" s="28" t="e">
        <f t="shared" si="52"/>
        <v>#DIV/0!</v>
      </c>
      <c r="DO41" s="32">
        <v>93</v>
      </c>
      <c r="DP41" s="32">
        <v>94</v>
      </c>
      <c r="DQ41" s="2">
        <f t="shared" si="78"/>
        <v>187</v>
      </c>
      <c r="DR41" s="32">
        <v>15</v>
      </c>
      <c r="DS41" s="32">
        <v>12</v>
      </c>
      <c r="DT41" s="2">
        <f t="shared" si="79"/>
        <v>27</v>
      </c>
      <c r="DU41" s="32">
        <v>9</v>
      </c>
      <c r="DV41" s="32">
        <v>13</v>
      </c>
      <c r="DW41" s="2">
        <f t="shared" si="80"/>
        <v>22</v>
      </c>
      <c r="DX41" s="32">
        <v>29</v>
      </c>
      <c r="DY41" s="32">
        <v>20</v>
      </c>
      <c r="DZ41" s="2">
        <f t="shared" si="81"/>
        <v>49</v>
      </c>
      <c r="EA41" s="32">
        <v>5</v>
      </c>
      <c r="EB41" s="32">
        <v>6</v>
      </c>
      <c r="EC41" s="2">
        <f t="shared" si="82"/>
        <v>11</v>
      </c>
      <c r="ED41" s="32">
        <v>3</v>
      </c>
      <c r="EE41" s="32">
        <v>6</v>
      </c>
      <c r="EF41" s="2">
        <f t="shared" si="83"/>
        <v>9</v>
      </c>
      <c r="EG41" s="4">
        <f t="shared" si="59"/>
        <v>0</v>
      </c>
      <c r="EH41" s="4">
        <f t="shared" si="60"/>
        <v>0</v>
      </c>
      <c r="EI41" s="4">
        <f t="shared" si="84"/>
        <v>0</v>
      </c>
      <c r="EJ41" s="4">
        <f t="shared" si="62"/>
        <v>0</v>
      </c>
      <c r="EK41" s="4">
        <f t="shared" si="63"/>
        <v>0</v>
      </c>
      <c r="EL41" s="34"/>
    </row>
    <row r="42" spans="1:142">
      <c r="A42" s="51">
        <v>43</v>
      </c>
      <c r="B42" s="1" t="s">
        <v>129</v>
      </c>
      <c r="C42" s="27" t="s">
        <v>72</v>
      </c>
      <c r="D42" s="70">
        <v>42843</v>
      </c>
      <c r="E42" s="70">
        <v>42852</v>
      </c>
      <c r="F42" s="46" t="s">
        <v>101</v>
      </c>
      <c r="G42" s="46" t="s">
        <v>101</v>
      </c>
      <c r="H42" s="46">
        <v>2</v>
      </c>
      <c r="I42" s="46">
        <v>971</v>
      </c>
      <c r="J42" s="46">
        <v>118</v>
      </c>
      <c r="K42" s="46">
        <f t="shared" si="0"/>
        <v>1091</v>
      </c>
      <c r="L42" s="46">
        <v>25</v>
      </c>
      <c r="M42" s="46">
        <v>12957</v>
      </c>
      <c r="N42" s="46">
        <v>5900</v>
      </c>
      <c r="O42" s="46">
        <f t="shared" si="1"/>
        <v>18882</v>
      </c>
      <c r="P42" s="46">
        <v>20</v>
      </c>
      <c r="Q42" s="46">
        <v>12245</v>
      </c>
      <c r="R42" s="46">
        <v>5892</v>
      </c>
      <c r="S42" s="46">
        <f t="shared" si="2"/>
        <v>18157</v>
      </c>
      <c r="T42" s="46">
        <f t="shared" si="3"/>
        <v>96.16</v>
      </c>
      <c r="U42" s="46">
        <v>0</v>
      </c>
      <c r="V42" s="46">
        <v>598</v>
      </c>
      <c r="W42" s="46">
        <v>349</v>
      </c>
      <c r="X42" s="46">
        <v>46</v>
      </c>
      <c r="Y42" s="46">
        <v>97</v>
      </c>
      <c r="Z42" s="46">
        <v>1</v>
      </c>
      <c r="AA42" s="46">
        <v>0</v>
      </c>
      <c r="AB42" s="47">
        <f t="shared" si="4"/>
        <v>0</v>
      </c>
      <c r="AC42" s="46">
        <v>11829</v>
      </c>
      <c r="AD42" s="46">
        <v>4870</v>
      </c>
      <c r="AE42" s="46">
        <f t="shared" si="5"/>
        <v>16699</v>
      </c>
      <c r="AF42" s="46">
        <v>1499</v>
      </c>
      <c r="AG42" s="46">
        <v>787</v>
      </c>
      <c r="AH42" s="46">
        <f t="shared" si="6"/>
        <v>2286</v>
      </c>
      <c r="AI42" s="46">
        <v>5</v>
      </c>
      <c r="AJ42" s="46">
        <v>0</v>
      </c>
      <c r="AK42" s="46">
        <f t="shared" si="7"/>
        <v>5</v>
      </c>
      <c r="AL42" s="46">
        <v>11328</v>
      </c>
      <c r="AM42" s="46">
        <v>4673</v>
      </c>
      <c r="AN42" s="46">
        <f t="shared" si="8"/>
        <v>16001</v>
      </c>
      <c r="AO42" s="46">
        <v>1280</v>
      </c>
      <c r="AP42" s="46">
        <v>702</v>
      </c>
      <c r="AQ42" s="46">
        <f t="shared" si="9"/>
        <v>1982</v>
      </c>
      <c r="AR42" s="46">
        <v>4</v>
      </c>
      <c r="AS42" s="46">
        <v>0</v>
      </c>
      <c r="AT42" s="46">
        <f t="shared" si="10"/>
        <v>4</v>
      </c>
      <c r="AU42" s="46">
        <v>0</v>
      </c>
      <c r="AV42" s="46">
        <v>0</v>
      </c>
      <c r="AW42" s="46">
        <f t="shared" si="11"/>
        <v>0</v>
      </c>
      <c r="AX42" s="46">
        <v>0</v>
      </c>
      <c r="AY42" s="46">
        <v>0</v>
      </c>
      <c r="AZ42" s="46">
        <f t="shared" si="12"/>
        <v>0</v>
      </c>
      <c r="BA42" s="46">
        <v>0</v>
      </c>
      <c r="BB42" s="46">
        <v>0</v>
      </c>
      <c r="BC42" s="46">
        <f t="shared" si="13"/>
        <v>0</v>
      </c>
      <c r="BD42" s="46">
        <v>11328</v>
      </c>
      <c r="BE42" s="46">
        <v>4673</v>
      </c>
      <c r="BF42" s="46">
        <f t="shared" si="15"/>
        <v>16001</v>
      </c>
      <c r="BG42" s="46">
        <v>1280</v>
      </c>
      <c r="BH42" s="46">
        <v>702</v>
      </c>
      <c r="BI42" s="46">
        <f t="shared" si="17"/>
        <v>1982</v>
      </c>
      <c r="BJ42" s="46">
        <v>4</v>
      </c>
      <c r="BK42" s="46">
        <v>0</v>
      </c>
      <c r="BL42" s="46">
        <f t="shared" si="19"/>
        <v>4</v>
      </c>
      <c r="BM42" s="46">
        <f t="shared" si="20"/>
        <v>95.76</v>
      </c>
      <c r="BN42" s="46">
        <f t="shared" si="21"/>
        <v>95.95</v>
      </c>
      <c r="BO42" s="46">
        <f t="shared" si="22"/>
        <v>95.82</v>
      </c>
      <c r="BP42" s="46">
        <f t="shared" si="23"/>
        <v>85.39</v>
      </c>
      <c r="BQ42" s="46">
        <f t="shared" si="24"/>
        <v>89.2</v>
      </c>
      <c r="BR42" s="46">
        <f t="shared" si="25"/>
        <v>86.7</v>
      </c>
      <c r="BS42" s="46">
        <f t="shared" si="26"/>
        <v>80</v>
      </c>
      <c r="BT42" s="46" t="e">
        <f t="shared" si="27"/>
        <v>#DIV/0!</v>
      </c>
      <c r="BU42" s="46">
        <f t="shared" si="28"/>
        <v>80</v>
      </c>
      <c r="BV42" s="46">
        <v>1128</v>
      </c>
      <c r="BW42" s="46">
        <v>516</v>
      </c>
      <c r="BX42" s="46">
        <f t="shared" si="29"/>
        <v>1644</v>
      </c>
      <c r="BY42" s="46">
        <v>63</v>
      </c>
      <c r="BZ42" s="46">
        <v>60</v>
      </c>
      <c r="CA42" s="46">
        <f t="shared" si="76"/>
        <v>123</v>
      </c>
      <c r="CB42" s="46">
        <v>0</v>
      </c>
      <c r="CC42" s="46">
        <v>0</v>
      </c>
      <c r="CD42" s="46">
        <f t="shared" si="31"/>
        <v>0</v>
      </c>
      <c r="CE42" s="46">
        <v>917</v>
      </c>
      <c r="CF42" s="46">
        <v>423</v>
      </c>
      <c r="CG42" s="46">
        <f t="shared" si="77"/>
        <v>1340</v>
      </c>
      <c r="CH42" s="46">
        <v>44</v>
      </c>
      <c r="CI42" s="46">
        <v>53</v>
      </c>
      <c r="CJ42" s="46">
        <f t="shared" si="33"/>
        <v>97</v>
      </c>
      <c r="CK42" s="46">
        <v>0</v>
      </c>
      <c r="CL42" s="46">
        <v>0</v>
      </c>
      <c r="CM42" s="46">
        <f t="shared" si="34"/>
        <v>0</v>
      </c>
      <c r="CN42" s="46">
        <v>0</v>
      </c>
      <c r="CO42" s="46">
        <v>0</v>
      </c>
      <c r="CP42" s="46">
        <f t="shared" si="35"/>
        <v>0</v>
      </c>
      <c r="CQ42" s="46">
        <v>0</v>
      </c>
      <c r="CR42" s="46">
        <v>0</v>
      </c>
      <c r="CS42" s="46">
        <f t="shared" si="36"/>
        <v>0</v>
      </c>
      <c r="CT42" s="46">
        <v>0</v>
      </c>
      <c r="CU42" s="46">
        <v>0</v>
      </c>
      <c r="CV42" s="46">
        <f t="shared" si="37"/>
        <v>0</v>
      </c>
      <c r="CW42" s="46">
        <v>917</v>
      </c>
      <c r="CX42" s="46">
        <v>423</v>
      </c>
      <c r="CY42" s="46">
        <f t="shared" si="39"/>
        <v>1340</v>
      </c>
      <c r="CZ42" s="46">
        <v>44</v>
      </c>
      <c r="DA42" s="46">
        <v>53</v>
      </c>
      <c r="DB42" s="46">
        <f t="shared" si="41"/>
        <v>97</v>
      </c>
      <c r="DC42" s="46">
        <v>0</v>
      </c>
      <c r="DD42" s="46">
        <v>0</v>
      </c>
      <c r="DE42" s="46">
        <f t="shared" si="43"/>
        <v>0</v>
      </c>
      <c r="DF42" s="46">
        <f t="shared" si="44"/>
        <v>81.290000000000006</v>
      </c>
      <c r="DG42" s="46">
        <f t="shared" si="45"/>
        <v>81.98</v>
      </c>
      <c r="DH42" s="46">
        <f t="shared" si="46"/>
        <v>81.510000000000005</v>
      </c>
      <c r="DI42" s="46">
        <f t="shared" si="47"/>
        <v>69.84</v>
      </c>
      <c r="DJ42" s="46">
        <f t="shared" si="48"/>
        <v>88.33</v>
      </c>
      <c r="DK42" s="46">
        <f t="shared" si="49"/>
        <v>78.86</v>
      </c>
      <c r="DL42" s="46" t="e">
        <f t="shared" si="50"/>
        <v>#DIV/0!</v>
      </c>
      <c r="DM42" s="46" t="e">
        <f t="shared" si="51"/>
        <v>#DIV/0!</v>
      </c>
      <c r="DN42" s="46" t="e">
        <f t="shared" si="52"/>
        <v>#DIV/0!</v>
      </c>
      <c r="DO42" s="46">
        <v>6530</v>
      </c>
      <c r="DP42" s="46">
        <v>3080</v>
      </c>
      <c r="DQ42" s="46">
        <f t="shared" si="78"/>
        <v>9610</v>
      </c>
      <c r="DR42" s="46">
        <v>550</v>
      </c>
      <c r="DS42" s="46">
        <v>680</v>
      </c>
      <c r="DT42" s="46">
        <f t="shared" si="79"/>
        <v>1230</v>
      </c>
      <c r="DU42" s="46">
        <v>3</v>
      </c>
      <c r="DV42" s="46">
        <v>0</v>
      </c>
      <c r="DW42" s="46">
        <f t="shared" si="80"/>
        <v>3</v>
      </c>
      <c r="DX42" s="46">
        <v>5715</v>
      </c>
      <c r="DY42" s="46">
        <v>2016</v>
      </c>
      <c r="DZ42" s="46">
        <f t="shared" si="81"/>
        <v>7731</v>
      </c>
      <c r="EA42" s="46">
        <v>774</v>
      </c>
      <c r="EB42" s="46">
        <v>75</v>
      </c>
      <c r="EC42" s="46">
        <f t="shared" si="82"/>
        <v>849</v>
      </c>
      <c r="ED42" s="46">
        <v>1</v>
      </c>
      <c r="EE42" s="46">
        <v>0</v>
      </c>
      <c r="EF42" s="46">
        <f t="shared" si="83"/>
        <v>1</v>
      </c>
      <c r="EG42" s="46">
        <f t="shared" si="59"/>
        <v>539</v>
      </c>
      <c r="EH42" s="46">
        <f t="shared" si="60"/>
        <v>816</v>
      </c>
      <c r="EI42" s="46">
        <f t="shared" si="84"/>
        <v>0</v>
      </c>
      <c r="EJ42" s="46">
        <f t="shared" si="62"/>
        <v>0</v>
      </c>
      <c r="EK42" s="46">
        <f t="shared" si="63"/>
        <v>0</v>
      </c>
      <c r="EL42" s="71"/>
    </row>
    <row r="43" spans="1:142">
      <c r="A43" s="76">
        <v>1</v>
      </c>
      <c r="B43" s="1" t="s">
        <v>85</v>
      </c>
      <c r="C43" s="27" t="s">
        <v>72</v>
      </c>
      <c r="D43" s="63">
        <v>42826</v>
      </c>
      <c r="E43" s="63">
        <v>42810</v>
      </c>
      <c r="F43" s="63">
        <v>42947</v>
      </c>
      <c r="G43" s="63">
        <v>42947</v>
      </c>
      <c r="H43" s="6">
        <v>1910</v>
      </c>
      <c r="I43" s="6">
        <v>4531</v>
      </c>
      <c r="J43" s="6">
        <v>17901</v>
      </c>
      <c r="K43" s="2">
        <f t="shared" si="0"/>
        <v>24342</v>
      </c>
      <c r="L43" s="6">
        <v>116274</v>
      </c>
      <c r="M43" s="6">
        <v>805412</v>
      </c>
      <c r="N43" s="6">
        <v>1936785</v>
      </c>
      <c r="O43" s="2">
        <f t="shared" si="1"/>
        <v>2858471</v>
      </c>
      <c r="P43" s="6">
        <v>85435</v>
      </c>
      <c r="Q43" s="6">
        <v>616662</v>
      </c>
      <c r="R43" s="6">
        <v>1625513</v>
      </c>
      <c r="S43" s="2">
        <f t="shared" si="2"/>
        <v>2327610</v>
      </c>
      <c r="T43" s="15">
        <f t="shared" si="3"/>
        <v>81.430000000000007</v>
      </c>
      <c r="U43" s="6">
        <v>1911</v>
      </c>
      <c r="V43" s="6">
        <v>7053</v>
      </c>
      <c r="W43" s="6">
        <v>5598</v>
      </c>
      <c r="X43" s="6">
        <v>4013</v>
      </c>
      <c r="Y43" s="6">
        <v>2685</v>
      </c>
      <c r="Z43" s="6">
        <v>1551</v>
      </c>
      <c r="AA43" s="6">
        <v>1531</v>
      </c>
      <c r="AB43" s="18">
        <f t="shared" si="4"/>
        <v>0</v>
      </c>
      <c r="AC43" s="21">
        <v>1520426</v>
      </c>
      <c r="AD43" s="21">
        <v>1338045</v>
      </c>
      <c r="AE43" s="2">
        <f t="shared" si="5"/>
        <v>2858471</v>
      </c>
      <c r="AF43" s="21">
        <v>345966</v>
      </c>
      <c r="AG43" s="21">
        <v>301752</v>
      </c>
      <c r="AH43" s="2">
        <f t="shared" si="6"/>
        <v>647718</v>
      </c>
      <c r="AI43" s="21">
        <v>11391</v>
      </c>
      <c r="AJ43" s="21">
        <v>9445</v>
      </c>
      <c r="AK43" s="2">
        <f t="shared" si="7"/>
        <v>20836</v>
      </c>
      <c r="AL43" s="21">
        <v>1167948</v>
      </c>
      <c r="AM43" s="21">
        <v>1159662</v>
      </c>
      <c r="AN43" s="2">
        <f t="shared" si="8"/>
        <v>2327610</v>
      </c>
      <c r="AO43" s="21">
        <v>242066</v>
      </c>
      <c r="AP43" s="21">
        <v>238925</v>
      </c>
      <c r="AQ43" s="2">
        <f t="shared" si="9"/>
        <v>480991</v>
      </c>
      <c r="AR43" s="21">
        <v>8118</v>
      </c>
      <c r="AS43" s="21">
        <v>7552</v>
      </c>
      <c r="AT43" s="2">
        <f t="shared" si="10"/>
        <v>15670</v>
      </c>
      <c r="AU43" s="21">
        <v>181</v>
      </c>
      <c r="AV43" s="21">
        <v>64</v>
      </c>
      <c r="AW43" s="2">
        <f t="shared" si="11"/>
        <v>245</v>
      </c>
      <c r="AX43" s="21">
        <v>27</v>
      </c>
      <c r="AY43" s="21">
        <v>16</v>
      </c>
      <c r="AZ43" s="2">
        <f t="shared" si="12"/>
        <v>43</v>
      </c>
      <c r="BA43" s="21">
        <v>1</v>
      </c>
      <c r="BB43" s="21">
        <v>1</v>
      </c>
      <c r="BC43" s="2">
        <f t="shared" si="13"/>
        <v>2</v>
      </c>
      <c r="BD43" s="21">
        <v>1168129</v>
      </c>
      <c r="BE43" s="21">
        <v>1159726</v>
      </c>
      <c r="BF43" s="2">
        <f t="shared" si="15"/>
        <v>2327855</v>
      </c>
      <c r="BG43" s="21">
        <v>242093</v>
      </c>
      <c r="BH43" s="21">
        <v>238941</v>
      </c>
      <c r="BI43" s="2">
        <f t="shared" si="17"/>
        <v>481034</v>
      </c>
      <c r="BJ43" s="21">
        <v>8119</v>
      </c>
      <c r="BK43" s="21">
        <v>7553</v>
      </c>
      <c r="BL43" s="2">
        <f t="shared" si="19"/>
        <v>15672</v>
      </c>
      <c r="BM43" s="15">
        <f t="shared" si="20"/>
        <v>76.83</v>
      </c>
      <c r="BN43" s="15">
        <f t="shared" si="21"/>
        <v>86.67</v>
      </c>
      <c r="BO43" s="15">
        <f t="shared" si="22"/>
        <v>81.44</v>
      </c>
      <c r="BP43" s="15">
        <f t="shared" si="23"/>
        <v>69.98</v>
      </c>
      <c r="BQ43" s="15">
        <f t="shared" si="24"/>
        <v>79.180000000000007</v>
      </c>
      <c r="BR43" s="15">
        <f t="shared" si="25"/>
        <v>74.27</v>
      </c>
      <c r="BS43" s="15">
        <f t="shared" si="26"/>
        <v>71.28</v>
      </c>
      <c r="BT43" s="15">
        <f t="shared" si="27"/>
        <v>79.97</v>
      </c>
      <c r="BU43" s="15">
        <f t="shared" si="28"/>
        <v>75.22</v>
      </c>
      <c r="BV43" s="23">
        <v>113777</v>
      </c>
      <c r="BW43" s="23">
        <v>26244</v>
      </c>
      <c r="BX43" s="2">
        <f t="shared" si="29"/>
        <v>140021</v>
      </c>
      <c r="BY43" s="23">
        <v>20183</v>
      </c>
      <c r="BZ43" s="23">
        <v>4238</v>
      </c>
      <c r="CA43" s="2">
        <f t="shared" si="76"/>
        <v>24421</v>
      </c>
      <c r="CB43" s="23">
        <v>1207</v>
      </c>
      <c r="CC43" s="23">
        <v>259</v>
      </c>
      <c r="CD43" s="2">
        <f t="shared" si="31"/>
        <v>1466</v>
      </c>
      <c r="CE43" s="23">
        <v>86223</v>
      </c>
      <c r="CF43" s="23">
        <v>20409</v>
      </c>
      <c r="CG43" s="2">
        <f t="shared" si="77"/>
        <v>106632</v>
      </c>
      <c r="CH43" s="23">
        <v>12768</v>
      </c>
      <c r="CI43" s="23">
        <v>2781</v>
      </c>
      <c r="CJ43" s="2">
        <f t="shared" si="33"/>
        <v>15549</v>
      </c>
      <c r="CK43" s="23">
        <v>808</v>
      </c>
      <c r="CL43" s="23">
        <v>177</v>
      </c>
      <c r="CM43" s="2">
        <f t="shared" si="34"/>
        <v>985</v>
      </c>
      <c r="CN43" s="23">
        <v>25</v>
      </c>
      <c r="CO43" s="23">
        <v>3</v>
      </c>
      <c r="CP43" s="2">
        <f t="shared" si="35"/>
        <v>28</v>
      </c>
      <c r="CQ43" s="23">
        <v>5</v>
      </c>
      <c r="CR43" s="23">
        <v>1</v>
      </c>
      <c r="CS43" s="2">
        <f t="shared" si="36"/>
        <v>6</v>
      </c>
      <c r="CT43" s="23">
        <v>6</v>
      </c>
      <c r="CU43" s="23">
        <v>1</v>
      </c>
      <c r="CV43" s="2">
        <f t="shared" si="37"/>
        <v>7</v>
      </c>
      <c r="CW43" s="23">
        <v>86248</v>
      </c>
      <c r="CX43" s="23">
        <v>20412</v>
      </c>
      <c r="CY43" s="2">
        <f t="shared" si="39"/>
        <v>106660</v>
      </c>
      <c r="CZ43" s="23">
        <v>12773</v>
      </c>
      <c r="DA43" s="23">
        <v>2782</v>
      </c>
      <c r="DB43" s="2">
        <f t="shared" si="41"/>
        <v>15555</v>
      </c>
      <c r="DC43" s="23">
        <v>809</v>
      </c>
      <c r="DD43" s="23">
        <v>177</v>
      </c>
      <c r="DE43" s="2">
        <f t="shared" si="43"/>
        <v>986</v>
      </c>
      <c r="DF43" s="15">
        <f t="shared" si="44"/>
        <v>75.8</v>
      </c>
      <c r="DG43" s="15">
        <f t="shared" si="45"/>
        <v>77.78</v>
      </c>
      <c r="DH43" s="15">
        <f t="shared" si="46"/>
        <v>76.17</v>
      </c>
      <c r="DI43" s="15">
        <f t="shared" si="47"/>
        <v>63.29</v>
      </c>
      <c r="DJ43" s="15">
        <f t="shared" si="48"/>
        <v>65.64</v>
      </c>
      <c r="DK43" s="15">
        <f t="shared" si="49"/>
        <v>63.7</v>
      </c>
      <c r="DL43" s="15">
        <f t="shared" si="50"/>
        <v>67.03</v>
      </c>
      <c r="DM43" s="15">
        <f t="shared" si="51"/>
        <v>68.34</v>
      </c>
      <c r="DN43" s="15">
        <f t="shared" si="52"/>
        <v>67.260000000000005</v>
      </c>
      <c r="DO43" s="5">
        <v>823632</v>
      </c>
      <c r="DP43" s="5">
        <v>887607</v>
      </c>
      <c r="DQ43" s="2">
        <f t="shared" si="78"/>
        <v>1711239</v>
      </c>
      <c r="DR43" s="5">
        <v>154120</v>
      </c>
      <c r="DS43" s="5">
        <v>164020</v>
      </c>
      <c r="DT43" s="2">
        <f t="shared" si="79"/>
        <v>318140</v>
      </c>
      <c r="DU43" s="5">
        <v>6079</v>
      </c>
      <c r="DV43" s="5">
        <v>5450</v>
      </c>
      <c r="DW43" s="2">
        <f t="shared" si="80"/>
        <v>11529</v>
      </c>
      <c r="DX43" s="5">
        <v>430745</v>
      </c>
      <c r="DY43" s="5">
        <v>292531</v>
      </c>
      <c r="DZ43" s="2">
        <f t="shared" si="81"/>
        <v>723276</v>
      </c>
      <c r="EA43" s="5">
        <v>100746</v>
      </c>
      <c r="EB43" s="5">
        <v>77703</v>
      </c>
      <c r="EC43" s="2">
        <f t="shared" si="82"/>
        <v>178449</v>
      </c>
      <c r="ED43" s="5">
        <v>2849</v>
      </c>
      <c r="EE43" s="5">
        <v>2280</v>
      </c>
      <c r="EF43" s="2">
        <f t="shared" si="83"/>
        <v>5129</v>
      </c>
      <c r="EG43" s="4">
        <f t="shared" si="59"/>
        <v>-140021</v>
      </c>
      <c r="EH43" s="4">
        <f t="shared" si="60"/>
        <v>-106905</v>
      </c>
      <c r="EI43" s="4">
        <f t="shared" si="84"/>
        <v>0</v>
      </c>
      <c r="EJ43" s="4">
        <f t="shared" si="62"/>
        <v>0</v>
      </c>
      <c r="EK43" s="4">
        <f t="shared" si="63"/>
        <v>0</v>
      </c>
      <c r="EL43"/>
    </row>
    <row r="44" spans="1:142" ht="28.5">
      <c r="A44" s="50">
        <v>16</v>
      </c>
      <c r="B44" s="35" t="s">
        <v>78</v>
      </c>
      <c r="C44" s="27" t="s">
        <v>74</v>
      </c>
      <c r="D44" s="63">
        <v>42812</v>
      </c>
      <c r="E44" s="63">
        <v>42835</v>
      </c>
      <c r="F44" s="62" t="s">
        <v>101</v>
      </c>
      <c r="G44" s="62" t="s">
        <v>101</v>
      </c>
      <c r="H44" s="6">
        <v>0</v>
      </c>
      <c r="I44" s="6">
        <v>0</v>
      </c>
      <c r="J44" s="6">
        <v>0</v>
      </c>
      <c r="K44" s="2">
        <f t="shared" si="0"/>
        <v>0</v>
      </c>
      <c r="L44" s="6">
        <v>0</v>
      </c>
      <c r="M44" s="6">
        <v>0</v>
      </c>
      <c r="N44" s="6">
        <v>0</v>
      </c>
      <c r="O44" s="2">
        <f t="shared" si="1"/>
        <v>0</v>
      </c>
      <c r="P44" s="6">
        <v>0</v>
      </c>
      <c r="Q44" s="6">
        <v>0</v>
      </c>
      <c r="R44" s="6">
        <v>0</v>
      </c>
      <c r="S44" s="2">
        <f t="shared" si="2"/>
        <v>0</v>
      </c>
      <c r="T44" s="15" t="e">
        <f t="shared" si="3"/>
        <v>#DIV/0!</v>
      </c>
      <c r="U44" s="6">
        <v>262</v>
      </c>
      <c r="V44" s="6">
        <v>390</v>
      </c>
      <c r="W44" s="6">
        <v>710</v>
      </c>
      <c r="X44" s="6">
        <v>649</v>
      </c>
      <c r="Y44" s="6">
        <v>388</v>
      </c>
      <c r="Z44" s="6">
        <v>235</v>
      </c>
      <c r="AA44" s="6">
        <v>636</v>
      </c>
      <c r="AB44" s="29">
        <f t="shared" si="4"/>
        <v>-3270</v>
      </c>
      <c r="AC44" s="30">
        <v>71473</v>
      </c>
      <c r="AD44" s="30">
        <v>73962</v>
      </c>
      <c r="AE44" s="2">
        <f t="shared" si="5"/>
        <v>145435</v>
      </c>
      <c r="AF44" s="31">
        <v>20476</v>
      </c>
      <c r="AG44" s="31">
        <v>21219</v>
      </c>
      <c r="AH44" s="2">
        <f t="shared" si="6"/>
        <v>41695</v>
      </c>
      <c r="AI44" s="31">
        <v>2455</v>
      </c>
      <c r="AJ44" s="31">
        <v>2676</v>
      </c>
      <c r="AK44" s="2">
        <f t="shared" si="7"/>
        <v>5131</v>
      </c>
      <c r="AL44" s="30">
        <v>50328</v>
      </c>
      <c r="AM44" s="30">
        <v>58810</v>
      </c>
      <c r="AN44" s="2">
        <f t="shared" si="8"/>
        <v>109138</v>
      </c>
      <c r="AO44" s="31">
        <v>12974</v>
      </c>
      <c r="AP44" s="31">
        <v>15369</v>
      </c>
      <c r="AQ44" s="2">
        <f t="shared" si="9"/>
        <v>28343</v>
      </c>
      <c r="AR44" s="31">
        <v>1711</v>
      </c>
      <c r="AS44" s="31">
        <v>2124</v>
      </c>
      <c r="AT44" s="2">
        <f t="shared" si="10"/>
        <v>3835</v>
      </c>
      <c r="AU44" s="31">
        <v>0</v>
      </c>
      <c r="AV44" s="31">
        <v>0</v>
      </c>
      <c r="AW44" s="2">
        <f t="shared" si="11"/>
        <v>0</v>
      </c>
      <c r="AX44" s="33">
        <v>0</v>
      </c>
      <c r="AY44" s="33">
        <v>0</v>
      </c>
      <c r="AZ44" s="2">
        <f t="shared" si="12"/>
        <v>0</v>
      </c>
      <c r="BA44" s="33">
        <v>0</v>
      </c>
      <c r="BB44" s="33">
        <v>0</v>
      </c>
      <c r="BC44" s="2">
        <f t="shared" si="13"/>
        <v>0</v>
      </c>
      <c r="BD44" s="28">
        <f t="shared" ref="BD44:BE47" si="91">AL44+AU44</f>
        <v>50328</v>
      </c>
      <c r="BE44" s="28">
        <f t="shared" si="91"/>
        <v>58810</v>
      </c>
      <c r="BF44" s="2">
        <f t="shared" si="15"/>
        <v>109138</v>
      </c>
      <c r="BG44" s="28">
        <f t="shared" ref="BG44:BH47" si="92">AO44+AX44</f>
        <v>12974</v>
      </c>
      <c r="BH44" s="28">
        <f t="shared" si="92"/>
        <v>15369</v>
      </c>
      <c r="BI44" s="2">
        <f t="shared" si="17"/>
        <v>28343</v>
      </c>
      <c r="BJ44" s="28">
        <f t="shared" ref="BJ44:BK47" si="93">AR44+BA44</f>
        <v>1711</v>
      </c>
      <c r="BK44" s="28">
        <f t="shared" si="93"/>
        <v>2124</v>
      </c>
      <c r="BL44" s="2">
        <f t="shared" si="19"/>
        <v>3835</v>
      </c>
      <c r="BM44" s="28">
        <f t="shared" si="20"/>
        <v>70.42</v>
      </c>
      <c r="BN44" s="28">
        <f t="shared" si="21"/>
        <v>79.510000000000005</v>
      </c>
      <c r="BO44" s="28">
        <f t="shared" si="22"/>
        <v>75.040000000000006</v>
      </c>
      <c r="BP44" s="28">
        <f t="shared" si="23"/>
        <v>63.36</v>
      </c>
      <c r="BQ44" s="28">
        <f t="shared" si="24"/>
        <v>72.430000000000007</v>
      </c>
      <c r="BR44" s="28">
        <f t="shared" si="25"/>
        <v>67.98</v>
      </c>
      <c r="BS44" s="28">
        <f t="shared" si="26"/>
        <v>69.69</v>
      </c>
      <c r="BT44" s="28">
        <f t="shared" si="27"/>
        <v>79.37</v>
      </c>
      <c r="BU44" s="28">
        <f t="shared" si="28"/>
        <v>74.739999999999995</v>
      </c>
      <c r="BV44" s="30">
        <v>3141</v>
      </c>
      <c r="BW44" s="30">
        <v>1997</v>
      </c>
      <c r="BX44" s="2">
        <f t="shared" si="29"/>
        <v>5138</v>
      </c>
      <c r="BY44" s="31">
        <v>1207</v>
      </c>
      <c r="BZ44" s="31">
        <v>782</v>
      </c>
      <c r="CA44" s="2">
        <f t="shared" si="76"/>
        <v>1989</v>
      </c>
      <c r="CB44" s="31">
        <v>85</v>
      </c>
      <c r="CC44" s="31">
        <v>71</v>
      </c>
      <c r="CD44" s="2">
        <f t="shared" si="31"/>
        <v>156</v>
      </c>
      <c r="CE44" s="30">
        <v>977</v>
      </c>
      <c r="CF44" s="30">
        <v>826</v>
      </c>
      <c r="CG44" s="2">
        <f t="shared" si="77"/>
        <v>1803</v>
      </c>
      <c r="CH44" s="31">
        <v>351</v>
      </c>
      <c r="CI44" s="31">
        <v>279</v>
      </c>
      <c r="CJ44" s="2">
        <f t="shared" si="33"/>
        <v>630</v>
      </c>
      <c r="CK44" s="31">
        <v>26</v>
      </c>
      <c r="CL44" s="31">
        <v>33</v>
      </c>
      <c r="CM44" s="2">
        <f t="shared" si="34"/>
        <v>59</v>
      </c>
      <c r="CN44" s="31">
        <v>0</v>
      </c>
      <c r="CO44" s="31">
        <v>0</v>
      </c>
      <c r="CP44" s="2">
        <f t="shared" si="35"/>
        <v>0</v>
      </c>
      <c r="CQ44" s="31">
        <v>0</v>
      </c>
      <c r="CR44" s="31">
        <v>0</v>
      </c>
      <c r="CS44" s="2">
        <f t="shared" si="36"/>
        <v>0</v>
      </c>
      <c r="CT44" s="33">
        <v>0</v>
      </c>
      <c r="CU44" s="33">
        <v>0</v>
      </c>
      <c r="CV44" s="2">
        <f t="shared" si="37"/>
        <v>0</v>
      </c>
      <c r="CW44" s="28">
        <f t="shared" ref="CW44:CX47" si="94">CE44+CN44</f>
        <v>977</v>
      </c>
      <c r="CX44" s="28">
        <f t="shared" si="94"/>
        <v>826</v>
      </c>
      <c r="CY44" s="2">
        <f t="shared" si="39"/>
        <v>1803</v>
      </c>
      <c r="CZ44" s="28">
        <f t="shared" ref="CZ44:DA47" si="95">CH44+CQ44</f>
        <v>351</v>
      </c>
      <c r="DA44" s="28">
        <f t="shared" si="95"/>
        <v>279</v>
      </c>
      <c r="DB44" s="2">
        <f t="shared" si="41"/>
        <v>630</v>
      </c>
      <c r="DC44" s="28">
        <f t="shared" ref="DC44:DD47" si="96">CK44+CT44</f>
        <v>26</v>
      </c>
      <c r="DD44" s="28">
        <f t="shared" si="96"/>
        <v>33</v>
      </c>
      <c r="DE44" s="2">
        <f t="shared" si="43"/>
        <v>59</v>
      </c>
      <c r="DF44" s="28">
        <f t="shared" si="44"/>
        <v>31.1</v>
      </c>
      <c r="DG44" s="28">
        <f t="shared" si="45"/>
        <v>41.36</v>
      </c>
      <c r="DH44" s="28">
        <f t="shared" si="46"/>
        <v>35.090000000000003</v>
      </c>
      <c r="DI44" s="28">
        <f t="shared" si="47"/>
        <v>29.08</v>
      </c>
      <c r="DJ44" s="28">
        <f t="shared" si="48"/>
        <v>35.68</v>
      </c>
      <c r="DK44" s="28">
        <f t="shared" si="49"/>
        <v>31.67</v>
      </c>
      <c r="DL44" s="28">
        <f t="shared" si="50"/>
        <v>30.59</v>
      </c>
      <c r="DM44" s="28">
        <f t="shared" si="51"/>
        <v>46.48</v>
      </c>
      <c r="DN44" s="28">
        <f t="shared" si="52"/>
        <v>37.82</v>
      </c>
      <c r="DO44" s="32">
        <v>12783</v>
      </c>
      <c r="DP44" s="32">
        <v>18737</v>
      </c>
      <c r="DQ44" s="2">
        <f t="shared" si="78"/>
        <v>31520</v>
      </c>
      <c r="DR44" s="32">
        <v>2194</v>
      </c>
      <c r="DS44" s="32">
        <v>3389</v>
      </c>
      <c r="DT44" s="2">
        <f t="shared" si="79"/>
        <v>5583</v>
      </c>
      <c r="DU44" s="32">
        <v>454</v>
      </c>
      <c r="DV44" s="32">
        <v>632</v>
      </c>
      <c r="DW44" s="2">
        <f t="shared" si="80"/>
        <v>1086</v>
      </c>
      <c r="DX44" s="32">
        <v>38522</v>
      </c>
      <c r="DY44" s="32">
        <v>40899</v>
      </c>
      <c r="DZ44" s="2">
        <f t="shared" si="81"/>
        <v>79421</v>
      </c>
      <c r="EA44" s="32">
        <v>11131</v>
      </c>
      <c r="EB44" s="32">
        <v>12259</v>
      </c>
      <c r="EC44" s="2">
        <f t="shared" si="82"/>
        <v>23390</v>
      </c>
      <c r="ED44" s="32">
        <v>1283</v>
      </c>
      <c r="EE44" s="32">
        <v>1525</v>
      </c>
      <c r="EF44" s="2">
        <f t="shared" si="83"/>
        <v>2808</v>
      </c>
      <c r="EG44" s="4">
        <f t="shared" si="59"/>
        <v>-150573</v>
      </c>
      <c r="EH44" s="4">
        <f t="shared" si="60"/>
        <v>-110941</v>
      </c>
      <c r="EI44" s="4">
        <f t="shared" si="84"/>
        <v>0</v>
      </c>
      <c r="EJ44" s="4">
        <f t="shared" si="62"/>
        <v>0</v>
      </c>
      <c r="EK44" s="4">
        <f t="shared" si="63"/>
        <v>0</v>
      </c>
      <c r="EL44" s="34"/>
    </row>
    <row r="45" spans="1:142" ht="28.5">
      <c r="A45" s="76">
        <v>15</v>
      </c>
      <c r="B45" s="35" t="s">
        <v>76</v>
      </c>
      <c r="C45" s="27" t="s">
        <v>77</v>
      </c>
      <c r="D45" s="63">
        <v>42461</v>
      </c>
      <c r="E45" s="63">
        <v>42896</v>
      </c>
      <c r="F45" s="83" t="s">
        <v>101</v>
      </c>
      <c r="G45" s="62" t="s">
        <v>101</v>
      </c>
      <c r="H45" s="6">
        <v>3</v>
      </c>
      <c r="I45" s="6">
        <v>73</v>
      </c>
      <c r="J45" s="6">
        <v>11</v>
      </c>
      <c r="K45" s="2">
        <f t="shared" si="0"/>
        <v>87</v>
      </c>
      <c r="L45" s="6">
        <v>9</v>
      </c>
      <c r="M45" s="6">
        <v>740</v>
      </c>
      <c r="N45" s="6">
        <v>103</v>
      </c>
      <c r="O45" s="2">
        <f t="shared" si="1"/>
        <v>852</v>
      </c>
      <c r="P45" s="6">
        <v>0</v>
      </c>
      <c r="Q45" s="6">
        <v>0</v>
      </c>
      <c r="R45" s="6">
        <v>0</v>
      </c>
      <c r="S45" s="2">
        <f t="shared" si="2"/>
        <v>0</v>
      </c>
      <c r="T45" s="15">
        <f t="shared" si="3"/>
        <v>0</v>
      </c>
      <c r="U45" s="6">
        <v>34</v>
      </c>
      <c r="V45" s="6">
        <v>10</v>
      </c>
      <c r="W45" s="6">
        <v>17</v>
      </c>
      <c r="X45" s="6">
        <v>9</v>
      </c>
      <c r="Y45" s="6">
        <v>7</v>
      </c>
      <c r="Z45" s="6">
        <v>5</v>
      </c>
      <c r="AA45" s="6">
        <v>5</v>
      </c>
      <c r="AB45" s="29">
        <f t="shared" si="4"/>
        <v>0</v>
      </c>
      <c r="AC45" s="30">
        <v>752</v>
      </c>
      <c r="AD45" s="30">
        <v>56</v>
      </c>
      <c r="AE45" s="2">
        <f t="shared" si="5"/>
        <v>808</v>
      </c>
      <c r="AF45" s="31">
        <v>20</v>
      </c>
      <c r="AG45" s="31">
        <v>7</v>
      </c>
      <c r="AH45" s="2">
        <f t="shared" si="6"/>
        <v>27</v>
      </c>
      <c r="AI45" s="31">
        <v>10</v>
      </c>
      <c r="AJ45" s="31">
        <v>2</v>
      </c>
      <c r="AK45" s="2">
        <f t="shared" si="7"/>
        <v>12</v>
      </c>
      <c r="AL45" s="30">
        <v>667</v>
      </c>
      <c r="AM45" s="30">
        <v>49</v>
      </c>
      <c r="AN45" s="2">
        <f t="shared" si="8"/>
        <v>716</v>
      </c>
      <c r="AO45" s="31">
        <v>14</v>
      </c>
      <c r="AP45" s="31">
        <v>5</v>
      </c>
      <c r="AQ45" s="2">
        <f t="shared" si="9"/>
        <v>19</v>
      </c>
      <c r="AR45" s="31">
        <v>9</v>
      </c>
      <c r="AS45" s="31">
        <v>2</v>
      </c>
      <c r="AT45" s="2">
        <f t="shared" si="10"/>
        <v>11</v>
      </c>
      <c r="AU45" s="31">
        <v>0</v>
      </c>
      <c r="AV45" s="31">
        <v>0</v>
      </c>
      <c r="AW45" s="2">
        <f t="shared" si="11"/>
        <v>0</v>
      </c>
      <c r="AX45" s="33">
        <v>0</v>
      </c>
      <c r="AY45" s="33">
        <v>0</v>
      </c>
      <c r="AZ45" s="2">
        <f t="shared" si="12"/>
        <v>0</v>
      </c>
      <c r="BA45" s="33">
        <v>0</v>
      </c>
      <c r="BB45" s="33">
        <v>0</v>
      </c>
      <c r="BC45" s="2">
        <f t="shared" si="13"/>
        <v>0</v>
      </c>
      <c r="BD45" s="28">
        <f t="shared" si="91"/>
        <v>667</v>
      </c>
      <c r="BE45" s="28">
        <f t="shared" si="91"/>
        <v>49</v>
      </c>
      <c r="BF45" s="2">
        <f t="shared" si="15"/>
        <v>716</v>
      </c>
      <c r="BG45" s="28">
        <f t="shared" si="92"/>
        <v>14</v>
      </c>
      <c r="BH45" s="28">
        <f t="shared" si="92"/>
        <v>5</v>
      </c>
      <c r="BI45" s="2">
        <f t="shared" si="17"/>
        <v>19</v>
      </c>
      <c r="BJ45" s="28">
        <f t="shared" si="93"/>
        <v>9</v>
      </c>
      <c r="BK45" s="28">
        <f t="shared" si="93"/>
        <v>2</v>
      </c>
      <c r="BL45" s="2">
        <f t="shared" si="19"/>
        <v>11</v>
      </c>
      <c r="BM45" s="28">
        <f t="shared" si="20"/>
        <v>88.7</v>
      </c>
      <c r="BN45" s="28">
        <f t="shared" si="21"/>
        <v>87.5</v>
      </c>
      <c r="BO45" s="28">
        <f t="shared" si="22"/>
        <v>88.61</v>
      </c>
      <c r="BP45" s="28">
        <f t="shared" si="23"/>
        <v>70</v>
      </c>
      <c r="BQ45" s="28">
        <f t="shared" si="24"/>
        <v>71.430000000000007</v>
      </c>
      <c r="BR45" s="28">
        <f t="shared" si="25"/>
        <v>70.37</v>
      </c>
      <c r="BS45" s="28">
        <f t="shared" si="26"/>
        <v>90</v>
      </c>
      <c r="BT45" s="28">
        <f t="shared" si="27"/>
        <v>100</v>
      </c>
      <c r="BU45" s="28">
        <f t="shared" si="28"/>
        <v>91.67</v>
      </c>
      <c r="BV45" s="30">
        <v>42</v>
      </c>
      <c r="BW45" s="30">
        <v>2</v>
      </c>
      <c r="BX45" s="2">
        <f t="shared" si="29"/>
        <v>44</v>
      </c>
      <c r="BY45" s="31">
        <v>0</v>
      </c>
      <c r="BZ45" s="31">
        <v>0</v>
      </c>
      <c r="CA45" s="2">
        <f t="shared" si="76"/>
        <v>0</v>
      </c>
      <c r="CB45" s="31">
        <v>0</v>
      </c>
      <c r="CC45" s="31">
        <v>0</v>
      </c>
      <c r="CD45" s="2">
        <f t="shared" si="31"/>
        <v>0</v>
      </c>
      <c r="CE45" s="30">
        <v>30</v>
      </c>
      <c r="CF45" s="30">
        <v>2</v>
      </c>
      <c r="CG45" s="2">
        <f t="shared" si="77"/>
        <v>32</v>
      </c>
      <c r="CH45" s="31">
        <v>0</v>
      </c>
      <c r="CI45" s="31">
        <v>0</v>
      </c>
      <c r="CJ45" s="2">
        <f t="shared" si="33"/>
        <v>0</v>
      </c>
      <c r="CK45" s="31">
        <v>0</v>
      </c>
      <c r="CL45" s="31">
        <v>0</v>
      </c>
      <c r="CM45" s="2">
        <f t="shared" si="34"/>
        <v>0</v>
      </c>
      <c r="CN45" s="31">
        <v>0</v>
      </c>
      <c r="CO45" s="31">
        <v>0</v>
      </c>
      <c r="CP45" s="2">
        <f t="shared" si="35"/>
        <v>0</v>
      </c>
      <c r="CQ45" s="31">
        <v>0</v>
      </c>
      <c r="CR45" s="31">
        <v>0</v>
      </c>
      <c r="CS45" s="2">
        <f t="shared" si="36"/>
        <v>0</v>
      </c>
      <c r="CT45" s="31">
        <v>0</v>
      </c>
      <c r="CU45" s="31">
        <v>0</v>
      </c>
      <c r="CV45" s="2">
        <f t="shared" si="37"/>
        <v>0</v>
      </c>
      <c r="CW45" s="28">
        <f t="shared" si="94"/>
        <v>30</v>
      </c>
      <c r="CX45" s="28">
        <f t="shared" si="94"/>
        <v>2</v>
      </c>
      <c r="CY45" s="2">
        <f t="shared" si="39"/>
        <v>32</v>
      </c>
      <c r="CZ45" s="28">
        <f t="shared" si="95"/>
        <v>0</v>
      </c>
      <c r="DA45" s="28">
        <f t="shared" si="95"/>
        <v>0</v>
      </c>
      <c r="DB45" s="2">
        <f t="shared" si="41"/>
        <v>0</v>
      </c>
      <c r="DC45" s="28">
        <f t="shared" si="96"/>
        <v>0</v>
      </c>
      <c r="DD45" s="28">
        <f t="shared" si="96"/>
        <v>0</v>
      </c>
      <c r="DE45" s="2">
        <f t="shared" si="43"/>
        <v>0</v>
      </c>
      <c r="DF45" s="28">
        <f t="shared" si="44"/>
        <v>71.430000000000007</v>
      </c>
      <c r="DG45" s="28">
        <f t="shared" si="45"/>
        <v>100</v>
      </c>
      <c r="DH45" s="28">
        <f t="shared" si="46"/>
        <v>72.73</v>
      </c>
      <c r="DI45" s="28" t="e">
        <f t="shared" si="47"/>
        <v>#DIV/0!</v>
      </c>
      <c r="DJ45" s="28" t="e">
        <f t="shared" si="48"/>
        <v>#DIV/0!</v>
      </c>
      <c r="DK45" s="28" t="e">
        <f t="shared" si="49"/>
        <v>#DIV/0!</v>
      </c>
      <c r="DL45" s="28" t="e">
        <f t="shared" si="50"/>
        <v>#DIV/0!</v>
      </c>
      <c r="DM45" s="28" t="e">
        <f t="shared" si="51"/>
        <v>#DIV/0!</v>
      </c>
      <c r="DN45" s="28" t="e">
        <f t="shared" si="52"/>
        <v>#DIV/0!</v>
      </c>
      <c r="DO45" s="32">
        <v>145</v>
      </c>
      <c r="DP45" s="32">
        <v>13</v>
      </c>
      <c r="DQ45" s="2">
        <f t="shared" si="78"/>
        <v>158</v>
      </c>
      <c r="DR45" s="32">
        <v>0</v>
      </c>
      <c r="DS45" s="32">
        <v>0</v>
      </c>
      <c r="DT45" s="2">
        <f t="shared" si="79"/>
        <v>0</v>
      </c>
      <c r="DU45" s="32">
        <v>0</v>
      </c>
      <c r="DV45" s="32">
        <v>0</v>
      </c>
      <c r="DW45" s="2">
        <f t="shared" si="80"/>
        <v>0</v>
      </c>
      <c r="DX45" s="32">
        <v>649</v>
      </c>
      <c r="DY45" s="32">
        <v>45</v>
      </c>
      <c r="DZ45" s="2">
        <f t="shared" si="81"/>
        <v>694</v>
      </c>
      <c r="EA45" s="32">
        <v>20</v>
      </c>
      <c r="EB45" s="32">
        <v>7</v>
      </c>
      <c r="EC45" s="2">
        <f t="shared" si="82"/>
        <v>27</v>
      </c>
      <c r="ED45" s="32">
        <v>10</v>
      </c>
      <c r="EE45" s="32">
        <v>2</v>
      </c>
      <c r="EF45" s="2">
        <f t="shared" si="83"/>
        <v>12</v>
      </c>
      <c r="EG45" s="4">
        <f t="shared" si="59"/>
        <v>0</v>
      </c>
      <c r="EH45" s="4">
        <f t="shared" si="60"/>
        <v>-748</v>
      </c>
      <c r="EI45" s="4">
        <f t="shared" si="84"/>
        <v>104</v>
      </c>
      <c r="EJ45" s="4">
        <f t="shared" si="62"/>
        <v>8</v>
      </c>
      <c r="EK45" s="4">
        <f t="shared" si="63"/>
        <v>1</v>
      </c>
      <c r="EL45" s="34"/>
    </row>
    <row r="46" spans="1:142" ht="30">
      <c r="A46" s="51">
        <v>32</v>
      </c>
      <c r="B46" s="48" t="s">
        <v>111</v>
      </c>
      <c r="C46" s="46" t="s">
        <v>112</v>
      </c>
      <c r="D46" s="64">
        <v>42772</v>
      </c>
      <c r="E46" s="64">
        <v>42784</v>
      </c>
      <c r="F46" s="64">
        <v>42772</v>
      </c>
      <c r="G46" s="64">
        <v>42784</v>
      </c>
      <c r="H46" s="46">
        <v>0</v>
      </c>
      <c r="I46" s="46">
        <v>404</v>
      </c>
      <c r="J46" s="46">
        <v>4</v>
      </c>
      <c r="K46" s="46">
        <f t="shared" si="0"/>
        <v>408</v>
      </c>
      <c r="L46" s="46">
        <v>0</v>
      </c>
      <c r="M46" s="46">
        <v>52058</v>
      </c>
      <c r="N46" s="46">
        <v>57</v>
      </c>
      <c r="O46" s="46">
        <f t="shared" si="1"/>
        <v>52115</v>
      </c>
      <c r="P46" s="46">
        <v>0</v>
      </c>
      <c r="Q46" s="46">
        <v>40085</v>
      </c>
      <c r="R46" s="46">
        <v>31</v>
      </c>
      <c r="S46" s="46">
        <f t="shared" si="2"/>
        <v>40116</v>
      </c>
      <c r="T46" s="46">
        <f t="shared" si="3"/>
        <v>76.98</v>
      </c>
      <c r="U46" s="46">
        <v>8</v>
      </c>
      <c r="V46" s="46">
        <v>100</v>
      </c>
      <c r="W46" s="46">
        <v>103</v>
      </c>
      <c r="X46" s="46">
        <v>79</v>
      </c>
      <c r="Y46" s="46">
        <v>59</v>
      </c>
      <c r="Z46" s="46">
        <v>32</v>
      </c>
      <c r="AA46" s="46">
        <v>27</v>
      </c>
      <c r="AB46" s="47">
        <f t="shared" si="4"/>
        <v>0</v>
      </c>
      <c r="AC46" s="46">
        <v>14322</v>
      </c>
      <c r="AD46" s="46">
        <v>35489</v>
      </c>
      <c r="AE46" s="46">
        <f t="shared" si="5"/>
        <v>49811</v>
      </c>
      <c r="AF46" s="46">
        <v>308</v>
      </c>
      <c r="AG46" s="46">
        <v>602</v>
      </c>
      <c r="AH46" s="46">
        <f t="shared" si="6"/>
        <v>910</v>
      </c>
      <c r="AI46" s="46">
        <v>150</v>
      </c>
      <c r="AJ46" s="46">
        <v>183</v>
      </c>
      <c r="AK46" s="46">
        <f t="shared" si="7"/>
        <v>333</v>
      </c>
      <c r="AL46" s="46">
        <v>11937</v>
      </c>
      <c r="AM46" s="46">
        <v>26315</v>
      </c>
      <c r="AN46" s="46">
        <f t="shared" si="8"/>
        <v>38252</v>
      </c>
      <c r="AO46" s="46">
        <v>244</v>
      </c>
      <c r="AP46" s="46">
        <v>394</v>
      </c>
      <c r="AQ46" s="46">
        <f t="shared" si="9"/>
        <v>638</v>
      </c>
      <c r="AR46" s="46">
        <v>114</v>
      </c>
      <c r="AS46" s="46">
        <v>98</v>
      </c>
      <c r="AT46" s="46">
        <f t="shared" si="10"/>
        <v>212</v>
      </c>
      <c r="AU46" s="46">
        <v>0</v>
      </c>
      <c r="AV46" s="46">
        <v>0</v>
      </c>
      <c r="AW46" s="46">
        <f t="shared" si="11"/>
        <v>0</v>
      </c>
      <c r="AX46" s="46">
        <v>0</v>
      </c>
      <c r="AY46" s="46">
        <v>0</v>
      </c>
      <c r="AZ46" s="46">
        <f t="shared" si="12"/>
        <v>0</v>
      </c>
      <c r="BA46" s="46">
        <v>0</v>
      </c>
      <c r="BB46" s="46">
        <v>0</v>
      </c>
      <c r="BC46" s="46">
        <f t="shared" si="13"/>
        <v>0</v>
      </c>
      <c r="BD46" s="46">
        <f t="shared" si="91"/>
        <v>11937</v>
      </c>
      <c r="BE46" s="46">
        <f t="shared" si="91"/>
        <v>26315</v>
      </c>
      <c r="BF46" s="46">
        <f t="shared" si="15"/>
        <v>38252</v>
      </c>
      <c r="BG46" s="46">
        <f t="shared" si="92"/>
        <v>244</v>
      </c>
      <c r="BH46" s="46">
        <f t="shared" si="92"/>
        <v>394</v>
      </c>
      <c r="BI46" s="46">
        <f t="shared" si="17"/>
        <v>638</v>
      </c>
      <c r="BJ46" s="46">
        <f t="shared" si="93"/>
        <v>114</v>
      </c>
      <c r="BK46" s="46">
        <f t="shared" si="93"/>
        <v>98</v>
      </c>
      <c r="BL46" s="46">
        <f t="shared" si="19"/>
        <v>212</v>
      </c>
      <c r="BM46" s="46">
        <f t="shared" si="20"/>
        <v>83.35</v>
      </c>
      <c r="BN46" s="46">
        <f t="shared" si="21"/>
        <v>74.150000000000006</v>
      </c>
      <c r="BO46" s="46">
        <f t="shared" si="22"/>
        <v>76.790000000000006</v>
      </c>
      <c r="BP46" s="46">
        <f t="shared" si="23"/>
        <v>79.22</v>
      </c>
      <c r="BQ46" s="46">
        <f t="shared" si="24"/>
        <v>65.45</v>
      </c>
      <c r="BR46" s="46">
        <f t="shared" si="25"/>
        <v>70.11</v>
      </c>
      <c r="BS46" s="46">
        <f t="shared" si="26"/>
        <v>76</v>
      </c>
      <c r="BT46" s="46">
        <f t="shared" si="27"/>
        <v>53.55</v>
      </c>
      <c r="BU46" s="46">
        <f t="shared" si="28"/>
        <v>63.66</v>
      </c>
      <c r="BV46" s="46">
        <v>1517</v>
      </c>
      <c r="BW46" s="46">
        <v>787</v>
      </c>
      <c r="BX46" s="46">
        <f t="shared" si="29"/>
        <v>2304</v>
      </c>
      <c r="BY46" s="46">
        <v>104</v>
      </c>
      <c r="BZ46" s="46">
        <v>36</v>
      </c>
      <c r="CA46" s="46">
        <f t="shared" si="76"/>
        <v>140</v>
      </c>
      <c r="CB46" s="46">
        <v>39</v>
      </c>
      <c r="CC46" s="46">
        <v>26</v>
      </c>
      <c r="CD46" s="46">
        <f t="shared" si="31"/>
        <v>65</v>
      </c>
      <c r="CE46" s="46">
        <v>1212</v>
      </c>
      <c r="CF46" s="46">
        <v>652</v>
      </c>
      <c r="CG46" s="46">
        <f t="shared" si="77"/>
        <v>1864</v>
      </c>
      <c r="CH46" s="46">
        <v>58</v>
      </c>
      <c r="CI46" s="46">
        <v>23</v>
      </c>
      <c r="CJ46" s="46">
        <f t="shared" si="33"/>
        <v>81</v>
      </c>
      <c r="CK46" s="46">
        <v>24</v>
      </c>
      <c r="CL46" s="46">
        <v>15</v>
      </c>
      <c r="CM46" s="46">
        <f t="shared" si="34"/>
        <v>39</v>
      </c>
      <c r="CN46" s="46">
        <v>0</v>
      </c>
      <c r="CO46" s="46">
        <v>0</v>
      </c>
      <c r="CP46" s="46">
        <f t="shared" si="35"/>
        <v>0</v>
      </c>
      <c r="CQ46" s="46">
        <v>0</v>
      </c>
      <c r="CR46" s="46">
        <v>0</v>
      </c>
      <c r="CS46" s="46">
        <f t="shared" si="36"/>
        <v>0</v>
      </c>
      <c r="CT46" s="46">
        <v>0</v>
      </c>
      <c r="CU46" s="46">
        <v>0</v>
      </c>
      <c r="CV46" s="46">
        <f t="shared" si="37"/>
        <v>0</v>
      </c>
      <c r="CW46" s="46">
        <f t="shared" si="94"/>
        <v>1212</v>
      </c>
      <c r="CX46" s="46">
        <f t="shared" si="94"/>
        <v>652</v>
      </c>
      <c r="CY46" s="46">
        <f t="shared" si="39"/>
        <v>1864</v>
      </c>
      <c r="CZ46" s="28">
        <f t="shared" si="95"/>
        <v>58</v>
      </c>
      <c r="DA46" s="28">
        <f t="shared" si="95"/>
        <v>23</v>
      </c>
      <c r="DB46" s="2">
        <f t="shared" si="41"/>
        <v>81</v>
      </c>
      <c r="DC46" s="28">
        <f t="shared" si="96"/>
        <v>24</v>
      </c>
      <c r="DD46" s="28">
        <f t="shared" si="96"/>
        <v>15</v>
      </c>
      <c r="DE46" s="2">
        <f t="shared" si="43"/>
        <v>39</v>
      </c>
      <c r="DF46" s="46">
        <f t="shared" si="44"/>
        <v>79.89</v>
      </c>
      <c r="DG46" s="46">
        <f t="shared" si="45"/>
        <v>82.85</v>
      </c>
      <c r="DH46" s="46">
        <f t="shared" si="46"/>
        <v>80.900000000000006</v>
      </c>
      <c r="DI46" s="46">
        <f t="shared" si="47"/>
        <v>55.77</v>
      </c>
      <c r="DJ46" s="46">
        <f t="shared" si="48"/>
        <v>63.89</v>
      </c>
      <c r="DK46" s="46">
        <f t="shared" si="49"/>
        <v>57.86</v>
      </c>
      <c r="DL46" s="46">
        <f t="shared" si="50"/>
        <v>61.54</v>
      </c>
      <c r="DM46" s="46">
        <f t="shared" si="51"/>
        <v>57.69</v>
      </c>
      <c r="DN46" s="46">
        <f t="shared" si="52"/>
        <v>60</v>
      </c>
      <c r="DO46" s="46">
        <v>1307</v>
      </c>
      <c r="DP46" s="46">
        <v>1846</v>
      </c>
      <c r="DQ46" s="46">
        <f t="shared" si="78"/>
        <v>3153</v>
      </c>
      <c r="DR46" s="46">
        <v>10</v>
      </c>
      <c r="DS46" s="46">
        <v>11</v>
      </c>
      <c r="DT46" s="46">
        <f t="shared" si="79"/>
        <v>21</v>
      </c>
      <c r="DU46" s="46">
        <v>2</v>
      </c>
      <c r="DV46" s="46">
        <v>5</v>
      </c>
      <c r="DW46" s="46">
        <f t="shared" si="80"/>
        <v>7</v>
      </c>
      <c r="DX46" s="46">
        <v>11842</v>
      </c>
      <c r="DY46" s="46">
        <v>25121</v>
      </c>
      <c r="DZ46" s="46">
        <f t="shared" si="81"/>
        <v>36963</v>
      </c>
      <c r="EA46" s="46">
        <v>292</v>
      </c>
      <c r="EB46" s="46">
        <v>406</v>
      </c>
      <c r="EC46" s="46">
        <f t="shared" si="82"/>
        <v>698</v>
      </c>
      <c r="ED46" s="46">
        <v>136</v>
      </c>
      <c r="EE46" s="46">
        <v>108</v>
      </c>
      <c r="EF46" s="46">
        <f t="shared" si="83"/>
        <v>244</v>
      </c>
      <c r="EG46" s="46">
        <f t="shared" si="59"/>
        <v>0</v>
      </c>
      <c r="EH46" s="46">
        <f t="shared" si="60"/>
        <v>0</v>
      </c>
      <c r="EI46" s="46">
        <f t="shared" si="84"/>
        <v>0</v>
      </c>
      <c r="EJ46" s="46">
        <f t="shared" si="62"/>
        <v>0</v>
      </c>
      <c r="EK46" s="46">
        <f t="shared" si="63"/>
        <v>0</v>
      </c>
    </row>
    <row r="47" spans="1:142" ht="28.5">
      <c r="A47" s="51">
        <v>27</v>
      </c>
      <c r="B47" s="45" t="s">
        <v>104</v>
      </c>
      <c r="C47" s="48" t="s">
        <v>105</v>
      </c>
      <c r="D47" s="65" t="s">
        <v>75</v>
      </c>
      <c r="E47" s="65" t="s">
        <v>75</v>
      </c>
      <c r="F47" s="65" t="s">
        <v>75</v>
      </c>
      <c r="G47" s="65" t="s">
        <v>75</v>
      </c>
      <c r="H47" s="46">
        <v>0</v>
      </c>
      <c r="I47" s="46">
        <v>0</v>
      </c>
      <c r="J47" s="46">
        <v>0</v>
      </c>
      <c r="K47" s="46">
        <f t="shared" si="0"/>
        <v>0</v>
      </c>
      <c r="L47" s="46">
        <v>0</v>
      </c>
      <c r="M47" s="46">
        <v>0</v>
      </c>
      <c r="N47" s="46">
        <v>0</v>
      </c>
      <c r="O47" s="46">
        <f t="shared" si="1"/>
        <v>0</v>
      </c>
      <c r="P47" s="46">
        <v>0</v>
      </c>
      <c r="Q47" s="46">
        <v>0</v>
      </c>
      <c r="R47" s="46">
        <v>0</v>
      </c>
      <c r="S47" s="46">
        <f t="shared" si="2"/>
        <v>0</v>
      </c>
      <c r="T47" s="46" t="e">
        <f t="shared" si="3"/>
        <v>#DIV/0!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7">
        <f t="shared" si="4"/>
        <v>0</v>
      </c>
      <c r="AC47" s="46">
        <v>473003</v>
      </c>
      <c r="AD47" s="46">
        <v>587495</v>
      </c>
      <c r="AE47" s="46">
        <f t="shared" si="5"/>
        <v>1060498</v>
      </c>
      <c r="AF47" s="46">
        <v>139447</v>
      </c>
      <c r="AG47" s="46">
        <v>164679</v>
      </c>
      <c r="AH47" s="46">
        <f t="shared" si="6"/>
        <v>304126</v>
      </c>
      <c r="AI47" s="46">
        <v>27618</v>
      </c>
      <c r="AJ47" s="46">
        <v>35521</v>
      </c>
      <c r="AK47" s="46">
        <f t="shared" si="7"/>
        <v>63139</v>
      </c>
      <c r="AL47" s="46">
        <v>412446</v>
      </c>
      <c r="AM47" s="46">
        <v>462117</v>
      </c>
      <c r="AN47" s="46">
        <f t="shared" si="8"/>
        <v>874563</v>
      </c>
      <c r="AO47" s="46">
        <v>116600</v>
      </c>
      <c r="AP47" s="46">
        <v>122050</v>
      </c>
      <c r="AQ47" s="46">
        <f t="shared" si="9"/>
        <v>238650</v>
      </c>
      <c r="AR47" s="46">
        <v>20038</v>
      </c>
      <c r="AS47" s="46">
        <v>21529</v>
      </c>
      <c r="AT47" s="46">
        <f t="shared" si="10"/>
        <v>41567</v>
      </c>
      <c r="AU47" s="46">
        <v>0</v>
      </c>
      <c r="AV47" s="46">
        <v>0</v>
      </c>
      <c r="AW47" s="46">
        <f t="shared" si="11"/>
        <v>0</v>
      </c>
      <c r="AX47" s="46">
        <v>0</v>
      </c>
      <c r="AY47" s="46">
        <v>0</v>
      </c>
      <c r="AZ47" s="46">
        <f t="shared" si="12"/>
        <v>0</v>
      </c>
      <c r="BA47" s="46">
        <v>0</v>
      </c>
      <c r="BB47" s="46">
        <v>0</v>
      </c>
      <c r="BC47" s="46">
        <f t="shared" si="13"/>
        <v>0</v>
      </c>
      <c r="BD47" s="46">
        <f t="shared" si="91"/>
        <v>412446</v>
      </c>
      <c r="BE47" s="46">
        <f t="shared" si="91"/>
        <v>462117</v>
      </c>
      <c r="BF47" s="46">
        <f t="shared" si="15"/>
        <v>874563</v>
      </c>
      <c r="BG47" s="46">
        <f t="shared" si="92"/>
        <v>116600</v>
      </c>
      <c r="BH47" s="46">
        <f t="shared" si="92"/>
        <v>122050</v>
      </c>
      <c r="BI47" s="46">
        <f t="shared" si="17"/>
        <v>238650</v>
      </c>
      <c r="BJ47" s="46">
        <f t="shared" si="93"/>
        <v>20038</v>
      </c>
      <c r="BK47" s="46">
        <f t="shared" si="93"/>
        <v>21529</v>
      </c>
      <c r="BL47" s="46">
        <f t="shared" si="19"/>
        <v>41567</v>
      </c>
      <c r="BM47" s="46">
        <f t="shared" si="20"/>
        <v>87.2</v>
      </c>
      <c r="BN47" s="46">
        <f t="shared" si="21"/>
        <v>78.66</v>
      </c>
      <c r="BO47" s="46">
        <f t="shared" si="22"/>
        <v>82.47</v>
      </c>
      <c r="BP47" s="46">
        <f t="shared" si="23"/>
        <v>83.62</v>
      </c>
      <c r="BQ47" s="46">
        <f t="shared" si="24"/>
        <v>74.11</v>
      </c>
      <c r="BR47" s="46">
        <f t="shared" si="25"/>
        <v>78.47</v>
      </c>
      <c r="BS47" s="46">
        <f t="shared" si="26"/>
        <v>72.55</v>
      </c>
      <c r="BT47" s="46">
        <f t="shared" si="27"/>
        <v>60.61</v>
      </c>
      <c r="BU47" s="46">
        <f t="shared" si="28"/>
        <v>65.83</v>
      </c>
      <c r="BV47" s="46">
        <v>466</v>
      </c>
      <c r="BW47" s="46">
        <v>159</v>
      </c>
      <c r="BX47" s="46">
        <f t="shared" si="29"/>
        <v>625</v>
      </c>
      <c r="BY47" s="46">
        <v>83</v>
      </c>
      <c r="BZ47" s="46">
        <v>22</v>
      </c>
      <c r="CA47" s="46">
        <f t="shared" si="76"/>
        <v>105</v>
      </c>
      <c r="CB47" s="46">
        <v>28</v>
      </c>
      <c r="CC47" s="46">
        <v>10</v>
      </c>
      <c r="CD47" s="46">
        <f t="shared" si="31"/>
        <v>38</v>
      </c>
      <c r="CE47" s="46">
        <v>358</v>
      </c>
      <c r="CF47" s="46">
        <v>63</v>
      </c>
      <c r="CG47" s="46">
        <f t="shared" si="77"/>
        <v>421</v>
      </c>
      <c r="CH47" s="46">
        <v>70</v>
      </c>
      <c r="CI47" s="46">
        <v>10</v>
      </c>
      <c r="CJ47" s="46">
        <f t="shared" si="33"/>
        <v>80</v>
      </c>
      <c r="CK47" s="46">
        <v>13</v>
      </c>
      <c r="CL47" s="46">
        <v>5</v>
      </c>
      <c r="CM47" s="46">
        <f t="shared" si="34"/>
        <v>18</v>
      </c>
      <c r="CN47" s="46">
        <v>0</v>
      </c>
      <c r="CO47" s="46">
        <v>0</v>
      </c>
      <c r="CP47" s="46">
        <f t="shared" si="35"/>
        <v>0</v>
      </c>
      <c r="CQ47" s="46">
        <v>0</v>
      </c>
      <c r="CR47" s="46">
        <v>0</v>
      </c>
      <c r="CS47" s="46">
        <f t="shared" si="36"/>
        <v>0</v>
      </c>
      <c r="CT47" s="46">
        <v>0</v>
      </c>
      <c r="CU47" s="46">
        <v>0</v>
      </c>
      <c r="CV47" s="46">
        <f t="shared" si="37"/>
        <v>0</v>
      </c>
      <c r="CW47" s="46">
        <f t="shared" si="94"/>
        <v>358</v>
      </c>
      <c r="CX47" s="46">
        <f t="shared" si="94"/>
        <v>63</v>
      </c>
      <c r="CY47" s="46">
        <f t="shared" si="39"/>
        <v>421</v>
      </c>
      <c r="CZ47" s="28">
        <f t="shared" si="95"/>
        <v>70</v>
      </c>
      <c r="DA47" s="28">
        <f t="shared" si="95"/>
        <v>10</v>
      </c>
      <c r="DB47" s="2">
        <f t="shared" si="41"/>
        <v>80</v>
      </c>
      <c r="DC47" s="28">
        <f t="shared" si="96"/>
        <v>13</v>
      </c>
      <c r="DD47" s="28">
        <f t="shared" si="96"/>
        <v>5</v>
      </c>
      <c r="DE47" s="2">
        <f t="shared" si="43"/>
        <v>18</v>
      </c>
      <c r="DF47" s="46">
        <f t="shared" si="44"/>
        <v>76.819999999999993</v>
      </c>
      <c r="DG47" s="46">
        <f t="shared" si="45"/>
        <v>39.619999999999997</v>
      </c>
      <c r="DH47" s="46">
        <f t="shared" si="46"/>
        <v>67.36</v>
      </c>
      <c r="DI47" s="46">
        <f t="shared" si="47"/>
        <v>84.34</v>
      </c>
      <c r="DJ47" s="46">
        <f t="shared" si="48"/>
        <v>45.45</v>
      </c>
      <c r="DK47" s="46">
        <f t="shared" si="49"/>
        <v>76.19</v>
      </c>
      <c r="DL47" s="46">
        <f t="shared" si="50"/>
        <v>46.43</v>
      </c>
      <c r="DM47" s="46">
        <f t="shared" si="51"/>
        <v>50</v>
      </c>
      <c r="DN47" s="46">
        <f t="shared" si="52"/>
        <v>47.37</v>
      </c>
      <c r="DO47" s="46">
        <v>27813</v>
      </c>
      <c r="DP47" s="46">
        <v>20599</v>
      </c>
      <c r="DQ47" s="46">
        <f t="shared" si="78"/>
        <v>48412</v>
      </c>
      <c r="DR47" s="46">
        <v>4152</v>
      </c>
      <c r="DS47" s="46">
        <v>2688</v>
      </c>
      <c r="DT47" s="46">
        <f t="shared" si="79"/>
        <v>6840</v>
      </c>
      <c r="DU47" s="46">
        <v>253</v>
      </c>
      <c r="DV47" s="46">
        <v>180</v>
      </c>
      <c r="DW47" s="46">
        <f t="shared" si="80"/>
        <v>433</v>
      </c>
      <c r="DX47" s="46">
        <v>36860</v>
      </c>
      <c r="DY47" s="46">
        <v>33974</v>
      </c>
      <c r="DZ47" s="46">
        <f t="shared" si="81"/>
        <v>70834</v>
      </c>
      <c r="EA47" s="46">
        <v>7165</v>
      </c>
      <c r="EB47" s="46">
        <v>5667</v>
      </c>
      <c r="EC47" s="46">
        <f t="shared" si="82"/>
        <v>12832</v>
      </c>
      <c r="ED47" s="46">
        <v>722</v>
      </c>
      <c r="EE47" s="46">
        <v>517</v>
      </c>
      <c r="EF47" s="46">
        <f t="shared" si="83"/>
        <v>1239</v>
      </c>
      <c r="EG47" s="46">
        <f t="shared" si="59"/>
        <v>-1061123</v>
      </c>
      <c r="EH47" s="46">
        <f t="shared" si="60"/>
        <v>-874984</v>
      </c>
      <c r="EI47" s="46">
        <f t="shared" si="84"/>
        <v>-755738</v>
      </c>
      <c r="EJ47" s="46">
        <f t="shared" si="62"/>
        <v>-219058</v>
      </c>
      <c r="EK47" s="46">
        <f t="shared" si="63"/>
        <v>-39913</v>
      </c>
    </row>
    <row r="48" spans="1:142">
      <c r="A48" s="51">
        <v>44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 t="e">
        <f t="shared" si="3"/>
        <v>#DIV/0!</v>
      </c>
      <c r="U48" s="46">
        <v>5059</v>
      </c>
      <c r="V48" s="46">
        <v>4841</v>
      </c>
      <c r="W48" s="46">
        <v>1506</v>
      </c>
      <c r="X48" s="46">
        <v>489</v>
      </c>
      <c r="Y48" s="46">
        <v>182</v>
      </c>
      <c r="Z48" s="46">
        <v>69</v>
      </c>
      <c r="AA48" s="46">
        <v>42</v>
      </c>
      <c r="AB48" s="47">
        <f t="shared" si="4"/>
        <v>-12188</v>
      </c>
      <c r="AC48" s="46">
        <v>125</v>
      </c>
      <c r="AD48" s="46">
        <v>117</v>
      </c>
      <c r="AE48" s="46">
        <f t="shared" si="5"/>
        <v>242</v>
      </c>
      <c r="AF48" s="46">
        <v>20</v>
      </c>
      <c r="AG48" s="46">
        <v>20</v>
      </c>
      <c r="AH48" s="46">
        <f t="shared" si="6"/>
        <v>40</v>
      </c>
      <c r="AI48" s="46">
        <v>13</v>
      </c>
      <c r="AJ48" s="46">
        <v>20</v>
      </c>
      <c r="AK48" s="46">
        <f t="shared" si="7"/>
        <v>33</v>
      </c>
      <c r="AL48" s="46">
        <v>120</v>
      </c>
      <c r="AM48" s="46">
        <v>110</v>
      </c>
      <c r="AN48" s="46">
        <f t="shared" si="8"/>
        <v>230</v>
      </c>
      <c r="AO48" s="46">
        <v>19</v>
      </c>
      <c r="AP48" s="46">
        <v>17</v>
      </c>
      <c r="AQ48" s="46">
        <f t="shared" si="9"/>
        <v>36</v>
      </c>
      <c r="AR48" s="46">
        <v>12</v>
      </c>
      <c r="AS48" s="46">
        <v>19</v>
      </c>
      <c r="AT48" s="46">
        <f t="shared" si="10"/>
        <v>31</v>
      </c>
      <c r="AU48" s="46">
        <v>2</v>
      </c>
      <c r="AV48" s="46">
        <v>4</v>
      </c>
      <c r="AW48" s="46">
        <f t="shared" si="11"/>
        <v>6</v>
      </c>
      <c r="AX48" s="46">
        <v>1</v>
      </c>
      <c r="AY48" s="46">
        <v>1</v>
      </c>
      <c r="AZ48" s="46">
        <f t="shared" si="12"/>
        <v>2</v>
      </c>
      <c r="BA48" s="46"/>
      <c r="BB48" s="46"/>
      <c r="BC48" s="46">
        <f t="shared" si="13"/>
        <v>0</v>
      </c>
      <c r="BD48" s="46">
        <v>122</v>
      </c>
      <c r="BE48" s="46">
        <v>114</v>
      </c>
      <c r="BF48" s="46">
        <f t="shared" si="15"/>
        <v>236</v>
      </c>
      <c r="BG48" s="46">
        <v>20</v>
      </c>
      <c r="BH48" s="46">
        <v>18</v>
      </c>
      <c r="BI48" s="46">
        <f t="shared" si="17"/>
        <v>38</v>
      </c>
      <c r="BJ48" s="46">
        <v>12</v>
      </c>
      <c r="BK48" s="46">
        <v>19</v>
      </c>
      <c r="BL48" s="46">
        <f t="shared" si="19"/>
        <v>31</v>
      </c>
      <c r="BM48" s="46">
        <f t="shared" si="20"/>
        <v>97.6</v>
      </c>
      <c r="BN48" s="46">
        <f t="shared" si="21"/>
        <v>97.44</v>
      </c>
      <c r="BO48" s="46">
        <f t="shared" si="22"/>
        <v>97.52</v>
      </c>
      <c r="BP48" s="46">
        <f t="shared" si="23"/>
        <v>100</v>
      </c>
      <c r="BQ48" s="46">
        <f t="shared" si="24"/>
        <v>90</v>
      </c>
      <c r="BR48" s="46">
        <f t="shared" si="25"/>
        <v>95</v>
      </c>
      <c r="BS48" s="46">
        <f t="shared" si="26"/>
        <v>92.31</v>
      </c>
      <c r="BT48" s="46">
        <f t="shared" si="27"/>
        <v>95</v>
      </c>
      <c r="BU48" s="46">
        <f t="shared" si="28"/>
        <v>93.94</v>
      </c>
      <c r="BV48" s="46">
        <v>0</v>
      </c>
      <c r="BW48" s="46">
        <v>0</v>
      </c>
      <c r="BX48" s="46">
        <f t="shared" si="29"/>
        <v>0</v>
      </c>
      <c r="BY48" s="46">
        <v>0</v>
      </c>
      <c r="BZ48" s="46">
        <v>0</v>
      </c>
      <c r="CA48" s="46">
        <f t="shared" si="76"/>
        <v>0</v>
      </c>
      <c r="CB48" s="46">
        <v>0</v>
      </c>
      <c r="CC48" s="46">
        <v>0</v>
      </c>
      <c r="CD48" s="46">
        <f t="shared" si="31"/>
        <v>0</v>
      </c>
      <c r="CE48" s="46">
        <v>0</v>
      </c>
      <c r="CF48" s="46">
        <v>0</v>
      </c>
      <c r="CG48" s="46">
        <f t="shared" si="77"/>
        <v>0</v>
      </c>
      <c r="CH48" s="46">
        <v>0</v>
      </c>
      <c r="CI48" s="46">
        <v>0</v>
      </c>
      <c r="CJ48" s="46">
        <f t="shared" si="33"/>
        <v>0</v>
      </c>
      <c r="CK48" s="46">
        <v>0</v>
      </c>
      <c r="CL48" s="46">
        <v>0</v>
      </c>
      <c r="CM48" s="46">
        <f t="shared" si="34"/>
        <v>0</v>
      </c>
      <c r="CN48" s="46">
        <v>0</v>
      </c>
      <c r="CO48" s="46">
        <v>0</v>
      </c>
      <c r="CP48" s="46">
        <f t="shared" si="35"/>
        <v>0</v>
      </c>
      <c r="CQ48" s="46">
        <v>0</v>
      </c>
      <c r="CR48" s="46">
        <v>0</v>
      </c>
      <c r="CS48" s="46">
        <f t="shared" si="36"/>
        <v>0</v>
      </c>
      <c r="CT48" s="46">
        <v>0</v>
      </c>
      <c r="CU48" s="46">
        <v>0</v>
      </c>
      <c r="CV48" s="46">
        <f t="shared" si="37"/>
        <v>0</v>
      </c>
      <c r="CW48" s="46">
        <v>0</v>
      </c>
      <c r="CX48" s="46">
        <v>0</v>
      </c>
      <c r="CY48" s="46">
        <f t="shared" si="39"/>
        <v>0</v>
      </c>
      <c r="CZ48" s="46">
        <v>0</v>
      </c>
      <c r="DA48" s="46">
        <v>0</v>
      </c>
      <c r="DB48" s="46">
        <f t="shared" si="41"/>
        <v>0</v>
      </c>
      <c r="DC48" s="46">
        <v>0</v>
      </c>
      <c r="DD48" s="46">
        <v>0</v>
      </c>
      <c r="DE48" s="46">
        <f t="shared" si="43"/>
        <v>0</v>
      </c>
      <c r="DF48" s="46" t="e">
        <f t="shared" si="44"/>
        <v>#DIV/0!</v>
      </c>
      <c r="DG48" s="46" t="e">
        <f t="shared" si="45"/>
        <v>#DIV/0!</v>
      </c>
      <c r="DH48" s="46" t="e">
        <f t="shared" si="46"/>
        <v>#DIV/0!</v>
      </c>
      <c r="DI48" s="46" t="e">
        <f t="shared" si="47"/>
        <v>#DIV/0!</v>
      </c>
      <c r="DJ48" s="46" t="e">
        <f t="shared" si="48"/>
        <v>#DIV/0!</v>
      </c>
      <c r="DK48" s="46" t="e">
        <f t="shared" si="49"/>
        <v>#DIV/0!</v>
      </c>
      <c r="DL48" s="46" t="e">
        <f t="shared" si="50"/>
        <v>#DIV/0!</v>
      </c>
      <c r="DM48" s="46" t="e">
        <f t="shared" si="51"/>
        <v>#DIV/0!</v>
      </c>
      <c r="DN48" s="46" t="e">
        <f t="shared" si="52"/>
        <v>#DIV/0!</v>
      </c>
      <c r="DO48" s="46">
        <v>93</v>
      </c>
      <c r="DP48" s="46">
        <v>94</v>
      </c>
      <c r="DQ48" s="46">
        <f t="shared" si="78"/>
        <v>187</v>
      </c>
      <c r="DR48" s="46">
        <v>15</v>
      </c>
      <c r="DS48" s="46">
        <v>12</v>
      </c>
      <c r="DT48" s="46">
        <f t="shared" si="79"/>
        <v>27</v>
      </c>
      <c r="DU48" s="46">
        <v>9</v>
      </c>
      <c r="DV48" s="46">
        <v>13</v>
      </c>
      <c r="DW48" s="46">
        <f t="shared" si="80"/>
        <v>22</v>
      </c>
      <c r="DX48" s="46">
        <v>29</v>
      </c>
      <c r="DY48" s="46">
        <v>20</v>
      </c>
      <c r="DZ48" s="46">
        <f t="shared" si="81"/>
        <v>49</v>
      </c>
      <c r="EA48" s="46">
        <v>5</v>
      </c>
      <c r="EB48" s="46">
        <v>6</v>
      </c>
      <c r="EC48" s="46">
        <f t="shared" si="82"/>
        <v>11</v>
      </c>
      <c r="ED48" s="46">
        <v>3</v>
      </c>
      <c r="EE48" s="46">
        <v>6</v>
      </c>
      <c r="EF48" s="46">
        <f t="shared" si="83"/>
        <v>9</v>
      </c>
      <c r="EG48" s="46">
        <f t="shared" si="59"/>
        <v>-242</v>
      </c>
      <c r="EH48" s="46">
        <f t="shared" si="60"/>
        <v>-236</v>
      </c>
      <c r="EI48" s="46">
        <f t="shared" si="84"/>
        <v>0</v>
      </c>
      <c r="EJ48" s="46">
        <f t="shared" si="62"/>
        <v>0</v>
      </c>
      <c r="EK48" s="46">
        <f t="shared" si="63"/>
        <v>0</v>
      </c>
    </row>
    <row r="49" spans="1:14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 t="e">
        <f t="shared" si="3"/>
        <v>#DIV/0!</v>
      </c>
      <c r="U49" s="46">
        <v>5059</v>
      </c>
      <c r="V49" s="46">
        <v>4841</v>
      </c>
      <c r="W49" s="46">
        <v>1506</v>
      </c>
      <c r="X49" s="46">
        <v>489</v>
      </c>
      <c r="Y49" s="46">
        <v>182</v>
      </c>
      <c r="Z49" s="46">
        <v>69</v>
      </c>
      <c r="AA49" s="46">
        <v>42</v>
      </c>
      <c r="AB49" s="47">
        <f t="shared" si="4"/>
        <v>-12188</v>
      </c>
      <c r="AC49" s="46">
        <v>125</v>
      </c>
      <c r="AD49" s="46">
        <v>117</v>
      </c>
      <c r="AE49" s="46">
        <f t="shared" si="5"/>
        <v>242</v>
      </c>
      <c r="AF49" s="46">
        <v>20</v>
      </c>
      <c r="AG49" s="46">
        <v>20</v>
      </c>
      <c r="AH49" s="46">
        <f t="shared" si="6"/>
        <v>40</v>
      </c>
      <c r="AI49" s="46">
        <v>13</v>
      </c>
      <c r="AJ49" s="46">
        <v>20</v>
      </c>
      <c r="AK49" s="46">
        <f t="shared" si="7"/>
        <v>33</v>
      </c>
      <c r="AL49" s="46">
        <v>120</v>
      </c>
      <c r="AM49" s="46">
        <v>110</v>
      </c>
      <c r="AN49" s="46">
        <f t="shared" si="8"/>
        <v>230</v>
      </c>
      <c r="AO49" s="46">
        <v>19</v>
      </c>
      <c r="AP49" s="46">
        <v>17</v>
      </c>
      <c r="AQ49" s="46">
        <f t="shared" si="9"/>
        <v>36</v>
      </c>
      <c r="AR49" s="46">
        <v>12</v>
      </c>
      <c r="AS49" s="46">
        <v>19</v>
      </c>
      <c r="AT49" s="46">
        <f t="shared" si="10"/>
        <v>31</v>
      </c>
      <c r="AU49" s="46">
        <v>2</v>
      </c>
      <c r="AV49" s="46">
        <v>4</v>
      </c>
      <c r="AW49" s="46">
        <f t="shared" si="11"/>
        <v>6</v>
      </c>
      <c r="AX49" s="46">
        <v>1</v>
      </c>
      <c r="AY49" s="46">
        <v>1</v>
      </c>
      <c r="AZ49" s="46">
        <f t="shared" si="12"/>
        <v>2</v>
      </c>
      <c r="BA49" s="46"/>
      <c r="BB49" s="46"/>
      <c r="BC49" s="46">
        <f t="shared" si="13"/>
        <v>0</v>
      </c>
      <c r="BD49" s="46">
        <v>122</v>
      </c>
      <c r="BE49" s="46">
        <v>114</v>
      </c>
      <c r="BF49" s="46">
        <f t="shared" si="15"/>
        <v>236</v>
      </c>
      <c r="BG49" s="46">
        <v>20</v>
      </c>
      <c r="BH49" s="46">
        <v>18</v>
      </c>
      <c r="BI49" s="46">
        <f t="shared" si="17"/>
        <v>38</v>
      </c>
      <c r="BJ49" s="46">
        <v>12</v>
      </c>
      <c r="BK49" s="46">
        <v>19</v>
      </c>
      <c r="BL49" s="46">
        <f t="shared" si="19"/>
        <v>31</v>
      </c>
      <c r="BM49" s="46">
        <f t="shared" si="20"/>
        <v>97.6</v>
      </c>
      <c r="BN49" s="46">
        <f t="shared" si="21"/>
        <v>97.44</v>
      </c>
      <c r="BO49" s="46">
        <f t="shared" si="22"/>
        <v>97.52</v>
      </c>
      <c r="BP49" s="46">
        <f t="shared" si="23"/>
        <v>100</v>
      </c>
      <c r="BQ49" s="46">
        <f t="shared" si="24"/>
        <v>90</v>
      </c>
      <c r="BR49" s="46">
        <f t="shared" si="25"/>
        <v>95</v>
      </c>
      <c r="BS49" s="46">
        <f t="shared" si="26"/>
        <v>92.31</v>
      </c>
      <c r="BT49" s="46">
        <f t="shared" si="27"/>
        <v>95</v>
      </c>
      <c r="BU49" s="46">
        <f t="shared" si="28"/>
        <v>93.94</v>
      </c>
      <c r="BV49" s="46">
        <v>0</v>
      </c>
      <c r="BW49" s="46">
        <v>0</v>
      </c>
      <c r="BX49" s="46">
        <f t="shared" si="29"/>
        <v>0</v>
      </c>
      <c r="BY49" s="46">
        <v>0</v>
      </c>
      <c r="BZ49" s="46">
        <v>0</v>
      </c>
      <c r="CA49" s="46">
        <f t="shared" si="76"/>
        <v>0</v>
      </c>
      <c r="CB49" s="46">
        <v>0</v>
      </c>
      <c r="CC49" s="46">
        <v>0</v>
      </c>
      <c r="CD49" s="46">
        <f t="shared" si="31"/>
        <v>0</v>
      </c>
      <c r="CE49" s="46">
        <v>0</v>
      </c>
      <c r="CF49" s="46">
        <v>0</v>
      </c>
      <c r="CG49" s="46">
        <f t="shared" si="77"/>
        <v>0</v>
      </c>
      <c r="CH49" s="46">
        <v>0</v>
      </c>
      <c r="CI49" s="46">
        <v>0</v>
      </c>
      <c r="CJ49" s="46">
        <f t="shared" si="33"/>
        <v>0</v>
      </c>
      <c r="CK49" s="46">
        <v>0</v>
      </c>
      <c r="CL49" s="46">
        <v>0</v>
      </c>
      <c r="CM49" s="46">
        <f t="shared" si="34"/>
        <v>0</v>
      </c>
      <c r="CN49" s="46">
        <v>0</v>
      </c>
      <c r="CO49" s="46">
        <v>0</v>
      </c>
      <c r="CP49" s="46">
        <f t="shared" si="35"/>
        <v>0</v>
      </c>
      <c r="CQ49" s="46">
        <v>0</v>
      </c>
      <c r="CR49" s="46">
        <v>0</v>
      </c>
      <c r="CS49" s="46">
        <f t="shared" si="36"/>
        <v>0</v>
      </c>
      <c r="CT49" s="46">
        <v>0</v>
      </c>
      <c r="CU49" s="46">
        <v>0</v>
      </c>
      <c r="CV49" s="46">
        <f t="shared" si="37"/>
        <v>0</v>
      </c>
      <c r="CW49" s="46">
        <v>0</v>
      </c>
      <c r="CX49" s="46">
        <v>0</v>
      </c>
      <c r="CY49" s="46">
        <f t="shared" si="39"/>
        <v>0</v>
      </c>
      <c r="CZ49" s="46">
        <v>0</v>
      </c>
      <c r="DA49" s="46">
        <v>0</v>
      </c>
      <c r="DB49" s="46">
        <f t="shared" si="41"/>
        <v>0</v>
      </c>
      <c r="DC49" s="46">
        <v>0</v>
      </c>
      <c r="DD49" s="46">
        <v>0</v>
      </c>
      <c r="DE49" s="46">
        <f t="shared" si="43"/>
        <v>0</v>
      </c>
      <c r="DF49" s="46" t="e">
        <f t="shared" si="44"/>
        <v>#DIV/0!</v>
      </c>
      <c r="DG49" s="46" t="e">
        <f t="shared" si="45"/>
        <v>#DIV/0!</v>
      </c>
      <c r="DH49" s="46" t="e">
        <f t="shared" si="46"/>
        <v>#DIV/0!</v>
      </c>
      <c r="DI49" s="46" t="e">
        <f t="shared" si="47"/>
        <v>#DIV/0!</v>
      </c>
      <c r="DJ49" s="46" t="e">
        <f t="shared" si="48"/>
        <v>#DIV/0!</v>
      </c>
      <c r="DK49" s="46" t="e">
        <f t="shared" si="49"/>
        <v>#DIV/0!</v>
      </c>
      <c r="DL49" s="46" t="e">
        <f t="shared" si="50"/>
        <v>#DIV/0!</v>
      </c>
      <c r="DM49" s="46" t="e">
        <f t="shared" si="51"/>
        <v>#DIV/0!</v>
      </c>
      <c r="DN49" s="46" t="e">
        <f t="shared" si="52"/>
        <v>#DIV/0!</v>
      </c>
      <c r="DO49" s="46">
        <v>93</v>
      </c>
      <c r="DP49" s="46">
        <v>94</v>
      </c>
      <c r="DQ49" s="46">
        <f t="shared" si="78"/>
        <v>187</v>
      </c>
      <c r="DR49" s="46">
        <v>15</v>
      </c>
      <c r="DS49" s="46">
        <v>12</v>
      </c>
      <c r="DT49" s="46">
        <f t="shared" si="79"/>
        <v>27</v>
      </c>
      <c r="DU49" s="46">
        <v>9</v>
      </c>
      <c r="DV49" s="46">
        <v>13</v>
      </c>
      <c r="DW49" s="46">
        <f t="shared" si="80"/>
        <v>22</v>
      </c>
      <c r="DX49" s="46">
        <v>29</v>
      </c>
      <c r="DY49" s="46">
        <v>20</v>
      </c>
      <c r="DZ49" s="46">
        <f t="shared" si="81"/>
        <v>49</v>
      </c>
      <c r="EA49" s="46">
        <v>5</v>
      </c>
      <c r="EB49" s="46">
        <v>6</v>
      </c>
      <c r="EC49" s="46">
        <f t="shared" si="82"/>
        <v>11</v>
      </c>
      <c r="ED49" s="46">
        <v>3</v>
      </c>
      <c r="EE49" s="46">
        <v>6</v>
      </c>
      <c r="EF49" s="46">
        <f t="shared" si="83"/>
        <v>9</v>
      </c>
      <c r="EG49" s="46">
        <f t="shared" si="59"/>
        <v>-242</v>
      </c>
      <c r="EH49" s="46">
        <f t="shared" si="60"/>
        <v>-236</v>
      </c>
      <c r="EI49" s="46">
        <f t="shared" si="84"/>
        <v>0</v>
      </c>
      <c r="EJ49" s="46">
        <f t="shared" si="62"/>
        <v>0</v>
      </c>
      <c r="EK49" s="46">
        <f t="shared" si="63"/>
        <v>0</v>
      </c>
    </row>
    <row r="50" spans="1:14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 t="e">
        <f t="shared" si="3"/>
        <v>#DIV/0!</v>
      </c>
      <c r="U50" s="46">
        <v>5059</v>
      </c>
      <c r="V50" s="46">
        <v>4841</v>
      </c>
      <c r="W50" s="46">
        <v>1506</v>
      </c>
      <c r="X50" s="46">
        <v>489</v>
      </c>
      <c r="Y50" s="46">
        <v>182</v>
      </c>
      <c r="Z50" s="46">
        <v>69</v>
      </c>
      <c r="AA50" s="46">
        <v>42</v>
      </c>
      <c r="AB50" s="47">
        <f t="shared" si="4"/>
        <v>-12188</v>
      </c>
      <c r="AC50" s="46">
        <v>125</v>
      </c>
      <c r="AD50" s="46">
        <v>117</v>
      </c>
      <c r="AE50" s="46">
        <f t="shared" si="5"/>
        <v>242</v>
      </c>
      <c r="AF50" s="46">
        <v>20</v>
      </c>
      <c r="AG50" s="46">
        <v>20</v>
      </c>
      <c r="AH50" s="46">
        <f t="shared" si="6"/>
        <v>40</v>
      </c>
      <c r="AI50" s="46">
        <v>13</v>
      </c>
      <c r="AJ50" s="46">
        <v>20</v>
      </c>
      <c r="AK50" s="46">
        <f t="shared" si="7"/>
        <v>33</v>
      </c>
      <c r="AL50" s="46">
        <v>120</v>
      </c>
      <c r="AM50" s="46">
        <v>110</v>
      </c>
      <c r="AN50" s="46">
        <f t="shared" si="8"/>
        <v>230</v>
      </c>
      <c r="AO50" s="46">
        <v>19</v>
      </c>
      <c r="AP50" s="46">
        <v>17</v>
      </c>
      <c r="AQ50" s="46">
        <f t="shared" si="9"/>
        <v>36</v>
      </c>
      <c r="AR50" s="46">
        <v>12</v>
      </c>
      <c r="AS50" s="46">
        <v>19</v>
      </c>
      <c r="AT50" s="46">
        <f t="shared" si="10"/>
        <v>31</v>
      </c>
      <c r="AU50" s="46">
        <v>2</v>
      </c>
      <c r="AV50" s="46">
        <v>4</v>
      </c>
      <c r="AW50" s="46">
        <f t="shared" si="11"/>
        <v>6</v>
      </c>
      <c r="AX50" s="46">
        <v>1</v>
      </c>
      <c r="AY50" s="46">
        <v>1</v>
      </c>
      <c r="AZ50" s="46">
        <f t="shared" si="12"/>
        <v>2</v>
      </c>
      <c r="BA50" s="46"/>
      <c r="BB50" s="46"/>
      <c r="BC50" s="46">
        <f t="shared" si="13"/>
        <v>0</v>
      </c>
      <c r="BD50" s="46">
        <v>122</v>
      </c>
      <c r="BE50" s="46">
        <v>114</v>
      </c>
      <c r="BF50" s="46">
        <f t="shared" si="15"/>
        <v>236</v>
      </c>
      <c r="BG50" s="46">
        <v>20</v>
      </c>
      <c r="BH50" s="46">
        <v>18</v>
      </c>
      <c r="BI50" s="46">
        <f t="shared" si="17"/>
        <v>38</v>
      </c>
      <c r="BJ50" s="46">
        <v>12</v>
      </c>
      <c r="BK50" s="46">
        <v>19</v>
      </c>
      <c r="BL50" s="46">
        <f t="shared" si="19"/>
        <v>31</v>
      </c>
      <c r="BM50" s="46">
        <f t="shared" si="20"/>
        <v>97.6</v>
      </c>
      <c r="BN50" s="46">
        <f t="shared" si="21"/>
        <v>97.44</v>
      </c>
      <c r="BO50" s="46">
        <f t="shared" si="22"/>
        <v>97.52</v>
      </c>
      <c r="BP50" s="46">
        <f t="shared" si="23"/>
        <v>100</v>
      </c>
      <c r="BQ50" s="46">
        <f t="shared" si="24"/>
        <v>90</v>
      </c>
      <c r="BR50" s="46">
        <f t="shared" si="25"/>
        <v>95</v>
      </c>
      <c r="BS50" s="46">
        <f t="shared" si="26"/>
        <v>92.31</v>
      </c>
      <c r="BT50" s="46">
        <f t="shared" si="27"/>
        <v>95</v>
      </c>
      <c r="BU50" s="46">
        <f t="shared" si="28"/>
        <v>93.94</v>
      </c>
      <c r="BV50" s="46">
        <v>0</v>
      </c>
      <c r="BW50" s="46">
        <v>0</v>
      </c>
      <c r="BX50" s="46">
        <f t="shared" si="29"/>
        <v>0</v>
      </c>
      <c r="BY50" s="46">
        <v>0</v>
      </c>
      <c r="BZ50" s="46">
        <v>0</v>
      </c>
      <c r="CA50" s="46">
        <f t="shared" si="76"/>
        <v>0</v>
      </c>
      <c r="CB50" s="46">
        <v>0</v>
      </c>
      <c r="CC50" s="46">
        <v>0</v>
      </c>
      <c r="CD50" s="46">
        <f t="shared" si="31"/>
        <v>0</v>
      </c>
      <c r="CE50" s="46">
        <v>0</v>
      </c>
      <c r="CF50" s="46">
        <v>0</v>
      </c>
      <c r="CG50" s="46">
        <f t="shared" si="77"/>
        <v>0</v>
      </c>
      <c r="CH50" s="46">
        <v>0</v>
      </c>
      <c r="CI50" s="46">
        <v>0</v>
      </c>
      <c r="CJ50" s="46">
        <f t="shared" si="33"/>
        <v>0</v>
      </c>
      <c r="CK50" s="46">
        <v>0</v>
      </c>
      <c r="CL50" s="46">
        <v>0</v>
      </c>
      <c r="CM50" s="46">
        <f t="shared" si="34"/>
        <v>0</v>
      </c>
      <c r="CN50" s="46">
        <v>0</v>
      </c>
      <c r="CO50" s="46">
        <v>0</v>
      </c>
      <c r="CP50" s="46">
        <f t="shared" si="35"/>
        <v>0</v>
      </c>
      <c r="CQ50" s="46">
        <v>0</v>
      </c>
      <c r="CR50" s="46">
        <v>0</v>
      </c>
      <c r="CS50" s="46">
        <f t="shared" si="36"/>
        <v>0</v>
      </c>
      <c r="CT50" s="46">
        <v>0</v>
      </c>
      <c r="CU50" s="46">
        <v>0</v>
      </c>
      <c r="CV50" s="46">
        <f t="shared" si="37"/>
        <v>0</v>
      </c>
      <c r="CW50" s="46">
        <v>0</v>
      </c>
      <c r="CX50" s="46">
        <v>0</v>
      </c>
      <c r="CY50" s="46">
        <f t="shared" si="39"/>
        <v>0</v>
      </c>
      <c r="CZ50" s="46">
        <v>0</v>
      </c>
      <c r="DA50" s="46">
        <v>0</v>
      </c>
      <c r="DB50" s="46">
        <f t="shared" si="41"/>
        <v>0</v>
      </c>
      <c r="DC50" s="46">
        <v>0</v>
      </c>
      <c r="DD50" s="46">
        <v>0</v>
      </c>
      <c r="DE50" s="46">
        <f t="shared" si="43"/>
        <v>0</v>
      </c>
      <c r="DF50" s="46" t="e">
        <f t="shared" si="44"/>
        <v>#DIV/0!</v>
      </c>
      <c r="DG50" s="46" t="e">
        <f t="shared" si="45"/>
        <v>#DIV/0!</v>
      </c>
      <c r="DH50" s="46" t="e">
        <f t="shared" si="46"/>
        <v>#DIV/0!</v>
      </c>
      <c r="DI50" s="46" t="e">
        <f t="shared" si="47"/>
        <v>#DIV/0!</v>
      </c>
      <c r="DJ50" s="46" t="e">
        <f t="shared" si="48"/>
        <v>#DIV/0!</v>
      </c>
      <c r="DK50" s="46" t="e">
        <f t="shared" si="49"/>
        <v>#DIV/0!</v>
      </c>
      <c r="DL50" s="46" t="e">
        <f t="shared" si="50"/>
        <v>#DIV/0!</v>
      </c>
      <c r="DM50" s="46" t="e">
        <f t="shared" si="51"/>
        <v>#DIV/0!</v>
      </c>
      <c r="DN50" s="46" t="e">
        <f t="shared" si="52"/>
        <v>#DIV/0!</v>
      </c>
      <c r="DO50" s="46">
        <v>93</v>
      </c>
      <c r="DP50" s="46">
        <v>94</v>
      </c>
      <c r="DQ50" s="46">
        <f t="shared" si="78"/>
        <v>187</v>
      </c>
      <c r="DR50" s="46">
        <v>15</v>
      </c>
      <c r="DS50" s="46">
        <v>12</v>
      </c>
      <c r="DT50" s="46">
        <f t="shared" si="79"/>
        <v>27</v>
      </c>
      <c r="DU50" s="46">
        <v>9</v>
      </c>
      <c r="DV50" s="46">
        <v>13</v>
      </c>
      <c r="DW50" s="46">
        <f t="shared" si="80"/>
        <v>22</v>
      </c>
      <c r="DX50" s="46">
        <v>29</v>
      </c>
      <c r="DY50" s="46">
        <v>20</v>
      </c>
      <c r="DZ50" s="46">
        <f t="shared" si="81"/>
        <v>49</v>
      </c>
      <c r="EA50" s="46">
        <v>5</v>
      </c>
      <c r="EB50" s="46">
        <v>6</v>
      </c>
      <c r="EC50" s="46">
        <f t="shared" si="82"/>
        <v>11</v>
      </c>
      <c r="ED50" s="46">
        <v>3</v>
      </c>
      <c r="EE50" s="46">
        <v>6</v>
      </c>
      <c r="EF50" s="46">
        <f t="shared" si="83"/>
        <v>9</v>
      </c>
      <c r="EG50" s="46">
        <f t="shared" si="59"/>
        <v>-242</v>
      </c>
      <c r="EH50" s="46">
        <f t="shared" si="60"/>
        <v>-236</v>
      </c>
      <c r="EI50" s="46">
        <f t="shared" si="84"/>
        <v>0</v>
      </c>
      <c r="EJ50" s="46">
        <f t="shared" si="62"/>
        <v>0</v>
      </c>
      <c r="EK50" s="46">
        <f t="shared" si="63"/>
        <v>0</v>
      </c>
    </row>
  </sheetData>
  <protectedRanges>
    <protectedRange sqref="AC4:AD4 AC10:AD12 AC6:AD6 AC16:AD18" name="Range1_1"/>
    <protectedRange sqref="AC7:AD7" name="Range1_1_2"/>
    <protectedRange sqref="AC8:AD8" name="Range1_1_3"/>
    <protectedRange sqref="AC9:AD9" name="Range1_1_4"/>
    <protectedRange sqref="AC13:AD14" name="Range1_1_5"/>
    <protectedRange sqref="AC15:AD15" name="Range1_1_6"/>
    <protectedRange sqref="AC5:AD5" name="Range1_1_7"/>
    <protectedRange sqref="AC19:AD19" name="Range1_1_8"/>
  </protectedRanges>
  <autoFilter ref="A2:EL2">
    <sortState ref="A3:EL50">
      <sortCondition ref="B2"/>
    </sortState>
  </autoFilter>
  <mergeCells count="20">
    <mergeCell ref="DX1:EF1"/>
    <mergeCell ref="EI1:EK1"/>
    <mergeCell ref="H1:K1"/>
    <mergeCell ref="L1:O1"/>
    <mergeCell ref="P1:T1"/>
    <mergeCell ref="U1:AB1"/>
    <mergeCell ref="DF1:DN1"/>
    <mergeCell ref="EG1:EH1"/>
    <mergeCell ref="AC1:AK1"/>
    <mergeCell ref="AL1:AT1"/>
    <mergeCell ref="AU1:BC1"/>
    <mergeCell ref="BD1:BL1"/>
    <mergeCell ref="BV1:CD1"/>
    <mergeCell ref="CE1:CM1"/>
    <mergeCell ref="BM1:BU1"/>
    <mergeCell ref="CN1:CV1"/>
    <mergeCell ref="CW1:DE1"/>
    <mergeCell ref="D1:E1"/>
    <mergeCell ref="F1:G1"/>
    <mergeCell ref="DO1:D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O98"/>
  <sheetViews>
    <sheetView tabSelected="1" view="pageBreakPreview" zoomScale="55" zoomScaleSheetLayoutView="5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I10" sqref="I10"/>
    </sheetView>
  </sheetViews>
  <sheetFormatPr defaultRowHeight="15"/>
  <cols>
    <col min="2" max="2" width="12.42578125" customWidth="1"/>
    <col min="3" max="3" width="33.5703125" customWidth="1"/>
    <col min="4" max="4" width="11" bestFit="1" customWidth="1"/>
    <col min="5" max="5" width="10.85546875" bestFit="1" customWidth="1"/>
    <col min="6" max="6" width="12.140625" bestFit="1" customWidth="1"/>
    <col min="7" max="8" width="10.85546875" bestFit="1" customWidth="1"/>
    <col min="9" max="9" width="12.140625" customWidth="1"/>
    <col min="10" max="12" width="9.42578125" bestFit="1" customWidth="1"/>
    <col min="13" max="13" width="10.28515625" customWidth="1"/>
    <col min="14" max="14" width="10.85546875" bestFit="1" customWidth="1"/>
    <col min="15" max="15" width="12.140625" bestFit="1" customWidth="1"/>
    <col min="16" max="16" width="10.42578125" customWidth="1"/>
    <col min="17" max="17" width="10.140625" customWidth="1"/>
    <col min="18" max="18" width="10.5703125" customWidth="1"/>
    <col min="19" max="21" width="9.42578125" bestFit="1" customWidth="1"/>
    <col min="22" max="23" width="9.28515625" bestFit="1" customWidth="1"/>
    <col min="24" max="24" width="10.42578125" customWidth="1"/>
    <col min="25" max="26" width="9.28515625" bestFit="1" customWidth="1"/>
    <col min="31" max="31" width="10.7109375" customWidth="1"/>
    <col min="32" max="32" width="11.140625" customWidth="1"/>
    <col min="33" max="33" width="11" customWidth="1"/>
    <col min="34" max="34" width="10.28515625" customWidth="1"/>
    <col min="35" max="35" width="10.85546875" bestFit="1" customWidth="1"/>
    <col min="36" max="36" width="12.140625" bestFit="1" customWidth="1"/>
    <col min="37" max="38" width="10.85546875" bestFit="1" customWidth="1"/>
    <col min="39" max="39" width="12.140625" bestFit="1" customWidth="1"/>
    <col min="40" max="42" width="9.140625" customWidth="1"/>
    <col min="43" max="44" width="10.85546875" bestFit="1" customWidth="1"/>
    <col min="45" max="45" width="12.140625" bestFit="1" customWidth="1"/>
    <col min="46" max="46" width="9.7109375" customWidth="1"/>
    <col min="47" max="47" width="9.85546875" customWidth="1"/>
    <col min="48" max="48" width="10" customWidth="1"/>
    <col min="49" max="54" width="10.85546875" bestFit="1" customWidth="1"/>
    <col min="55" max="57" width="9.28515625" bestFit="1" customWidth="1"/>
    <col min="58" max="60" width="10.85546875" bestFit="1" customWidth="1"/>
    <col min="61" max="61" width="10.42578125" customWidth="1"/>
    <col min="62" max="63" width="11.28515625" customWidth="1"/>
    <col min="64" max="64" width="9.28515625" bestFit="1" customWidth="1"/>
    <col min="76" max="76" width="9.7109375" customWidth="1"/>
    <col min="79" max="79" width="11.28515625" customWidth="1"/>
    <col min="80" max="84" width="10.85546875" bestFit="1" customWidth="1"/>
    <col min="85" max="87" width="9.140625" customWidth="1"/>
    <col min="88" max="90" width="10.85546875" bestFit="1" customWidth="1"/>
    <col min="91" max="91" width="9.140625" customWidth="1"/>
    <col min="92" max="92" width="9.7109375" customWidth="1"/>
    <col min="93" max="93" width="11.140625" customWidth="1"/>
    <col min="96" max="96" width="10.85546875" bestFit="1" customWidth="1"/>
    <col min="102" max="102" width="9.28515625" bestFit="1" customWidth="1"/>
    <col min="105" max="105" width="10.85546875" bestFit="1" customWidth="1"/>
    <col min="107" max="107" width="9.85546875" customWidth="1"/>
    <col min="108" max="108" width="9.7109375" customWidth="1"/>
    <col min="110" max="120" width="9.28515625" bestFit="1" customWidth="1"/>
    <col min="121" max="123" width="9.42578125" bestFit="1" customWidth="1"/>
    <col min="124" max="125" width="9.140625" customWidth="1"/>
    <col min="126" max="126" width="10.85546875" bestFit="1" customWidth="1"/>
    <col min="127" max="134" width="9.140625" customWidth="1"/>
    <col min="135" max="135" width="10.85546875" bestFit="1" customWidth="1"/>
    <col min="136" max="136" width="9.140625" customWidth="1"/>
    <col min="137" max="137" width="9.5703125" customWidth="1"/>
    <col min="138" max="138" width="9.7109375" customWidth="1"/>
    <col min="139" max="139" width="12" customWidth="1"/>
    <col min="140" max="140" width="10.5703125" customWidth="1"/>
    <col min="141" max="141" width="12.140625" bestFit="1" customWidth="1"/>
    <col min="142" max="142" width="12.140625" customWidth="1"/>
    <col min="143" max="143" width="13" customWidth="1"/>
    <col min="144" max="144" width="12" customWidth="1"/>
    <col min="145" max="145" width="11.85546875" customWidth="1"/>
    <col min="146" max="146" width="12.140625" customWidth="1"/>
    <col min="147" max="147" width="10.85546875" customWidth="1"/>
    <col min="148" max="148" width="12.42578125" customWidth="1"/>
    <col min="149" max="149" width="12" customWidth="1"/>
    <col min="150" max="150" width="12.5703125" customWidth="1"/>
    <col min="151" max="152" width="11.42578125" customWidth="1"/>
    <col min="153" max="153" width="10.42578125" customWidth="1"/>
    <col min="154" max="155" width="10.28515625" customWidth="1"/>
    <col min="156" max="156" width="11" customWidth="1"/>
    <col min="157" max="157" width="12.28515625" customWidth="1"/>
    <col min="158" max="158" width="12.140625" customWidth="1"/>
    <col min="159" max="159" width="10.7109375" customWidth="1"/>
    <col min="160" max="160" width="11.7109375" customWidth="1"/>
    <col min="161" max="161" width="10.42578125" customWidth="1"/>
    <col min="162" max="162" width="11.28515625" customWidth="1"/>
    <col min="163" max="163" width="11.5703125" customWidth="1"/>
    <col min="164" max="164" width="9.7109375" customWidth="1"/>
    <col min="165" max="165" width="11.7109375" customWidth="1"/>
  </cols>
  <sheetData>
    <row r="1" spans="1:171" ht="21.75" customHeight="1">
      <c r="A1" s="121"/>
      <c r="B1" s="121"/>
      <c r="C1" s="125" t="s">
        <v>344</v>
      </c>
      <c r="D1" s="449" t="s">
        <v>362</v>
      </c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50" t="str">
        <f>D1</f>
        <v>RESULTS OF SECONDARY EXAMINATION- 2020</v>
      </c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 t="str">
        <f>S1</f>
        <v>RESULTS OF SECONDARY EXAMINATION- 2020</v>
      </c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 t="str">
        <f>AH1</f>
        <v>RESULTS OF SECONDARY EXAMINATION- 2020</v>
      </c>
      <c r="AX1" s="450"/>
      <c r="AY1" s="450"/>
      <c r="AZ1" s="450"/>
      <c r="BA1" s="450"/>
      <c r="BB1" s="450"/>
      <c r="BC1" s="450"/>
      <c r="BD1" s="450"/>
      <c r="BE1" s="450"/>
      <c r="BF1" s="450"/>
      <c r="BG1" s="450"/>
      <c r="BH1" s="450"/>
      <c r="BI1" s="450"/>
      <c r="BJ1" s="450"/>
      <c r="BK1" s="450"/>
      <c r="BL1" s="450" t="str">
        <f>AW1</f>
        <v>RESULTS OF SECONDARY EXAMINATION- 2020</v>
      </c>
      <c r="BM1" s="450"/>
      <c r="BN1" s="450"/>
      <c r="BO1" s="450"/>
      <c r="BP1" s="450"/>
      <c r="BQ1" s="450"/>
      <c r="BR1" s="450"/>
      <c r="BS1" s="450"/>
      <c r="BT1" s="450"/>
      <c r="BU1" s="450"/>
      <c r="BV1" s="450"/>
      <c r="BW1" s="450"/>
      <c r="BX1" s="450"/>
      <c r="BY1" s="450"/>
      <c r="BZ1" s="450"/>
      <c r="CA1" s="450" t="str">
        <f>BL1</f>
        <v>RESULTS OF SECONDARY EXAMINATION- 2020</v>
      </c>
      <c r="CB1" s="450"/>
      <c r="CC1" s="450"/>
      <c r="CD1" s="450"/>
      <c r="CE1" s="450"/>
      <c r="CF1" s="450"/>
      <c r="CG1" s="450"/>
      <c r="CH1" s="450"/>
      <c r="CI1" s="450"/>
      <c r="CJ1" s="450"/>
      <c r="CK1" s="450"/>
      <c r="CL1" s="450"/>
      <c r="CM1" s="450"/>
      <c r="CN1" s="450"/>
      <c r="CO1" s="450"/>
      <c r="CP1" s="450" t="str">
        <f>AH1</f>
        <v>RESULTS OF SECONDARY EXAMINATION- 2020</v>
      </c>
      <c r="CQ1" s="450"/>
      <c r="CR1" s="450"/>
      <c r="CS1" s="450"/>
      <c r="CT1" s="450"/>
      <c r="CU1" s="450"/>
      <c r="CV1" s="450"/>
      <c r="CW1" s="450"/>
      <c r="CX1" s="450"/>
      <c r="CY1" s="450"/>
      <c r="CZ1" s="450"/>
      <c r="DA1" s="450"/>
      <c r="DB1" s="450"/>
      <c r="DC1" s="450"/>
      <c r="DD1" s="450"/>
      <c r="DE1" s="450" t="str">
        <f>CP1</f>
        <v>RESULTS OF SECONDARY EXAMINATION- 2020</v>
      </c>
      <c r="DF1" s="450"/>
      <c r="DG1" s="450"/>
      <c r="DH1" s="450"/>
      <c r="DI1" s="450"/>
      <c r="DJ1" s="450"/>
      <c r="DK1" s="450"/>
      <c r="DL1" s="450"/>
      <c r="DM1" s="450"/>
      <c r="DN1" s="450"/>
      <c r="DO1" s="450"/>
      <c r="DP1" s="450"/>
      <c r="DQ1" s="450"/>
      <c r="DR1" s="450"/>
      <c r="DS1" s="450"/>
      <c r="DT1" s="450" t="str">
        <f>DE1</f>
        <v>RESULTS OF SECONDARY EXAMINATION- 2020</v>
      </c>
      <c r="DU1" s="450"/>
      <c r="DV1" s="450"/>
      <c r="DW1" s="450"/>
      <c r="DX1" s="450"/>
      <c r="DY1" s="450"/>
      <c r="DZ1" s="450"/>
      <c r="EA1" s="450"/>
      <c r="EB1" s="450"/>
      <c r="EC1" s="450"/>
      <c r="ED1" s="450"/>
      <c r="EE1" s="450"/>
      <c r="EF1" s="450"/>
      <c r="EG1" s="450"/>
      <c r="EH1" s="450"/>
      <c r="EI1" s="449" t="str">
        <f>D1</f>
        <v>RESULTS OF SECONDARY EXAMINATION- 2020</v>
      </c>
      <c r="EJ1" s="449"/>
      <c r="EK1" s="449"/>
      <c r="EL1" s="449"/>
      <c r="EM1" s="449"/>
      <c r="EN1" s="449"/>
      <c r="EO1" s="449"/>
      <c r="EP1" s="449"/>
      <c r="EQ1" s="449"/>
      <c r="ER1" s="449" t="str">
        <f>D1</f>
        <v>RESULTS OF SECONDARY EXAMINATION- 2020</v>
      </c>
      <c r="ES1" s="449"/>
      <c r="ET1" s="449"/>
      <c r="EU1" s="449"/>
      <c r="EV1" s="449"/>
      <c r="EW1" s="449"/>
      <c r="EX1" s="449"/>
      <c r="EY1" s="449"/>
      <c r="EZ1" s="449"/>
      <c r="FA1" s="449" t="str">
        <f>D1</f>
        <v>RESULTS OF SECONDARY EXAMINATION- 2020</v>
      </c>
      <c r="FB1" s="449"/>
      <c r="FC1" s="449"/>
      <c r="FD1" s="449"/>
      <c r="FE1" s="449"/>
      <c r="FF1" s="449"/>
      <c r="FG1" s="449"/>
      <c r="FH1" s="449"/>
      <c r="FI1" s="449"/>
    </row>
    <row r="2" spans="1:171" ht="15.75" customHeight="1">
      <c r="A2" s="121"/>
      <c r="B2" s="121"/>
      <c r="C2" s="125"/>
      <c r="D2" s="452" t="s">
        <v>179</v>
      </c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 t="s">
        <v>180</v>
      </c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 t="s">
        <v>181</v>
      </c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 t="s">
        <v>182</v>
      </c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 t="s">
        <v>183</v>
      </c>
      <c r="BM2" s="452"/>
      <c r="BN2" s="452"/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/>
      <c r="CA2" s="452" t="s">
        <v>184</v>
      </c>
      <c r="CB2" s="452"/>
      <c r="CC2" s="452"/>
      <c r="CD2" s="452"/>
      <c r="CE2" s="452"/>
      <c r="CF2" s="452"/>
      <c r="CG2" s="452"/>
      <c r="CH2" s="452"/>
      <c r="CI2" s="452"/>
      <c r="CJ2" s="452"/>
      <c r="CK2" s="452"/>
      <c r="CL2" s="452"/>
      <c r="CM2" s="452"/>
      <c r="CN2" s="452"/>
      <c r="CO2" s="452"/>
      <c r="CP2" s="452" t="s">
        <v>185</v>
      </c>
      <c r="CQ2" s="452"/>
      <c r="CR2" s="452"/>
      <c r="CS2" s="452"/>
      <c r="CT2" s="452"/>
      <c r="CU2" s="452"/>
      <c r="CV2" s="452"/>
      <c r="CW2" s="452"/>
      <c r="CX2" s="452"/>
      <c r="CY2" s="452"/>
      <c r="CZ2" s="452"/>
      <c r="DA2" s="452"/>
      <c r="DB2" s="452"/>
      <c r="DC2" s="452"/>
      <c r="DD2" s="452"/>
      <c r="DE2" s="451" t="s">
        <v>186</v>
      </c>
      <c r="DF2" s="451"/>
      <c r="DG2" s="451"/>
      <c r="DH2" s="451"/>
      <c r="DI2" s="451"/>
      <c r="DJ2" s="451"/>
      <c r="DK2" s="451"/>
      <c r="DL2" s="451"/>
      <c r="DM2" s="451"/>
      <c r="DN2" s="451"/>
      <c r="DO2" s="451"/>
      <c r="DP2" s="451"/>
      <c r="DQ2" s="451"/>
      <c r="DR2" s="451"/>
      <c r="DS2" s="451"/>
      <c r="DT2" s="452" t="s">
        <v>187</v>
      </c>
      <c r="DU2" s="452"/>
      <c r="DV2" s="452"/>
      <c r="DW2" s="452"/>
      <c r="DX2" s="452"/>
      <c r="DY2" s="452"/>
      <c r="DZ2" s="452"/>
      <c r="EA2" s="452"/>
      <c r="EB2" s="452"/>
      <c r="EC2" s="452"/>
      <c r="ED2" s="452"/>
      <c r="EE2" s="452"/>
      <c r="EF2" s="452"/>
      <c r="EG2" s="452"/>
      <c r="EH2" s="452"/>
      <c r="EI2" s="464" t="s">
        <v>209</v>
      </c>
      <c r="EJ2" s="464"/>
      <c r="EK2" s="464"/>
      <c r="EL2" s="464"/>
      <c r="EM2" s="464"/>
      <c r="EN2" s="464"/>
      <c r="EO2" s="464"/>
      <c r="EP2" s="464"/>
      <c r="EQ2" s="464"/>
      <c r="ER2" s="452" t="s">
        <v>210</v>
      </c>
      <c r="ES2" s="452"/>
      <c r="ET2" s="452"/>
      <c r="EU2" s="452"/>
      <c r="EV2" s="452"/>
      <c r="EW2" s="452"/>
      <c r="EX2" s="452"/>
      <c r="EY2" s="452"/>
      <c r="EZ2" s="452"/>
      <c r="FA2" s="452" t="s">
        <v>211</v>
      </c>
      <c r="FB2" s="452"/>
      <c r="FC2" s="452"/>
      <c r="FD2" s="452"/>
      <c r="FE2" s="452"/>
      <c r="FF2" s="452"/>
      <c r="FG2" s="452"/>
      <c r="FH2" s="452"/>
      <c r="FI2" s="452"/>
    </row>
    <row r="3" spans="1:171" ht="15" customHeight="1">
      <c r="A3" s="458" t="s">
        <v>192</v>
      </c>
      <c r="B3" s="460" t="s">
        <v>368</v>
      </c>
      <c r="C3" s="459" t="s">
        <v>42</v>
      </c>
      <c r="D3" s="448" t="s">
        <v>188</v>
      </c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6" t="s">
        <v>189</v>
      </c>
      <c r="Q3" s="446"/>
      <c r="R3" s="446"/>
      <c r="S3" s="448" t="s">
        <v>188</v>
      </c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6" t="s">
        <v>189</v>
      </c>
      <c r="AF3" s="446"/>
      <c r="AG3" s="446"/>
      <c r="AH3" s="448" t="s">
        <v>188</v>
      </c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6" t="s">
        <v>189</v>
      </c>
      <c r="AU3" s="446"/>
      <c r="AV3" s="446"/>
      <c r="AW3" s="448" t="s">
        <v>188</v>
      </c>
      <c r="AX3" s="448"/>
      <c r="AY3" s="448"/>
      <c r="AZ3" s="448"/>
      <c r="BA3" s="448"/>
      <c r="BB3" s="448"/>
      <c r="BC3" s="448"/>
      <c r="BD3" s="448"/>
      <c r="BE3" s="448"/>
      <c r="BF3" s="448"/>
      <c r="BG3" s="448"/>
      <c r="BH3" s="448"/>
      <c r="BI3" s="446" t="s">
        <v>189</v>
      </c>
      <c r="BJ3" s="446"/>
      <c r="BK3" s="446"/>
      <c r="BL3" s="448" t="s">
        <v>188</v>
      </c>
      <c r="BM3" s="448"/>
      <c r="BN3" s="448"/>
      <c r="BO3" s="448"/>
      <c r="BP3" s="448"/>
      <c r="BQ3" s="448"/>
      <c r="BR3" s="448"/>
      <c r="BS3" s="448"/>
      <c r="BT3" s="448"/>
      <c r="BU3" s="448"/>
      <c r="BV3" s="448"/>
      <c r="BW3" s="448"/>
      <c r="BX3" s="446" t="s">
        <v>189</v>
      </c>
      <c r="BY3" s="446"/>
      <c r="BZ3" s="446"/>
      <c r="CA3" s="448" t="s">
        <v>188</v>
      </c>
      <c r="CB3" s="448"/>
      <c r="CC3" s="448"/>
      <c r="CD3" s="448"/>
      <c r="CE3" s="448"/>
      <c r="CF3" s="448"/>
      <c r="CG3" s="448"/>
      <c r="CH3" s="448"/>
      <c r="CI3" s="448"/>
      <c r="CJ3" s="448"/>
      <c r="CK3" s="448"/>
      <c r="CL3" s="448"/>
      <c r="CM3" s="446" t="s">
        <v>189</v>
      </c>
      <c r="CN3" s="446"/>
      <c r="CO3" s="446"/>
      <c r="CP3" s="448" t="s">
        <v>188</v>
      </c>
      <c r="CQ3" s="448"/>
      <c r="CR3" s="448"/>
      <c r="CS3" s="448"/>
      <c r="CT3" s="448"/>
      <c r="CU3" s="448"/>
      <c r="CV3" s="448"/>
      <c r="CW3" s="448"/>
      <c r="CX3" s="448"/>
      <c r="CY3" s="448"/>
      <c r="CZ3" s="448"/>
      <c r="DA3" s="448"/>
      <c r="DB3" s="446" t="s">
        <v>189</v>
      </c>
      <c r="DC3" s="446"/>
      <c r="DD3" s="446"/>
      <c r="DE3" s="448" t="s">
        <v>188</v>
      </c>
      <c r="DF3" s="448"/>
      <c r="DG3" s="448"/>
      <c r="DH3" s="448"/>
      <c r="DI3" s="448"/>
      <c r="DJ3" s="448"/>
      <c r="DK3" s="448"/>
      <c r="DL3" s="448"/>
      <c r="DM3" s="448"/>
      <c r="DN3" s="448"/>
      <c r="DO3" s="448"/>
      <c r="DP3" s="448"/>
      <c r="DQ3" s="446" t="s">
        <v>189</v>
      </c>
      <c r="DR3" s="446"/>
      <c r="DS3" s="446"/>
      <c r="DT3" s="448" t="s">
        <v>188</v>
      </c>
      <c r="DU3" s="448"/>
      <c r="DV3" s="448"/>
      <c r="DW3" s="448"/>
      <c r="DX3" s="448"/>
      <c r="DY3" s="448"/>
      <c r="DZ3" s="448"/>
      <c r="EA3" s="448"/>
      <c r="EB3" s="448"/>
      <c r="EC3" s="448"/>
      <c r="ED3" s="448"/>
      <c r="EE3" s="448"/>
      <c r="EF3" s="446" t="s">
        <v>189</v>
      </c>
      <c r="EG3" s="446"/>
      <c r="EH3" s="446"/>
      <c r="EI3" s="447" t="s">
        <v>193</v>
      </c>
      <c r="EJ3" s="447"/>
      <c r="EK3" s="447"/>
      <c r="EL3" s="447" t="s">
        <v>194</v>
      </c>
      <c r="EM3" s="447"/>
      <c r="EN3" s="447"/>
      <c r="EO3" s="447" t="s">
        <v>195</v>
      </c>
      <c r="EP3" s="447"/>
      <c r="EQ3" s="447"/>
      <c r="ER3" s="447" t="s">
        <v>193</v>
      </c>
      <c r="ES3" s="447"/>
      <c r="ET3" s="447"/>
      <c r="EU3" s="447" t="s">
        <v>194</v>
      </c>
      <c r="EV3" s="447"/>
      <c r="EW3" s="447"/>
      <c r="EX3" s="447" t="s">
        <v>195</v>
      </c>
      <c r="EY3" s="447"/>
      <c r="EZ3" s="447"/>
      <c r="FA3" s="447" t="s">
        <v>193</v>
      </c>
      <c r="FB3" s="447"/>
      <c r="FC3" s="447"/>
      <c r="FD3" s="447" t="s">
        <v>194</v>
      </c>
      <c r="FE3" s="447"/>
      <c r="FF3" s="447"/>
      <c r="FG3" s="447" t="s">
        <v>195</v>
      </c>
      <c r="FH3" s="447"/>
      <c r="FI3" s="447"/>
    </row>
    <row r="4" spans="1:171">
      <c r="A4" s="458"/>
      <c r="B4" s="461"/>
      <c r="C4" s="459"/>
      <c r="D4" s="448" t="s">
        <v>5</v>
      </c>
      <c r="E4" s="448"/>
      <c r="F4" s="448"/>
      <c r="G4" s="448" t="s">
        <v>6</v>
      </c>
      <c r="H4" s="448"/>
      <c r="I4" s="448"/>
      <c r="J4" s="448"/>
      <c r="K4" s="448"/>
      <c r="L4" s="448"/>
      <c r="M4" s="448"/>
      <c r="N4" s="448"/>
      <c r="O4" s="448"/>
      <c r="P4" s="446"/>
      <c r="Q4" s="446"/>
      <c r="R4" s="446"/>
      <c r="S4" s="448" t="s">
        <v>5</v>
      </c>
      <c r="T4" s="448"/>
      <c r="U4" s="448"/>
      <c r="V4" s="448" t="s">
        <v>6</v>
      </c>
      <c r="W4" s="448"/>
      <c r="X4" s="448"/>
      <c r="Y4" s="448"/>
      <c r="Z4" s="448"/>
      <c r="AA4" s="448"/>
      <c r="AB4" s="448"/>
      <c r="AC4" s="448"/>
      <c r="AD4" s="448"/>
      <c r="AE4" s="446"/>
      <c r="AF4" s="446"/>
      <c r="AG4" s="446"/>
      <c r="AH4" s="448" t="s">
        <v>5</v>
      </c>
      <c r="AI4" s="448"/>
      <c r="AJ4" s="448"/>
      <c r="AK4" s="448" t="s">
        <v>6</v>
      </c>
      <c r="AL4" s="448"/>
      <c r="AM4" s="448"/>
      <c r="AN4" s="448"/>
      <c r="AO4" s="448"/>
      <c r="AP4" s="448"/>
      <c r="AQ4" s="448"/>
      <c r="AR4" s="448"/>
      <c r="AS4" s="448"/>
      <c r="AT4" s="446"/>
      <c r="AU4" s="446"/>
      <c r="AV4" s="446"/>
      <c r="AW4" s="448" t="s">
        <v>5</v>
      </c>
      <c r="AX4" s="448"/>
      <c r="AY4" s="448"/>
      <c r="AZ4" s="448" t="s">
        <v>6</v>
      </c>
      <c r="BA4" s="448"/>
      <c r="BB4" s="448"/>
      <c r="BC4" s="448"/>
      <c r="BD4" s="448"/>
      <c r="BE4" s="448"/>
      <c r="BF4" s="448"/>
      <c r="BG4" s="448"/>
      <c r="BH4" s="448"/>
      <c r="BI4" s="446"/>
      <c r="BJ4" s="446"/>
      <c r="BK4" s="446"/>
      <c r="BL4" s="448" t="s">
        <v>5</v>
      </c>
      <c r="BM4" s="448"/>
      <c r="BN4" s="448"/>
      <c r="BO4" s="448" t="s">
        <v>6</v>
      </c>
      <c r="BP4" s="448"/>
      <c r="BQ4" s="448"/>
      <c r="BR4" s="448"/>
      <c r="BS4" s="448"/>
      <c r="BT4" s="448"/>
      <c r="BU4" s="448"/>
      <c r="BV4" s="448"/>
      <c r="BW4" s="448"/>
      <c r="BX4" s="446"/>
      <c r="BY4" s="446"/>
      <c r="BZ4" s="446"/>
      <c r="CA4" s="448" t="s">
        <v>5</v>
      </c>
      <c r="CB4" s="448"/>
      <c r="CC4" s="448"/>
      <c r="CD4" s="448" t="s">
        <v>6</v>
      </c>
      <c r="CE4" s="448"/>
      <c r="CF4" s="448"/>
      <c r="CG4" s="448"/>
      <c r="CH4" s="448"/>
      <c r="CI4" s="448"/>
      <c r="CJ4" s="448"/>
      <c r="CK4" s="448"/>
      <c r="CL4" s="448"/>
      <c r="CM4" s="446"/>
      <c r="CN4" s="446"/>
      <c r="CO4" s="446"/>
      <c r="CP4" s="448" t="s">
        <v>5</v>
      </c>
      <c r="CQ4" s="448"/>
      <c r="CR4" s="448"/>
      <c r="CS4" s="448" t="s">
        <v>6</v>
      </c>
      <c r="CT4" s="448"/>
      <c r="CU4" s="448"/>
      <c r="CV4" s="448"/>
      <c r="CW4" s="448"/>
      <c r="CX4" s="448"/>
      <c r="CY4" s="448"/>
      <c r="CZ4" s="448"/>
      <c r="DA4" s="448"/>
      <c r="DB4" s="446"/>
      <c r="DC4" s="446"/>
      <c r="DD4" s="446"/>
      <c r="DE4" s="448" t="s">
        <v>5</v>
      </c>
      <c r="DF4" s="448"/>
      <c r="DG4" s="448"/>
      <c r="DH4" s="448" t="s">
        <v>6</v>
      </c>
      <c r="DI4" s="448"/>
      <c r="DJ4" s="448"/>
      <c r="DK4" s="448"/>
      <c r="DL4" s="448"/>
      <c r="DM4" s="448"/>
      <c r="DN4" s="448"/>
      <c r="DO4" s="448"/>
      <c r="DP4" s="448"/>
      <c r="DQ4" s="446"/>
      <c r="DR4" s="446"/>
      <c r="DS4" s="446"/>
      <c r="DT4" s="448" t="s">
        <v>5</v>
      </c>
      <c r="DU4" s="448"/>
      <c r="DV4" s="448"/>
      <c r="DW4" s="448" t="s">
        <v>6</v>
      </c>
      <c r="DX4" s="448"/>
      <c r="DY4" s="448"/>
      <c r="DZ4" s="448"/>
      <c r="EA4" s="448"/>
      <c r="EB4" s="448"/>
      <c r="EC4" s="448"/>
      <c r="ED4" s="448"/>
      <c r="EE4" s="448"/>
      <c r="EF4" s="446"/>
      <c r="EG4" s="446"/>
      <c r="EH4" s="446"/>
      <c r="EI4" s="447"/>
      <c r="EJ4" s="447"/>
      <c r="EK4" s="447"/>
      <c r="EL4" s="447"/>
      <c r="EM4" s="447"/>
      <c r="EN4" s="447"/>
      <c r="EO4" s="447"/>
      <c r="EP4" s="447"/>
      <c r="EQ4" s="447"/>
      <c r="ER4" s="447"/>
      <c r="ES4" s="447"/>
      <c r="ET4" s="447"/>
      <c r="EU4" s="447"/>
      <c r="EV4" s="447"/>
      <c r="EW4" s="447"/>
      <c r="EX4" s="447"/>
      <c r="EY4" s="447"/>
      <c r="EZ4" s="447"/>
      <c r="FA4" s="447"/>
      <c r="FB4" s="447"/>
      <c r="FC4" s="447"/>
      <c r="FD4" s="447"/>
      <c r="FE4" s="447"/>
      <c r="FF4" s="447"/>
      <c r="FG4" s="447"/>
      <c r="FH4" s="447"/>
      <c r="FI4" s="447"/>
    </row>
    <row r="5" spans="1:171" ht="15" customHeight="1">
      <c r="A5" s="458"/>
      <c r="B5" s="461"/>
      <c r="C5" s="459"/>
      <c r="D5" s="448"/>
      <c r="E5" s="448"/>
      <c r="F5" s="448"/>
      <c r="G5" s="448" t="s">
        <v>51</v>
      </c>
      <c r="H5" s="448"/>
      <c r="I5" s="448"/>
      <c r="J5" s="448" t="s">
        <v>190</v>
      </c>
      <c r="K5" s="448"/>
      <c r="L5" s="448"/>
      <c r="M5" s="448" t="s">
        <v>191</v>
      </c>
      <c r="N5" s="448"/>
      <c r="O5" s="448"/>
      <c r="P5" s="446"/>
      <c r="Q5" s="446"/>
      <c r="R5" s="446"/>
      <c r="S5" s="448"/>
      <c r="T5" s="448"/>
      <c r="U5" s="448"/>
      <c r="V5" s="448" t="s">
        <v>51</v>
      </c>
      <c r="W5" s="448"/>
      <c r="X5" s="448"/>
      <c r="Y5" s="448" t="s">
        <v>190</v>
      </c>
      <c r="Z5" s="448"/>
      <c r="AA5" s="448"/>
      <c r="AB5" s="448" t="s">
        <v>191</v>
      </c>
      <c r="AC5" s="448"/>
      <c r="AD5" s="448"/>
      <c r="AE5" s="446"/>
      <c r="AF5" s="446"/>
      <c r="AG5" s="446"/>
      <c r="AH5" s="448"/>
      <c r="AI5" s="448"/>
      <c r="AJ5" s="448"/>
      <c r="AK5" s="448" t="s">
        <v>51</v>
      </c>
      <c r="AL5" s="448"/>
      <c r="AM5" s="448"/>
      <c r="AN5" s="448" t="s">
        <v>190</v>
      </c>
      <c r="AO5" s="448"/>
      <c r="AP5" s="448"/>
      <c r="AQ5" s="448" t="s">
        <v>191</v>
      </c>
      <c r="AR5" s="448"/>
      <c r="AS5" s="448"/>
      <c r="AT5" s="446"/>
      <c r="AU5" s="446"/>
      <c r="AV5" s="446"/>
      <c r="AW5" s="448"/>
      <c r="AX5" s="448"/>
      <c r="AY5" s="448"/>
      <c r="AZ5" s="448" t="s">
        <v>51</v>
      </c>
      <c r="BA5" s="448"/>
      <c r="BB5" s="448"/>
      <c r="BC5" s="448" t="s">
        <v>190</v>
      </c>
      <c r="BD5" s="448"/>
      <c r="BE5" s="448"/>
      <c r="BF5" s="448" t="s">
        <v>191</v>
      </c>
      <c r="BG5" s="448"/>
      <c r="BH5" s="448"/>
      <c r="BI5" s="446"/>
      <c r="BJ5" s="446"/>
      <c r="BK5" s="446"/>
      <c r="BL5" s="448"/>
      <c r="BM5" s="448"/>
      <c r="BN5" s="448"/>
      <c r="BO5" s="448" t="s">
        <v>51</v>
      </c>
      <c r="BP5" s="448"/>
      <c r="BQ5" s="448"/>
      <c r="BR5" s="448" t="s">
        <v>190</v>
      </c>
      <c r="BS5" s="448"/>
      <c r="BT5" s="448"/>
      <c r="BU5" s="448" t="s">
        <v>191</v>
      </c>
      <c r="BV5" s="448"/>
      <c r="BW5" s="448"/>
      <c r="BX5" s="446"/>
      <c r="BY5" s="446"/>
      <c r="BZ5" s="446"/>
      <c r="CA5" s="448"/>
      <c r="CB5" s="448"/>
      <c r="CC5" s="448"/>
      <c r="CD5" s="448" t="s">
        <v>51</v>
      </c>
      <c r="CE5" s="448"/>
      <c r="CF5" s="448"/>
      <c r="CG5" s="448" t="s">
        <v>190</v>
      </c>
      <c r="CH5" s="448"/>
      <c r="CI5" s="448"/>
      <c r="CJ5" s="448" t="s">
        <v>191</v>
      </c>
      <c r="CK5" s="448"/>
      <c r="CL5" s="448"/>
      <c r="CM5" s="446"/>
      <c r="CN5" s="446"/>
      <c r="CO5" s="446"/>
      <c r="CP5" s="448"/>
      <c r="CQ5" s="448"/>
      <c r="CR5" s="448"/>
      <c r="CS5" s="448" t="s">
        <v>51</v>
      </c>
      <c r="CT5" s="448"/>
      <c r="CU5" s="448"/>
      <c r="CV5" s="448" t="s">
        <v>190</v>
      </c>
      <c r="CW5" s="448"/>
      <c r="CX5" s="448"/>
      <c r="CY5" s="448" t="s">
        <v>191</v>
      </c>
      <c r="CZ5" s="448"/>
      <c r="DA5" s="448"/>
      <c r="DB5" s="446"/>
      <c r="DC5" s="446"/>
      <c r="DD5" s="446"/>
      <c r="DE5" s="448"/>
      <c r="DF5" s="448"/>
      <c r="DG5" s="448"/>
      <c r="DH5" s="448" t="s">
        <v>51</v>
      </c>
      <c r="DI5" s="448"/>
      <c r="DJ5" s="448"/>
      <c r="DK5" s="448" t="s">
        <v>190</v>
      </c>
      <c r="DL5" s="448"/>
      <c r="DM5" s="448"/>
      <c r="DN5" s="448" t="s">
        <v>191</v>
      </c>
      <c r="DO5" s="448"/>
      <c r="DP5" s="448"/>
      <c r="DQ5" s="446"/>
      <c r="DR5" s="446"/>
      <c r="DS5" s="446"/>
      <c r="DT5" s="448"/>
      <c r="DU5" s="448"/>
      <c r="DV5" s="448"/>
      <c r="DW5" s="448" t="s">
        <v>51</v>
      </c>
      <c r="DX5" s="448"/>
      <c r="DY5" s="448"/>
      <c r="DZ5" s="448" t="s">
        <v>190</v>
      </c>
      <c r="EA5" s="448"/>
      <c r="EB5" s="448"/>
      <c r="EC5" s="448" t="s">
        <v>191</v>
      </c>
      <c r="ED5" s="448"/>
      <c r="EE5" s="448"/>
      <c r="EF5" s="446"/>
      <c r="EG5" s="446"/>
      <c r="EH5" s="446"/>
      <c r="EI5" s="447"/>
      <c r="EJ5" s="447"/>
      <c r="EK5" s="447"/>
      <c r="EL5" s="447" t="s">
        <v>196</v>
      </c>
      <c r="EM5" s="447"/>
      <c r="EN5" s="447"/>
      <c r="EO5" s="447" t="s">
        <v>196</v>
      </c>
      <c r="EP5" s="447"/>
      <c r="EQ5" s="447"/>
      <c r="ER5" s="447"/>
      <c r="ES5" s="447"/>
      <c r="ET5" s="447"/>
      <c r="EU5" s="447" t="s">
        <v>196</v>
      </c>
      <c r="EV5" s="447"/>
      <c r="EW5" s="447"/>
      <c r="EX5" s="447" t="s">
        <v>196</v>
      </c>
      <c r="EY5" s="447"/>
      <c r="EZ5" s="447"/>
      <c r="FA5" s="447"/>
      <c r="FB5" s="447"/>
      <c r="FC5" s="447"/>
      <c r="FD5" s="447" t="s">
        <v>196</v>
      </c>
      <c r="FE5" s="447"/>
      <c r="FF5" s="447"/>
      <c r="FG5" s="447" t="s">
        <v>196</v>
      </c>
      <c r="FH5" s="447"/>
      <c r="FI5" s="447"/>
    </row>
    <row r="6" spans="1:171">
      <c r="A6" s="458"/>
      <c r="B6" s="462"/>
      <c r="C6" s="459"/>
      <c r="D6" s="373" t="s">
        <v>43</v>
      </c>
      <c r="E6" s="373" t="s">
        <v>44</v>
      </c>
      <c r="F6" s="373" t="s">
        <v>3</v>
      </c>
      <c r="G6" s="373" t="s">
        <v>43</v>
      </c>
      <c r="H6" s="373" t="s">
        <v>44</v>
      </c>
      <c r="I6" s="373" t="s">
        <v>3</v>
      </c>
      <c r="J6" s="373" t="s">
        <v>43</v>
      </c>
      <c r="K6" s="373" t="s">
        <v>44</v>
      </c>
      <c r="L6" s="373" t="s">
        <v>3</v>
      </c>
      <c r="M6" s="373" t="s">
        <v>43</v>
      </c>
      <c r="N6" s="373" t="s">
        <v>44</v>
      </c>
      <c r="O6" s="373" t="s">
        <v>3</v>
      </c>
      <c r="P6" s="374" t="s">
        <v>43</v>
      </c>
      <c r="Q6" s="374" t="s">
        <v>44</v>
      </c>
      <c r="R6" s="374" t="s">
        <v>3</v>
      </c>
      <c r="S6" s="373" t="s">
        <v>43</v>
      </c>
      <c r="T6" s="373" t="s">
        <v>44</v>
      </c>
      <c r="U6" s="373" t="s">
        <v>3</v>
      </c>
      <c r="V6" s="373" t="s">
        <v>43</v>
      </c>
      <c r="W6" s="373" t="s">
        <v>44</v>
      </c>
      <c r="X6" s="373" t="s">
        <v>3</v>
      </c>
      <c r="Y6" s="373" t="s">
        <v>43</v>
      </c>
      <c r="Z6" s="373" t="s">
        <v>44</v>
      </c>
      <c r="AA6" s="373" t="s">
        <v>3</v>
      </c>
      <c r="AB6" s="373" t="s">
        <v>43</v>
      </c>
      <c r="AC6" s="373" t="s">
        <v>44</v>
      </c>
      <c r="AD6" s="373" t="s">
        <v>3</v>
      </c>
      <c r="AE6" s="374" t="s">
        <v>43</v>
      </c>
      <c r="AF6" s="374" t="s">
        <v>44</v>
      </c>
      <c r="AG6" s="374" t="s">
        <v>3</v>
      </c>
      <c r="AH6" s="373" t="s">
        <v>43</v>
      </c>
      <c r="AI6" s="373" t="s">
        <v>44</v>
      </c>
      <c r="AJ6" s="373" t="s">
        <v>3</v>
      </c>
      <c r="AK6" s="373" t="s">
        <v>43</v>
      </c>
      <c r="AL6" s="373" t="s">
        <v>44</v>
      </c>
      <c r="AM6" s="373" t="s">
        <v>3</v>
      </c>
      <c r="AN6" s="373" t="s">
        <v>43</v>
      </c>
      <c r="AO6" s="373" t="s">
        <v>44</v>
      </c>
      <c r="AP6" s="373" t="s">
        <v>3</v>
      </c>
      <c r="AQ6" s="373" t="s">
        <v>43</v>
      </c>
      <c r="AR6" s="373" t="s">
        <v>44</v>
      </c>
      <c r="AS6" s="373" t="s">
        <v>3</v>
      </c>
      <c r="AT6" s="374" t="s">
        <v>43</v>
      </c>
      <c r="AU6" s="374" t="s">
        <v>44</v>
      </c>
      <c r="AV6" s="374" t="s">
        <v>3</v>
      </c>
      <c r="AW6" s="373" t="s">
        <v>43</v>
      </c>
      <c r="AX6" s="373" t="s">
        <v>44</v>
      </c>
      <c r="AY6" s="373" t="s">
        <v>3</v>
      </c>
      <c r="AZ6" s="373" t="s">
        <v>43</v>
      </c>
      <c r="BA6" s="373" t="s">
        <v>44</v>
      </c>
      <c r="BB6" s="373" t="s">
        <v>3</v>
      </c>
      <c r="BC6" s="373" t="s">
        <v>43</v>
      </c>
      <c r="BD6" s="373" t="s">
        <v>44</v>
      </c>
      <c r="BE6" s="373" t="s">
        <v>3</v>
      </c>
      <c r="BF6" s="373" t="s">
        <v>43</v>
      </c>
      <c r="BG6" s="373" t="s">
        <v>44</v>
      </c>
      <c r="BH6" s="373" t="s">
        <v>3</v>
      </c>
      <c r="BI6" s="374" t="s">
        <v>43</v>
      </c>
      <c r="BJ6" s="374" t="s">
        <v>44</v>
      </c>
      <c r="BK6" s="374" t="s">
        <v>3</v>
      </c>
      <c r="BL6" s="373" t="s">
        <v>43</v>
      </c>
      <c r="BM6" s="373" t="s">
        <v>44</v>
      </c>
      <c r="BN6" s="373" t="s">
        <v>3</v>
      </c>
      <c r="BO6" s="373" t="s">
        <v>43</v>
      </c>
      <c r="BP6" s="373" t="s">
        <v>44</v>
      </c>
      <c r="BQ6" s="373" t="s">
        <v>3</v>
      </c>
      <c r="BR6" s="373" t="s">
        <v>43</v>
      </c>
      <c r="BS6" s="373" t="s">
        <v>44</v>
      </c>
      <c r="BT6" s="373" t="s">
        <v>3</v>
      </c>
      <c r="BU6" s="373" t="s">
        <v>43</v>
      </c>
      <c r="BV6" s="373" t="s">
        <v>44</v>
      </c>
      <c r="BW6" s="373" t="s">
        <v>3</v>
      </c>
      <c r="BX6" s="374" t="s">
        <v>43</v>
      </c>
      <c r="BY6" s="374" t="s">
        <v>44</v>
      </c>
      <c r="BZ6" s="374" t="s">
        <v>3</v>
      </c>
      <c r="CA6" s="373" t="s">
        <v>43</v>
      </c>
      <c r="CB6" s="373" t="s">
        <v>44</v>
      </c>
      <c r="CC6" s="373" t="s">
        <v>3</v>
      </c>
      <c r="CD6" s="373" t="s">
        <v>43</v>
      </c>
      <c r="CE6" s="373" t="s">
        <v>44</v>
      </c>
      <c r="CF6" s="373" t="s">
        <v>3</v>
      </c>
      <c r="CG6" s="373" t="s">
        <v>43</v>
      </c>
      <c r="CH6" s="373" t="s">
        <v>44</v>
      </c>
      <c r="CI6" s="373" t="s">
        <v>3</v>
      </c>
      <c r="CJ6" s="373" t="s">
        <v>43</v>
      </c>
      <c r="CK6" s="373" t="s">
        <v>44</v>
      </c>
      <c r="CL6" s="373" t="s">
        <v>3</v>
      </c>
      <c r="CM6" s="374" t="s">
        <v>43</v>
      </c>
      <c r="CN6" s="374" t="s">
        <v>44</v>
      </c>
      <c r="CO6" s="374" t="s">
        <v>3</v>
      </c>
      <c r="CP6" s="373" t="s">
        <v>43</v>
      </c>
      <c r="CQ6" s="373" t="s">
        <v>44</v>
      </c>
      <c r="CR6" s="373" t="s">
        <v>3</v>
      </c>
      <c r="CS6" s="373" t="s">
        <v>43</v>
      </c>
      <c r="CT6" s="373" t="s">
        <v>44</v>
      </c>
      <c r="CU6" s="373" t="s">
        <v>3</v>
      </c>
      <c r="CV6" s="373" t="s">
        <v>43</v>
      </c>
      <c r="CW6" s="373" t="s">
        <v>44</v>
      </c>
      <c r="CX6" s="373" t="s">
        <v>3</v>
      </c>
      <c r="CY6" s="373" t="s">
        <v>43</v>
      </c>
      <c r="CZ6" s="373" t="s">
        <v>44</v>
      </c>
      <c r="DA6" s="373" t="s">
        <v>3</v>
      </c>
      <c r="DB6" s="374" t="s">
        <v>43</v>
      </c>
      <c r="DC6" s="374" t="s">
        <v>44</v>
      </c>
      <c r="DD6" s="374" t="s">
        <v>3</v>
      </c>
      <c r="DE6" s="373" t="s">
        <v>43</v>
      </c>
      <c r="DF6" s="373" t="s">
        <v>44</v>
      </c>
      <c r="DG6" s="373" t="s">
        <v>3</v>
      </c>
      <c r="DH6" s="373" t="s">
        <v>43</v>
      </c>
      <c r="DI6" s="373" t="s">
        <v>44</v>
      </c>
      <c r="DJ6" s="373" t="s">
        <v>3</v>
      </c>
      <c r="DK6" s="373" t="s">
        <v>43</v>
      </c>
      <c r="DL6" s="373" t="s">
        <v>44</v>
      </c>
      <c r="DM6" s="373" t="s">
        <v>3</v>
      </c>
      <c r="DN6" s="373" t="s">
        <v>43</v>
      </c>
      <c r="DO6" s="373" t="s">
        <v>44</v>
      </c>
      <c r="DP6" s="373" t="s">
        <v>3</v>
      </c>
      <c r="DQ6" s="374" t="s">
        <v>43</v>
      </c>
      <c r="DR6" s="374" t="s">
        <v>44</v>
      </c>
      <c r="DS6" s="374" t="s">
        <v>3</v>
      </c>
      <c r="DT6" s="373" t="s">
        <v>43</v>
      </c>
      <c r="DU6" s="373" t="s">
        <v>44</v>
      </c>
      <c r="DV6" s="373" t="s">
        <v>3</v>
      </c>
      <c r="DW6" s="373" t="s">
        <v>43</v>
      </c>
      <c r="DX6" s="373" t="s">
        <v>44</v>
      </c>
      <c r="DY6" s="373" t="s">
        <v>3</v>
      </c>
      <c r="DZ6" s="373" t="s">
        <v>43</v>
      </c>
      <c r="EA6" s="373" t="s">
        <v>44</v>
      </c>
      <c r="EB6" s="373" t="s">
        <v>3</v>
      </c>
      <c r="EC6" s="373" t="s">
        <v>43</v>
      </c>
      <c r="ED6" s="373" t="s">
        <v>44</v>
      </c>
      <c r="EE6" s="373" t="s">
        <v>3</v>
      </c>
      <c r="EF6" s="374" t="s">
        <v>43</v>
      </c>
      <c r="EG6" s="374" t="s">
        <v>44</v>
      </c>
      <c r="EH6" s="374" t="s">
        <v>3</v>
      </c>
      <c r="EI6" s="373" t="s">
        <v>43</v>
      </c>
      <c r="EJ6" s="373" t="s">
        <v>44</v>
      </c>
      <c r="EK6" s="373" t="s">
        <v>3</v>
      </c>
      <c r="EL6" s="373" t="s">
        <v>43</v>
      </c>
      <c r="EM6" s="373" t="s">
        <v>44</v>
      </c>
      <c r="EN6" s="373" t="s">
        <v>3</v>
      </c>
      <c r="EO6" s="373" t="s">
        <v>43</v>
      </c>
      <c r="EP6" s="373" t="s">
        <v>44</v>
      </c>
      <c r="EQ6" s="373" t="s">
        <v>3</v>
      </c>
      <c r="ER6" s="373" t="s">
        <v>43</v>
      </c>
      <c r="ES6" s="373" t="s">
        <v>44</v>
      </c>
      <c r="ET6" s="373" t="s">
        <v>3</v>
      </c>
      <c r="EU6" s="373" t="s">
        <v>43</v>
      </c>
      <c r="EV6" s="373" t="s">
        <v>44</v>
      </c>
      <c r="EW6" s="373" t="s">
        <v>3</v>
      </c>
      <c r="EX6" s="373" t="s">
        <v>43</v>
      </c>
      <c r="EY6" s="373" t="s">
        <v>44</v>
      </c>
      <c r="EZ6" s="373" t="s">
        <v>3</v>
      </c>
      <c r="FA6" s="373" t="s">
        <v>43</v>
      </c>
      <c r="FB6" s="373" t="s">
        <v>44</v>
      </c>
      <c r="FC6" s="373" t="s">
        <v>3</v>
      </c>
      <c r="FD6" s="373" t="s">
        <v>43</v>
      </c>
      <c r="FE6" s="373" t="s">
        <v>44</v>
      </c>
      <c r="FF6" s="373" t="s">
        <v>3</v>
      </c>
      <c r="FG6" s="373" t="s">
        <v>43</v>
      </c>
      <c r="FH6" s="373" t="s">
        <v>44</v>
      </c>
      <c r="FI6" s="373" t="s">
        <v>3</v>
      </c>
    </row>
    <row r="7" spans="1:171">
      <c r="A7" s="77">
        <v>1</v>
      </c>
      <c r="B7" s="77">
        <v>2</v>
      </c>
      <c r="C7" s="102">
        <v>3</v>
      </c>
      <c r="D7" s="77">
        <v>4</v>
      </c>
      <c r="E7" s="102">
        <v>5</v>
      </c>
      <c r="F7" s="77">
        <v>6</v>
      </c>
      <c r="G7" s="102">
        <v>7</v>
      </c>
      <c r="H7" s="77">
        <v>8</v>
      </c>
      <c r="I7" s="102">
        <v>9</v>
      </c>
      <c r="J7" s="77">
        <v>10</v>
      </c>
      <c r="K7" s="102">
        <v>11</v>
      </c>
      <c r="L7" s="77">
        <v>12</v>
      </c>
      <c r="M7" s="102">
        <v>13</v>
      </c>
      <c r="N7" s="77">
        <v>14</v>
      </c>
      <c r="O7" s="102">
        <v>15</v>
      </c>
      <c r="P7" s="77">
        <v>16</v>
      </c>
      <c r="Q7" s="102">
        <v>17</v>
      </c>
      <c r="R7" s="77">
        <v>18</v>
      </c>
      <c r="S7" s="77">
        <v>4</v>
      </c>
      <c r="T7" s="77">
        <v>5</v>
      </c>
      <c r="U7" s="77">
        <v>6</v>
      </c>
      <c r="V7" s="77">
        <v>7</v>
      </c>
      <c r="W7" s="77">
        <v>8</v>
      </c>
      <c r="X7" s="77">
        <v>9</v>
      </c>
      <c r="Y7" s="77">
        <v>10</v>
      </c>
      <c r="Z7" s="77">
        <v>11</v>
      </c>
      <c r="AA7" s="77">
        <v>12</v>
      </c>
      <c r="AB7" s="77">
        <v>13</v>
      </c>
      <c r="AC7" s="77">
        <v>14</v>
      </c>
      <c r="AD7" s="77">
        <v>15</v>
      </c>
      <c r="AE7" s="77">
        <v>16</v>
      </c>
      <c r="AF7" s="77">
        <v>17</v>
      </c>
      <c r="AG7" s="77">
        <v>18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77">
        <v>9</v>
      </c>
      <c r="AN7" s="77">
        <v>10</v>
      </c>
      <c r="AO7" s="77">
        <v>11</v>
      </c>
      <c r="AP7" s="77">
        <v>12</v>
      </c>
      <c r="AQ7" s="77">
        <v>13</v>
      </c>
      <c r="AR7" s="77">
        <v>14</v>
      </c>
      <c r="AS7" s="77">
        <v>15</v>
      </c>
      <c r="AT7" s="77">
        <v>16</v>
      </c>
      <c r="AU7" s="77">
        <v>17</v>
      </c>
      <c r="AV7" s="77">
        <v>18</v>
      </c>
      <c r="AW7" s="77">
        <v>4</v>
      </c>
      <c r="AX7" s="77">
        <v>5</v>
      </c>
      <c r="AY7" s="77">
        <v>6</v>
      </c>
      <c r="AZ7" s="77">
        <v>7</v>
      </c>
      <c r="BA7" s="77">
        <v>8</v>
      </c>
      <c r="BB7" s="77">
        <v>9</v>
      </c>
      <c r="BC7" s="77">
        <v>10</v>
      </c>
      <c r="BD7" s="77">
        <v>11</v>
      </c>
      <c r="BE7" s="77">
        <v>12</v>
      </c>
      <c r="BF7" s="77">
        <v>13</v>
      </c>
      <c r="BG7" s="77">
        <v>14</v>
      </c>
      <c r="BH7" s="77">
        <v>15</v>
      </c>
      <c r="BI7" s="77">
        <v>16</v>
      </c>
      <c r="BJ7" s="77">
        <v>17</v>
      </c>
      <c r="BK7" s="77">
        <v>18</v>
      </c>
      <c r="BL7" s="77">
        <v>4</v>
      </c>
      <c r="BM7" s="77">
        <v>5</v>
      </c>
      <c r="BN7" s="77">
        <v>6</v>
      </c>
      <c r="BO7" s="77">
        <v>7</v>
      </c>
      <c r="BP7" s="77">
        <v>8</v>
      </c>
      <c r="BQ7" s="77">
        <v>9</v>
      </c>
      <c r="BR7" s="77">
        <v>10</v>
      </c>
      <c r="BS7" s="77">
        <v>11</v>
      </c>
      <c r="BT7" s="77">
        <v>12</v>
      </c>
      <c r="BU7" s="77">
        <v>13</v>
      </c>
      <c r="BV7" s="77">
        <v>14</v>
      </c>
      <c r="BW7" s="77">
        <v>15</v>
      </c>
      <c r="BX7" s="77">
        <v>16</v>
      </c>
      <c r="BY7" s="77">
        <v>17</v>
      </c>
      <c r="BZ7" s="77">
        <v>18</v>
      </c>
      <c r="CA7" s="77">
        <v>4</v>
      </c>
      <c r="CB7" s="77">
        <v>5</v>
      </c>
      <c r="CC7" s="77">
        <v>6</v>
      </c>
      <c r="CD7" s="77">
        <v>7</v>
      </c>
      <c r="CE7" s="77">
        <v>8</v>
      </c>
      <c r="CF7" s="77">
        <v>9</v>
      </c>
      <c r="CG7" s="77">
        <v>10</v>
      </c>
      <c r="CH7" s="77">
        <v>11</v>
      </c>
      <c r="CI7" s="77">
        <v>12</v>
      </c>
      <c r="CJ7" s="77">
        <v>13</v>
      </c>
      <c r="CK7" s="77">
        <v>14</v>
      </c>
      <c r="CL7" s="77">
        <v>15</v>
      </c>
      <c r="CM7" s="77">
        <v>16</v>
      </c>
      <c r="CN7" s="77">
        <v>17</v>
      </c>
      <c r="CO7" s="77">
        <v>18</v>
      </c>
      <c r="CP7" s="77">
        <v>4</v>
      </c>
      <c r="CQ7" s="77">
        <v>5</v>
      </c>
      <c r="CR7" s="77">
        <v>6</v>
      </c>
      <c r="CS7" s="77">
        <v>7</v>
      </c>
      <c r="CT7" s="77">
        <v>8</v>
      </c>
      <c r="CU7" s="77">
        <v>9</v>
      </c>
      <c r="CV7" s="77">
        <v>10</v>
      </c>
      <c r="CW7" s="77">
        <v>11</v>
      </c>
      <c r="CX7" s="77">
        <v>12</v>
      </c>
      <c r="CY7" s="77">
        <v>13</v>
      </c>
      <c r="CZ7" s="77">
        <v>14</v>
      </c>
      <c r="DA7" s="77">
        <v>15</v>
      </c>
      <c r="DB7" s="77">
        <v>16</v>
      </c>
      <c r="DC7" s="77">
        <v>17</v>
      </c>
      <c r="DD7" s="77">
        <v>18</v>
      </c>
      <c r="DE7" s="77">
        <v>4</v>
      </c>
      <c r="DF7" s="77">
        <v>5</v>
      </c>
      <c r="DG7" s="77">
        <v>6</v>
      </c>
      <c r="DH7" s="77">
        <v>7</v>
      </c>
      <c r="DI7" s="77">
        <v>8</v>
      </c>
      <c r="DJ7" s="77">
        <v>9</v>
      </c>
      <c r="DK7" s="77">
        <v>10</v>
      </c>
      <c r="DL7" s="77">
        <v>11</v>
      </c>
      <c r="DM7" s="77">
        <v>12</v>
      </c>
      <c r="DN7" s="77">
        <v>13</v>
      </c>
      <c r="DO7" s="77">
        <v>14</v>
      </c>
      <c r="DP7" s="77">
        <v>15</v>
      </c>
      <c r="DQ7" s="77">
        <v>16</v>
      </c>
      <c r="DR7" s="77">
        <v>17</v>
      </c>
      <c r="DS7" s="77">
        <v>18</v>
      </c>
      <c r="DT7" s="77">
        <v>4</v>
      </c>
      <c r="DU7" s="77">
        <v>5</v>
      </c>
      <c r="DV7" s="77">
        <v>6</v>
      </c>
      <c r="DW7" s="77">
        <v>7</v>
      </c>
      <c r="DX7" s="77">
        <v>8</v>
      </c>
      <c r="DY7" s="77">
        <v>9</v>
      </c>
      <c r="DZ7" s="77">
        <v>10</v>
      </c>
      <c r="EA7" s="77">
        <v>11</v>
      </c>
      <c r="EB7" s="77">
        <v>12</v>
      </c>
      <c r="EC7" s="77">
        <v>13</v>
      </c>
      <c r="ED7" s="77">
        <v>14</v>
      </c>
      <c r="EE7" s="77">
        <v>15</v>
      </c>
      <c r="EF7" s="77">
        <v>16</v>
      </c>
      <c r="EG7" s="77">
        <v>17</v>
      </c>
      <c r="EH7" s="77">
        <v>18</v>
      </c>
      <c r="EI7" s="77">
        <v>4</v>
      </c>
      <c r="EJ7" s="77">
        <v>5</v>
      </c>
      <c r="EK7" s="77">
        <v>6</v>
      </c>
      <c r="EL7" s="77">
        <v>7</v>
      </c>
      <c r="EM7" s="77">
        <v>8</v>
      </c>
      <c r="EN7" s="77">
        <v>9</v>
      </c>
      <c r="EO7" s="77">
        <v>10</v>
      </c>
      <c r="EP7" s="77">
        <v>11</v>
      </c>
      <c r="EQ7" s="77">
        <v>12</v>
      </c>
      <c r="ER7" s="77">
        <v>4</v>
      </c>
      <c r="ES7" s="77">
        <v>5</v>
      </c>
      <c r="ET7" s="77">
        <v>6</v>
      </c>
      <c r="EU7" s="77">
        <v>7</v>
      </c>
      <c r="EV7" s="77">
        <v>8</v>
      </c>
      <c r="EW7" s="77">
        <v>9</v>
      </c>
      <c r="EX7" s="77">
        <v>10</v>
      </c>
      <c r="EY7" s="77">
        <v>11</v>
      </c>
      <c r="EZ7" s="77">
        <v>12</v>
      </c>
      <c r="FA7" s="77">
        <v>4</v>
      </c>
      <c r="FB7" s="77">
        <v>5</v>
      </c>
      <c r="FC7" s="77">
        <v>6</v>
      </c>
      <c r="FD7" s="77">
        <v>7</v>
      </c>
      <c r="FE7" s="77">
        <v>8</v>
      </c>
      <c r="FF7" s="77">
        <v>9</v>
      </c>
      <c r="FG7" s="77">
        <v>10</v>
      </c>
      <c r="FH7" s="77">
        <v>11</v>
      </c>
      <c r="FI7" s="77">
        <v>12</v>
      </c>
    </row>
    <row r="8" spans="1:171" ht="28.5">
      <c r="A8" s="393">
        <v>1</v>
      </c>
      <c r="B8" s="454" t="s">
        <v>369</v>
      </c>
      <c r="C8" s="221" t="s">
        <v>143</v>
      </c>
      <c r="D8" s="394">
        <v>1084938</v>
      </c>
      <c r="E8" s="394">
        <v>778086</v>
      </c>
      <c r="F8" s="394">
        <f>D8+E8</f>
        <v>1863024</v>
      </c>
      <c r="G8" s="395">
        <v>982126</v>
      </c>
      <c r="H8" s="394">
        <v>728923</v>
      </c>
      <c r="I8" s="394">
        <f t="shared" ref="I8" si="0">G8+H8</f>
        <v>1711049</v>
      </c>
      <c r="J8" s="394">
        <v>48768</v>
      </c>
      <c r="K8" s="394">
        <v>27457</v>
      </c>
      <c r="L8" s="394">
        <f t="shared" ref="L8" si="1">J8+K8</f>
        <v>76225</v>
      </c>
      <c r="M8" s="396">
        <f t="shared" ref="M8:O8" si="2">G8+J8</f>
        <v>1030894</v>
      </c>
      <c r="N8" s="101">
        <f t="shared" si="2"/>
        <v>756380</v>
      </c>
      <c r="O8" s="101">
        <f t="shared" si="2"/>
        <v>1787274</v>
      </c>
      <c r="P8" s="397">
        <f t="shared" ref="P8:R8" si="3">M8/D8</f>
        <v>0.95018701529488325</v>
      </c>
      <c r="Q8" s="397">
        <f t="shared" si="3"/>
        <v>0.97210334076181815</v>
      </c>
      <c r="R8" s="397">
        <f t="shared" si="3"/>
        <v>0.95934029835364443</v>
      </c>
      <c r="S8" s="394">
        <v>27888</v>
      </c>
      <c r="T8" s="394">
        <v>13891</v>
      </c>
      <c r="U8" s="394">
        <f t="shared" ref="U8:U49" si="4">S8+T8</f>
        <v>41779</v>
      </c>
      <c r="V8" s="395">
        <v>6740</v>
      </c>
      <c r="W8" s="394">
        <v>3299</v>
      </c>
      <c r="X8" s="394">
        <f t="shared" ref="X8:X49" si="5">V8+W8</f>
        <v>10039</v>
      </c>
      <c r="Y8" s="394">
        <v>4476</v>
      </c>
      <c r="Z8" s="394">
        <v>2202</v>
      </c>
      <c r="AA8" s="394">
        <f t="shared" ref="AA8:AA25" si="6">Y8+Z8</f>
        <v>6678</v>
      </c>
      <c r="AB8" s="396">
        <f t="shared" ref="AB8" si="7">V8+Y8</f>
        <v>11216</v>
      </c>
      <c r="AC8" s="101">
        <f t="shared" ref="AC8" si="8">W8+Z8</f>
        <v>5501</v>
      </c>
      <c r="AD8" s="101">
        <f t="shared" ref="AD8" si="9">X8+AA8</f>
        <v>16717</v>
      </c>
      <c r="AE8" s="397">
        <f t="shared" ref="AE8" si="10">AB8/S8</f>
        <v>0.40218014916810096</v>
      </c>
      <c r="AF8" s="397">
        <f t="shared" ref="AF8" si="11">AC8/T8</f>
        <v>0.39601180620545678</v>
      </c>
      <c r="AG8" s="397">
        <f t="shared" ref="AG8" si="12">AD8/U8</f>
        <v>0.40012925153785395</v>
      </c>
      <c r="AH8" s="101">
        <f t="shared" ref="AH8:AS8" si="13">D8+S8</f>
        <v>1112826</v>
      </c>
      <c r="AI8" s="101">
        <f t="shared" si="13"/>
        <v>791977</v>
      </c>
      <c r="AJ8" s="101">
        <f t="shared" si="13"/>
        <v>1904803</v>
      </c>
      <c r="AK8" s="101">
        <f t="shared" si="13"/>
        <v>988866</v>
      </c>
      <c r="AL8" s="101">
        <f t="shared" si="13"/>
        <v>732222</v>
      </c>
      <c r="AM8" s="101">
        <f t="shared" si="13"/>
        <v>1721088</v>
      </c>
      <c r="AN8" s="101">
        <f t="shared" si="13"/>
        <v>53244</v>
      </c>
      <c r="AO8" s="101">
        <f t="shared" si="13"/>
        <v>29659</v>
      </c>
      <c r="AP8" s="101">
        <f t="shared" si="13"/>
        <v>82903</v>
      </c>
      <c r="AQ8" s="101">
        <f t="shared" si="13"/>
        <v>1042110</v>
      </c>
      <c r="AR8" s="101">
        <f t="shared" si="13"/>
        <v>761881</v>
      </c>
      <c r="AS8" s="101">
        <f t="shared" si="13"/>
        <v>1803991</v>
      </c>
      <c r="AT8" s="397">
        <f t="shared" ref="AT8:AV8" si="14">AQ8/AH8</f>
        <v>0.93645367739430962</v>
      </c>
      <c r="AU8" s="397">
        <f t="shared" si="14"/>
        <v>0.96199889643259839</v>
      </c>
      <c r="AV8" s="397">
        <f t="shared" si="14"/>
        <v>0.9470748418602869</v>
      </c>
      <c r="AW8" s="394">
        <v>87267</v>
      </c>
      <c r="AX8" s="394">
        <v>64428</v>
      </c>
      <c r="AY8" s="394">
        <f t="shared" ref="AY8:AY49" si="15">AW8+AX8</f>
        <v>151695</v>
      </c>
      <c r="AZ8" s="395">
        <v>76587</v>
      </c>
      <c r="BA8" s="394">
        <v>58631</v>
      </c>
      <c r="BB8" s="394">
        <f t="shared" ref="BB8:BB49" si="16">AZ8+BA8</f>
        <v>135218</v>
      </c>
      <c r="BC8" s="394">
        <v>5059</v>
      </c>
      <c r="BD8" s="394">
        <v>3299</v>
      </c>
      <c r="BE8" s="394">
        <f t="shared" ref="BE8" si="17">BC8+BD8</f>
        <v>8358</v>
      </c>
      <c r="BF8" s="396">
        <f t="shared" ref="BF8" si="18">AZ8+BC8</f>
        <v>81646</v>
      </c>
      <c r="BG8" s="101">
        <f t="shared" ref="BG8" si="19">BA8+BD8</f>
        <v>61930</v>
      </c>
      <c r="BH8" s="101">
        <f t="shared" ref="BH8" si="20">BB8+BE8</f>
        <v>143576</v>
      </c>
      <c r="BI8" s="397">
        <f t="shared" ref="BI8" si="21">BF8/AW8</f>
        <v>0.93558848132742045</v>
      </c>
      <c r="BJ8" s="397">
        <f t="shared" ref="BJ8" si="22">BG8/AX8</f>
        <v>0.96122803749922392</v>
      </c>
      <c r="BK8" s="397">
        <f t="shared" ref="BK8" si="23">BH8/AY8</f>
        <v>0.94647813045914497</v>
      </c>
      <c r="BL8" s="394">
        <v>2933</v>
      </c>
      <c r="BM8" s="394">
        <v>1479</v>
      </c>
      <c r="BN8" s="394">
        <f t="shared" ref="BN8:BN49" si="24">BL8+BM8</f>
        <v>4412</v>
      </c>
      <c r="BO8" s="395">
        <v>661</v>
      </c>
      <c r="BP8" s="394">
        <v>360</v>
      </c>
      <c r="BQ8" s="394">
        <f t="shared" ref="BQ8:BQ49" si="25">BO8+BP8</f>
        <v>1021</v>
      </c>
      <c r="BR8" s="394">
        <v>363</v>
      </c>
      <c r="BS8" s="394">
        <v>215</v>
      </c>
      <c r="BT8" s="394">
        <f t="shared" ref="BT8:BT25" si="26">BR8+BS8</f>
        <v>578</v>
      </c>
      <c r="BU8" s="396">
        <f t="shared" ref="BU8" si="27">BO8+BR8</f>
        <v>1024</v>
      </c>
      <c r="BV8" s="101">
        <f t="shared" ref="BV8" si="28">BP8+BS8</f>
        <v>575</v>
      </c>
      <c r="BW8" s="101">
        <f t="shared" ref="BW8" si="29">BQ8+BT8</f>
        <v>1599</v>
      </c>
      <c r="BX8" s="397">
        <f t="shared" ref="BX8" si="30">BU8/BL8</f>
        <v>0.3491305830207978</v>
      </c>
      <c r="BY8" s="397">
        <f t="shared" ref="BY8" si="31">BV8/BM8</f>
        <v>0.38877620013522651</v>
      </c>
      <c r="BZ8" s="397">
        <f t="shared" ref="BZ8" si="32">BW8/BN8</f>
        <v>0.36242067089755214</v>
      </c>
      <c r="CA8" s="101">
        <f t="shared" ref="CA8:CL8" si="33">AW8+BL8</f>
        <v>90200</v>
      </c>
      <c r="CB8" s="101">
        <f t="shared" si="33"/>
        <v>65907</v>
      </c>
      <c r="CC8" s="101">
        <f t="shared" si="33"/>
        <v>156107</v>
      </c>
      <c r="CD8" s="101">
        <f t="shared" si="33"/>
        <v>77248</v>
      </c>
      <c r="CE8" s="101">
        <f t="shared" si="33"/>
        <v>58991</v>
      </c>
      <c r="CF8" s="101">
        <f t="shared" si="33"/>
        <v>136239</v>
      </c>
      <c r="CG8" s="101">
        <f t="shared" si="33"/>
        <v>5422</v>
      </c>
      <c r="CH8" s="101">
        <f t="shared" si="33"/>
        <v>3514</v>
      </c>
      <c r="CI8" s="101">
        <f>BE8+BT8</f>
        <v>8936</v>
      </c>
      <c r="CJ8" s="101">
        <f t="shared" si="33"/>
        <v>82670</v>
      </c>
      <c r="CK8" s="101">
        <f t="shared" si="33"/>
        <v>62505</v>
      </c>
      <c r="CL8" s="101">
        <f t="shared" si="33"/>
        <v>145175</v>
      </c>
      <c r="CM8" s="397">
        <f t="shared" ref="CM8:CO8" si="34">CJ8/CA8</f>
        <v>0.91651884700665187</v>
      </c>
      <c r="CN8" s="397">
        <f t="shared" si="34"/>
        <v>0.94838181073330607</v>
      </c>
      <c r="CO8" s="397">
        <f t="shared" si="34"/>
        <v>0.92997110955946882</v>
      </c>
      <c r="CP8" s="394">
        <v>34566</v>
      </c>
      <c r="CQ8" s="394">
        <v>29171</v>
      </c>
      <c r="CR8" s="394">
        <f>CP8+CQ8</f>
        <v>63737</v>
      </c>
      <c r="CS8" s="395">
        <v>28834</v>
      </c>
      <c r="CT8" s="394">
        <v>24343</v>
      </c>
      <c r="CU8" s="394">
        <f t="shared" ref="CU8:CU49" si="35">CS8+CT8</f>
        <v>53177</v>
      </c>
      <c r="CV8" s="394">
        <v>2484</v>
      </c>
      <c r="CW8" s="394">
        <v>2209</v>
      </c>
      <c r="CX8" s="394">
        <f t="shared" ref="CX8" si="36">CV8+CW8</f>
        <v>4693</v>
      </c>
      <c r="CY8" s="396">
        <f t="shared" ref="CY8" si="37">CS8+CV8</f>
        <v>31318</v>
      </c>
      <c r="CZ8" s="101">
        <f t="shared" ref="CZ8" si="38">CT8+CW8</f>
        <v>26552</v>
      </c>
      <c r="DA8" s="101">
        <f t="shared" ref="DA8" si="39">CU8+CX8</f>
        <v>57870</v>
      </c>
      <c r="DB8" s="397">
        <f t="shared" ref="DB8" si="40">CY8/CP8</f>
        <v>0.9060348319157554</v>
      </c>
      <c r="DC8" s="397">
        <f t="shared" ref="DC8" si="41">CZ8/CQ8</f>
        <v>0.91021905316924345</v>
      </c>
      <c r="DD8" s="397">
        <f t="shared" ref="DD8" si="42">DA8/CR8</f>
        <v>0.90794985644131354</v>
      </c>
      <c r="DE8" s="394">
        <v>2352</v>
      </c>
      <c r="DF8" s="394">
        <v>2087</v>
      </c>
      <c r="DG8" s="394">
        <f t="shared" ref="DG8:DG49" si="43">DE8+DF8</f>
        <v>4439</v>
      </c>
      <c r="DH8" s="395">
        <v>432</v>
      </c>
      <c r="DI8" s="394">
        <v>392</v>
      </c>
      <c r="DJ8" s="394">
        <f t="shared" ref="DJ8:DJ49" si="44">DH8+DI8</f>
        <v>824</v>
      </c>
      <c r="DK8" s="394">
        <v>437</v>
      </c>
      <c r="DL8" s="394">
        <v>400</v>
      </c>
      <c r="DM8" s="394">
        <f t="shared" ref="DM8:DM25" si="45">DK8+DL8</f>
        <v>837</v>
      </c>
      <c r="DN8" s="396">
        <f t="shared" ref="DN8" si="46">DH8+DK8</f>
        <v>869</v>
      </c>
      <c r="DO8" s="101">
        <f t="shared" ref="DO8" si="47">DI8+DL8</f>
        <v>792</v>
      </c>
      <c r="DP8" s="101">
        <f>DJ8+DM8</f>
        <v>1661</v>
      </c>
      <c r="DQ8" s="397">
        <f t="shared" ref="DQ8" si="48">DN8/DE8</f>
        <v>0.36947278911564624</v>
      </c>
      <c r="DR8" s="397">
        <f t="shared" ref="DR8" si="49">DO8/DF8</f>
        <v>0.37949209391471012</v>
      </c>
      <c r="DS8" s="397">
        <f t="shared" ref="DS8" si="50">DP8/DG8</f>
        <v>0.37418337463392654</v>
      </c>
      <c r="DT8" s="101">
        <f t="shared" ref="DT8:EE20" si="51">CP8+DE8</f>
        <v>36918</v>
      </c>
      <c r="DU8" s="101">
        <f t="shared" si="51"/>
        <v>31258</v>
      </c>
      <c r="DV8" s="101">
        <f t="shared" si="51"/>
        <v>68176</v>
      </c>
      <c r="DW8" s="101">
        <f t="shared" si="51"/>
        <v>29266</v>
      </c>
      <c r="DX8" s="101">
        <f t="shared" si="51"/>
        <v>24735</v>
      </c>
      <c r="DY8" s="101">
        <f t="shared" si="51"/>
        <v>54001</v>
      </c>
      <c r="DZ8" s="101">
        <f t="shared" si="51"/>
        <v>2921</v>
      </c>
      <c r="EA8" s="101">
        <f t="shared" si="51"/>
        <v>2609</v>
      </c>
      <c r="EB8" s="101">
        <f t="shared" si="51"/>
        <v>5530</v>
      </c>
      <c r="EC8" s="101">
        <f t="shared" si="51"/>
        <v>32187</v>
      </c>
      <c r="ED8" s="101">
        <f t="shared" si="51"/>
        <v>27344</v>
      </c>
      <c r="EE8" s="101">
        <f t="shared" si="51"/>
        <v>59531</v>
      </c>
      <c r="EF8" s="397">
        <f t="shared" ref="EF8:EH8" si="52">EC8/DT8</f>
        <v>0.87185112953031041</v>
      </c>
      <c r="EG8" s="397">
        <f t="shared" si="52"/>
        <v>0.87478405528184788</v>
      </c>
      <c r="EH8" s="397">
        <f t="shared" si="52"/>
        <v>0.87319584604552924</v>
      </c>
      <c r="EI8" s="101">
        <f t="shared" ref="EI8:EI49" si="53">+AQ8</f>
        <v>1042110</v>
      </c>
      <c r="EJ8" s="101">
        <f t="shared" ref="EJ8:EJ49" si="54">+AR8</f>
        <v>761881</v>
      </c>
      <c r="EK8" s="101">
        <f t="shared" ref="EK8:EK49" si="55">+AS8</f>
        <v>1803991</v>
      </c>
      <c r="EL8" s="101">
        <v>653918</v>
      </c>
      <c r="EM8" s="101">
        <v>544427</v>
      </c>
      <c r="EN8" s="101">
        <f t="shared" ref="EN8" si="56">EL8+EM8</f>
        <v>1198345</v>
      </c>
      <c r="EO8" s="413">
        <f t="shared" ref="EO8:EQ8" si="57">+EL8*100/EI8</f>
        <v>62.749421846062319</v>
      </c>
      <c r="EP8" s="413">
        <f t="shared" si="57"/>
        <v>71.458272354869067</v>
      </c>
      <c r="EQ8" s="413">
        <f t="shared" si="57"/>
        <v>66.42743783089827</v>
      </c>
      <c r="ER8" s="101">
        <f t="shared" ref="ER8:ET11" si="58">+CJ8</f>
        <v>82670</v>
      </c>
      <c r="ES8" s="101">
        <f t="shared" si="58"/>
        <v>62505</v>
      </c>
      <c r="ET8" s="101">
        <f t="shared" si="58"/>
        <v>145175</v>
      </c>
      <c r="EU8" s="101">
        <v>44650</v>
      </c>
      <c r="EV8" s="101">
        <v>37088</v>
      </c>
      <c r="EW8" s="101">
        <f t="shared" ref="EW8" si="59">EU8+EV8</f>
        <v>81738</v>
      </c>
      <c r="EX8" s="413">
        <f t="shared" ref="EX8:EZ8" si="60">+EU8*100/ER8</f>
        <v>54.009918954880852</v>
      </c>
      <c r="EY8" s="413">
        <f t="shared" si="60"/>
        <v>59.336053115750737</v>
      </c>
      <c r="EZ8" s="413">
        <f t="shared" si="60"/>
        <v>56.303082486654041</v>
      </c>
      <c r="FA8" s="101">
        <f t="shared" ref="FA8:FC11" si="61">+EC8</f>
        <v>32187</v>
      </c>
      <c r="FB8" s="101">
        <f t="shared" si="61"/>
        <v>27344</v>
      </c>
      <c r="FC8" s="101">
        <f t="shared" si="61"/>
        <v>59531</v>
      </c>
      <c r="FD8" s="101">
        <v>16336</v>
      </c>
      <c r="FE8" s="101">
        <v>14531</v>
      </c>
      <c r="FF8" s="101">
        <f t="shared" ref="FF8" si="62">FD8+FE8</f>
        <v>30867</v>
      </c>
      <c r="FG8" s="413">
        <f t="shared" ref="FG8:FI8" si="63">+FD8*100/FA8</f>
        <v>50.753409761705036</v>
      </c>
      <c r="FH8" s="413">
        <f t="shared" si="63"/>
        <v>53.141456992393209</v>
      </c>
      <c r="FI8" s="413">
        <f t="shared" si="63"/>
        <v>51.85029648418471</v>
      </c>
      <c r="FJ8" s="380"/>
      <c r="FK8" s="380"/>
      <c r="FL8" s="380"/>
      <c r="FM8" s="380"/>
      <c r="FN8" s="380"/>
      <c r="FO8" s="380"/>
    </row>
    <row r="9" spans="1:171" ht="28.5">
      <c r="A9" s="393">
        <v>2</v>
      </c>
      <c r="B9" s="455"/>
      <c r="C9" s="221" t="s">
        <v>215</v>
      </c>
      <c r="D9" s="394">
        <v>112448</v>
      </c>
      <c r="E9" s="394">
        <v>95148</v>
      </c>
      <c r="F9" s="394">
        <f>D9+E9</f>
        <v>207596</v>
      </c>
      <c r="G9" s="395">
        <v>111559</v>
      </c>
      <c r="H9" s="394">
        <v>94896</v>
      </c>
      <c r="I9" s="394">
        <f t="shared" ref="I9:I10" si="64">G9+H9</f>
        <v>206455</v>
      </c>
      <c r="J9" s="394">
        <v>104</v>
      </c>
      <c r="K9" s="394">
        <v>43</v>
      </c>
      <c r="L9" s="394">
        <f t="shared" ref="L9" si="65">J9+K9</f>
        <v>147</v>
      </c>
      <c r="M9" s="396">
        <f t="shared" ref="M9" si="66">G9+J9</f>
        <v>111663</v>
      </c>
      <c r="N9" s="101">
        <f t="shared" ref="N9" si="67">H9+K9</f>
        <v>94939</v>
      </c>
      <c r="O9" s="101">
        <f t="shared" ref="O9" si="68">I9+L9</f>
        <v>206602</v>
      </c>
      <c r="P9" s="397">
        <f t="shared" ref="P9" si="69">M9/D9</f>
        <v>0.99301899544678429</v>
      </c>
      <c r="Q9" s="397">
        <f t="shared" ref="Q9" si="70">N9/E9</f>
        <v>0.99780342203724726</v>
      </c>
      <c r="R9" s="397">
        <f t="shared" ref="R9" si="71">O9/F9</f>
        <v>0.99521185379294397</v>
      </c>
      <c r="S9" s="394">
        <v>219</v>
      </c>
      <c r="T9" s="394">
        <v>88</v>
      </c>
      <c r="U9" s="394">
        <f t="shared" ref="U9" si="72">S9+T9</f>
        <v>307</v>
      </c>
      <c r="V9" s="395">
        <v>23</v>
      </c>
      <c r="W9" s="394">
        <v>11</v>
      </c>
      <c r="X9" s="394">
        <f t="shared" ref="X9" si="73">V9+W9</f>
        <v>34</v>
      </c>
      <c r="Y9" s="398"/>
      <c r="Z9" s="398"/>
      <c r="AA9" s="398"/>
      <c r="AB9" s="396">
        <f t="shared" ref="AB9" si="74">V9+Y9</f>
        <v>23</v>
      </c>
      <c r="AC9" s="101">
        <f t="shared" ref="AC9" si="75">W9+Z9</f>
        <v>11</v>
      </c>
      <c r="AD9" s="101">
        <f t="shared" ref="AD9" si="76">X9+AA9</f>
        <v>34</v>
      </c>
      <c r="AE9" s="397">
        <f t="shared" ref="AE9" si="77">AB9/S9</f>
        <v>0.1050228310502283</v>
      </c>
      <c r="AF9" s="397">
        <f t="shared" ref="AF9" si="78">AC9/T9</f>
        <v>0.125</v>
      </c>
      <c r="AG9" s="397">
        <f t="shared" ref="AG9" si="79">AD9/U9</f>
        <v>0.11074918566775244</v>
      </c>
      <c r="AH9" s="101">
        <f t="shared" ref="AH9:AH49" si="80">D9+S9</f>
        <v>112667</v>
      </c>
      <c r="AI9" s="101">
        <f t="shared" ref="AI9:AI49" si="81">E9+T9</f>
        <v>95236</v>
      </c>
      <c r="AJ9" s="101">
        <f t="shared" ref="AJ9:AJ49" si="82">F9+U9</f>
        <v>207903</v>
      </c>
      <c r="AK9" s="101">
        <f t="shared" ref="AK9:AK49" si="83">G9+V9</f>
        <v>111582</v>
      </c>
      <c r="AL9" s="101">
        <f t="shared" ref="AL9:AL49" si="84">H9+W9</f>
        <v>94907</v>
      </c>
      <c r="AM9" s="101">
        <f t="shared" ref="AM9:AM49" si="85">I9+X9</f>
        <v>206489</v>
      </c>
      <c r="AN9" s="101">
        <f t="shared" ref="AN9:AN35" si="86">J9+Y9</f>
        <v>104</v>
      </c>
      <c r="AO9" s="101">
        <f t="shared" ref="AO9:AO35" si="87">K9+Z9</f>
        <v>43</v>
      </c>
      <c r="AP9" s="101">
        <f t="shared" ref="AP9:AP41" si="88">L9+AA9</f>
        <v>147</v>
      </c>
      <c r="AQ9" s="101">
        <f t="shared" ref="AQ9:AQ49" si="89">M9+AB9</f>
        <v>111686</v>
      </c>
      <c r="AR9" s="101">
        <f t="shared" ref="AR9:AR49" si="90">N9+AC9</f>
        <v>94950</v>
      </c>
      <c r="AS9" s="101">
        <f t="shared" ref="AS9:AS49" si="91">O9+AD9</f>
        <v>206636</v>
      </c>
      <c r="AT9" s="397">
        <f t="shared" ref="AT9:AT49" si="92">AQ9/AH9</f>
        <v>0.99129292516886047</v>
      </c>
      <c r="AU9" s="397">
        <f t="shared" ref="AU9:AU49" si="93">AR9/AI9</f>
        <v>0.99699693393254651</v>
      </c>
      <c r="AV9" s="397">
        <f t="shared" ref="AV9:AV49" si="94">AS9/AJ9</f>
        <v>0.99390581184494697</v>
      </c>
      <c r="AW9" s="394">
        <v>5985</v>
      </c>
      <c r="AX9" s="394">
        <v>4941</v>
      </c>
      <c r="AY9" s="394">
        <f t="shared" ref="AY9" si="95">AW9+AX9</f>
        <v>10926</v>
      </c>
      <c r="AZ9" s="395">
        <v>5915</v>
      </c>
      <c r="BA9" s="394">
        <v>4924</v>
      </c>
      <c r="BB9" s="394">
        <f>AZ9+BA9</f>
        <v>10839</v>
      </c>
      <c r="BC9" s="394">
        <v>13</v>
      </c>
      <c r="BD9" s="394">
        <v>1</v>
      </c>
      <c r="BE9" s="394">
        <f>BC9+BD9</f>
        <v>14</v>
      </c>
      <c r="BF9" s="396">
        <f>AZ9+BC9</f>
        <v>5928</v>
      </c>
      <c r="BG9" s="101">
        <f>BA9+BD9</f>
        <v>4925</v>
      </c>
      <c r="BH9" s="101">
        <f t="shared" ref="BH9" si="96">BB9+BE9</f>
        <v>10853</v>
      </c>
      <c r="BI9" s="397">
        <f t="shared" ref="BI9" si="97">BF9/AW9</f>
        <v>0.99047619047619051</v>
      </c>
      <c r="BJ9" s="397">
        <f t="shared" ref="BJ9" si="98">BG9/AX9</f>
        <v>0.99676178911151592</v>
      </c>
      <c r="BK9" s="397">
        <f t="shared" ref="BK9" si="99">BH9/AY9</f>
        <v>0.99331868936481782</v>
      </c>
      <c r="BL9" s="394">
        <v>16</v>
      </c>
      <c r="BM9" s="394">
        <v>7</v>
      </c>
      <c r="BN9" s="394">
        <f t="shared" ref="BN9" si="100">BL9+BM9</f>
        <v>23</v>
      </c>
      <c r="BO9" s="395">
        <v>2</v>
      </c>
      <c r="BP9" s="394">
        <v>2</v>
      </c>
      <c r="BQ9" s="394">
        <f t="shared" ref="BQ9" si="101">BO9+BP9</f>
        <v>4</v>
      </c>
      <c r="BR9" s="398"/>
      <c r="BS9" s="398"/>
      <c r="BT9" s="399"/>
      <c r="BU9" s="396">
        <f t="shared" ref="BU9" si="102">BO9+BR9</f>
        <v>2</v>
      </c>
      <c r="BV9" s="101">
        <f t="shared" ref="BV9" si="103">BP9+BS9</f>
        <v>2</v>
      </c>
      <c r="BW9" s="101">
        <f t="shared" ref="BW9" si="104">BQ9+BT9</f>
        <v>4</v>
      </c>
      <c r="BX9" s="397">
        <f t="shared" ref="BX9" si="105">BU9/BL9</f>
        <v>0.125</v>
      </c>
      <c r="BY9" s="397">
        <f t="shared" ref="BY9" si="106">BV9/BM9</f>
        <v>0.2857142857142857</v>
      </c>
      <c r="BZ9" s="397">
        <f t="shared" ref="BZ9" si="107">BW9/BN9</f>
        <v>0.17391304347826086</v>
      </c>
      <c r="CA9" s="101">
        <f t="shared" ref="CA9:CA49" si="108">AW9+BL9</f>
        <v>6001</v>
      </c>
      <c r="CB9" s="101">
        <f t="shared" ref="CB9:CB49" si="109">AX9+BM9</f>
        <v>4948</v>
      </c>
      <c r="CC9" s="101">
        <f t="shared" ref="CC9:CC49" si="110">AY9+BN9</f>
        <v>10949</v>
      </c>
      <c r="CD9" s="101">
        <f t="shared" ref="CD9:CD49" si="111">AZ9+BO9</f>
        <v>5917</v>
      </c>
      <c r="CE9" s="101">
        <f t="shared" ref="CE9:CE49" si="112">BA9+BP9</f>
        <v>4926</v>
      </c>
      <c r="CF9" s="101">
        <f t="shared" ref="CF9:CF49" si="113">BB9+BQ9</f>
        <v>10843</v>
      </c>
      <c r="CG9" s="101">
        <f t="shared" ref="CG9:CG30" si="114">BC9+BR9</f>
        <v>13</v>
      </c>
      <c r="CH9" s="101">
        <f t="shared" ref="CH9:CH30" si="115">BD9+BS9</f>
        <v>1</v>
      </c>
      <c r="CI9" s="101">
        <f t="shared" ref="CI9:CI30" si="116">BE9+BT9</f>
        <v>14</v>
      </c>
      <c r="CJ9" s="101">
        <f t="shared" ref="CJ9:CJ49" si="117">BF9+BU9</f>
        <v>5930</v>
      </c>
      <c r="CK9" s="101">
        <f t="shared" ref="CK9:CK49" si="118">BG9+BV9</f>
        <v>4927</v>
      </c>
      <c r="CL9" s="101">
        <f t="shared" ref="CL9:CL49" si="119">BH9+BW9</f>
        <v>10857</v>
      </c>
      <c r="CM9" s="397">
        <f t="shared" ref="CM9:CM49" si="120">CJ9/CA9</f>
        <v>0.98816863856023995</v>
      </c>
      <c r="CN9" s="397">
        <f t="shared" ref="CN9:CN49" si="121">CK9/CB9</f>
        <v>0.99575586095392077</v>
      </c>
      <c r="CO9" s="397">
        <f t="shared" ref="CO9:CO49" si="122">CL9/CC9</f>
        <v>0.99159740615581327</v>
      </c>
      <c r="CP9" s="394">
        <v>3381</v>
      </c>
      <c r="CQ9" s="394">
        <v>3129</v>
      </c>
      <c r="CR9" s="394">
        <f>CP9+CQ9</f>
        <v>6510</v>
      </c>
      <c r="CS9" s="395">
        <v>3345</v>
      </c>
      <c r="CT9" s="394">
        <v>3110</v>
      </c>
      <c r="CU9" s="394">
        <f t="shared" ref="CU9" si="123">CS9+CT9</f>
        <v>6455</v>
      </c>
      <c r="CV9" s="394">
        <v>6</v>
      </c>
      <c r="CW9" s="394">
        <v>5</v>
      </c>
      <c r="CX9" s="394">
        <f t="shared" ref="CX9" si="124">CV9+CW9</f>
        <v>11</v>
      </c>
      <c r="CY9" s="396">
        <f t="shared" ref="CY9" si="125">CS9+CV9</f>
        <v>3351</v>
      </c>
      <c r="CZ9" s="101">
        <f t="shared" ref="CZ9" si="126">CT9+CW9</f>
        <v>3115</v>
      </c>
      <c r="DA9" s="101">
        <f t="shared" ref="DA9" si="127">CU9+CX9</f>
        <v>6466</v>
      </c>
      <c r="DB9" s="397">
        <f t="shared" ref="DB9" si="128">CY9/CP9</f>
        <v>0.99112688553682338</v>
      </c>
      <c r="DC9" s="397">
        <f t="shared" ref="DC9" si="129">CZ9/CQ9</f>
        <v>0.99552572706935127</v>
      </c>
      <c r="DD9" s="397">
        <f t="shared" ref="DD9" si="130">DA9/CR9</f>
        <v>0.9932411674347158</v>
      </c>
      <c r="DE9" s="394">
        <v>17</v>
      </c>
      <c r="DF9" s="394">
        <v>9</v>
      </c>
      <c r="DG9" s="394">
        <f t="shared" ref="DG9" si="131">DE9+DF9</f>
        <v>26</v>
      </c>
      <c r="DH9" s="395">
        <v>1</v>
      </c>
      <c r="DI9" s="394">
        <v>1</v>
      </c>
      <c r="DJ9" s="394">
        <f t="shared" ref="DJ9" si="132">DH9+DI9</f>
        <v>2</v>
      </c>
      <c r="DK9" s="399"/>
      <c r="DL9" s="399"/>
      <c r="DM9" s="399"/>
      <c r="DN9" s="396">
        <f t="shared" ref="DN9" si="133">DH9+DK9</f>
        <v>1</v>
      </c>
      <c r="DO9" s="101">
        <f t="shared" ref="DO9" si="134">DI9+DL9</f>
        <v>1</v>
      </c>
      <c r="DP9" s="101">
        <f>DJ9+DM9</f>
        <v>2</v>
      </c>
      <c r="DQ9" s="397">
        <f t="shared" ref="DQ9" si="135">DN9/DE9</f>
        <v>5.8823529411764705E-2</v>
      </c>
      <c r="DR9" s="397">
        <f t="shared" ref="DR9" si="136">DO9/DF9</f>
        <v>0.1111111111111111</v>
      </c>
      <c r="DS9" s="397">
        <f t="shared" ref="DS9" si="137">DP9/DG9</f>
        <v>7.6923076923076927E-2</v>
      </c>
      <c r="DT9" s="101">
        <f t="shared" ref="DT9:DT13" si="138">CP9+DE9</f>
        <v>3398</v>
      </c>
      <c r="DU9" s="101">
        <f t="shared" ref="DU9:DU13" si="139">CQ9+DF9</f>
        <v>3138</v>
      </c>
      <c r="DV9" s="101">
        <f t="shared" ref="DV9:DV13" si="140">CR9+DG9</f>
        <v>6536</v>
      </c>
      <c r="DW9" s="101">
        <f t="shared" ref="DW9:DW13" si="141">CS9+DH9</f>
        <v>3346</v>
      </c>
      <c r="DX9" s="101">
        <f t="shared" ref="DX9:DX13" si="142">CT9+DI9</f>
        <v>3111</v>
      </c>
      <c r="DY9" s="101">
        <f t="shared" ref="DY9:DY13" si="143">CU9+DJ9</f>
        <v>6457</v>
      </c>
      <c r="DZ9" s="101">
        <f t="shared" ref="DZ9" si="144">CV9+DK9</f>
        <v>6</v>
      </c>
      <c r="EA9" s="101">
        <f t="shared" ref="EA9" si="145">CW9+DL9</f>
        <v>5</v>
      </c>
      <c r="EB9" s="101">
        <f t="shared" ref="EB9" si="146">CX9+DM9</f>
        <v>11</v>
      </c>
      <c r="EC9" s="101">
        <f t="shared" ref="EC9:EC13" si="147">CY9+DN9</f>
        <v>3352</v>
      </c>
      <c r="ED9" s="101">
        <f t="shared" ref="ED9:ED13" si="148">CZ9+DO9</f>
        <v>3116</v>
      </c>
      <c r="EE9" s="101">
        <f t="shared" ref="EE9:EE13" si="149">DA9+DP9</f>
        <v>6468</v>
      </c>
      <c r="EF9" s="397">
        <f t="shared" ref="EF9:EF13" si="150">EC9/DT9</f>
        <v>0.98646262507357274</v>
      </c>
      <c r="EG9" s="397">
        <f t="shared" ref="EG9:EG13" si="151">ED9/DU9</f>
        <v>0.99298916507329504</v>
      </c>
      <c r="EH9" s="397">
        <f t="shared" ref="EH9:EH13" si="152">EE9/DV9</f>
        <v>0.98959608323133419</v>
      </c>
      <c r="EI9" s="101">
        <f t="shared" si="53"/>
        <v>111686</v>
      </c>
      <c r="EJ9" s="101">
        <f t="shared" si="54"/>
        <v>94950</v>
      </c>
      <c r="EK9" s="101">
        <f t="shared" si="55"/>
        <v>206636</v>
      </c>
      <c r="EL9" s="101">
        <v>103579</v>
      </c>
      <c r="EM9" s="101">
        <v>91142</v>
      </c>
      <c r="EN9" s="101">
        <f t="shared" ref="EN9" si="153">EL9+EM9</f>
        <v>194721</v>
      </c>
      <c r="EO9" s="413">
        <f t="shared" ref="EO9" si="154">+EL9*100/EI9</f>
        <v>92.741256737639461</v>
      </c>
      <c r="EP9" s="413">
        <f t="shared" ref="EP9" si="155">+EM9*100/EJ9</f>
        <v>95.989468141126906</v>
      </c>
      <c r="EQ9" s="413">
        <f t="shared" ref="EQ9" si="156">+EN9*100/EK9</f>
        <v>94.233821792911201</v>
      </c>
      <c r="ER9" s="101">
        <f t="shared" si="58"/>
        <v>5930</v>
      </c>
      <c r="ES9" s="101">
        <f t="shared" si="58"/>
        <v>4927</v>
      </c>
      <c r="ET9" s="101">
        <f t="shared" si="58"/>
        <v>10857</v>
      </c>
      <c r="EU9" s="101">
        <v>5255</v>
      </c>
      <c r="EV9" s="101">
        <v>4532</v>
      </c>
      <c r="EW9" s="101">
        <f t="shared" ref="EW9" si="157">EU9+EV9</f>
        <v>9787</v>
      </c>
      <c r="EX9" s="413">
        <f t="shared" ref="EX9" si="158">+EU9*100/ER9</f>
        <v>88.617200674536249</v>
      </c>
      <c r="EY9" s="413">
        <f t="shared" ref="EY9" si="159">+EV9*100/ES9</f>
        <v>91.982951085853458</v>
      </c>
      <c r="EZ9" s="413">
        <f t="shared" ref="EZ9" si="160">+EW9*100/ET9</f>
        <v>90.144607165883755</v>
      </c>
      <c r="FA9" s="101">
        <f t="shared" si="61"/>
        <v>3352</v>
      </c>
      <c r="FB9" s="101">
        <f t="shared" si="61"/>
        <v>3116</v>
      </c>
      <c r="FC9" s="101">
        <f t="shared" si="61"/>
        <v>6468</v>
      </c>
      <c r="FD9" s="101">
        <v>2813</v>
      </c>
      <c r="FE9" s="101">
        <v>2787</v>
      </c>
      <c r="FF9" s="101">
        <f t="shared" ref="FF9" si="161">FD9+FE9</f>
        <v>5600</v>
      </c>
      <c r="FG9" s="413">
        <f t="shared" ref="FG9" si="162">+FD9*100/FA9</f>
        <v>83.920047732696901</v>
      </c>
      <c r="FH9" s="413">
        <f t="shared" ref="FH9" si="163">+FE9*100/FB9</f>
        <v>89.441591784338897</v>
      </c>
      <c r="FI9" s="413">
        <f t="shared" ref="FI9" si="164">+FF9*100/FC9</f>
        <v>86.580086580086586</v>
      </c>
    </row>
    <row r="10" spans="1:171" s="380" customFormat="1" ht="28.5">
      <c r="A10" s="393">
        <v>3</v>
      </c>
      <c r="B10" s="409" t="s">
        <v>370</v>
      </c>
      <c r="C10" s="221" t="s">
        <v>133</v>
      </c>
      <c r="D10" s="394">
        <v>322156</v>
      </c>
      <c r="E10" s="394">
        <v>307389</v>
      </c>
      <c r="F10" s="394">
        <f>D10+E10</f>
        <v>629545</v>
      </c>
      <c r="G10" s="394">
        <v>322156</v>
      </c>
      <c r="H10" s="394">
        <v>307389</v>
      </c>
      <c r="I10" s="394">
        <f t="shared" si="64"/>
        <v>629545</v>
      </c>
      <c r="J10" s="399"/>
      <c r="K10" s="399"/>
      <c r="L10" s="399"/>
      <c r="M10" s="396">
        <f t="shared" ref="M10:M48" si="165">G10+J10</f>
        <v>322156</v>
      </c>
      <c r="N10" s="101">
        <f t="shared" ref="N10:N48" si="166">H10+K10</f>
        <v>307389</v>
      </c>
      <c r="O10" s="101">
        <f t="shared" ref="O10:O48" si="167">I10+L10</f>
        <v>629545</v>
      </c>
      <c r="P10" s="397">
        <f t="shared" ref="P10:P48" si="168">M10/D10</f>
        <v>1</v>
      </c>
      <c r="Q10" s="397">
        <f t="shared" ref="Q10:Q48" si="169">N10/E10</f>
        <v>1</v>
      </c>
      <c r="R10" s="397">
        <f t="shared" ref="R10:R48" si="170">O10/F10</f>
        <v>1</v>
      </c>
      <c r="S10" s="394">
        <v>4593</v>
      </c>
      <c r="T10" s="394">
        <v>3211</v>
      </c>
      <c r="U10" s="394">
        <f t="shared" si="4"/>
        <v>7804</v>
      </c>
      <c r="V10" s="394">
        <v>4593</v>
      </c>
      <c r="W10" s="394">
        <v>3211</v>
      </c>
      <c r="X10" s="394">
        <f t="shared" si="5"/>
        <v>7804</v>
      </c>
      <c r="Y10" s="398"/>
      <c r="Z10" s="398"/>
      <c r="AA10" s="398"/>
      <c r="AB10" s="396">
        <f t="shared" ref="AB10:AB48" si="171">V10+Y10</f>
        <v>4593</v>
      </c>
      <c r="AC10" s="101">
        <f t="shared" ref="AC10:AC48" si="172">W10+Z10</f>
        <v>3211</v>
      </c>
      <c r="AD10" s="101">
        <f t="shared" ref="AD10:AD48" si="173">X10+AA10</f>
        <v>7804</v>
      </c>
      <c r="AE10" s="397">
        <f t="shared" ref="AE10:AE48" si="174">AB10/S10</f>
        <v>1</v>
      </c>
      <c r="AF10" s="397">
        <f t="shared" ref="AF10:AF48" si="175">AC10/T10</f>
        <v>1</v>
      </c>
      <c r="AG10" s="397">
        <f t="shared" ref="AG10:AG48" si="176">AD10/U10</f>
        <v>1</v>
      </c>
      <c r="AH10" s="101">
        <f t="shared" si="80"/>
        <v>326749</v>
      </c>
      <c r="AI10" s="101">
        <f t="shared" si="81"/>
        <v>310600</v>
      </c>
      <c r="AJ10" s="101">
        <f t="shared" si="82"/>
        <v>637349</v>
      </c>
      <c r="AK10" s="101">
        <f t="shared" si="83"/>
        <v>326749</v>
      </c>
      <c r="AL10" s="101">
        <f t="shared" si="84"/>
        <v>310600</v>
      </c>
      <c r="AM10" s="101">
        <f t="shared" si="85"/>
        <v>637349</v>
      </c>
      <c r="AN10" s="398"/>
      <c r="AO10" s="398"/>
      <c r="AP10" s="398"/>
      <c r="AQ10" s="101">
        <f t="shared" si="89"/>
        <v>326749</v>
      </c>
      <c r="AR10" s="101">
        <f t="shared" si="90"/>
        <v>310600</v>
      </c>
      <c r="AS10" s="101">
        <f t="shared" si="91"/>
        <v>637349</v>
      </c>
      <c r="AT10" s="397">
        <f t="shared" si="92"/>
        <v>1</v>
      </c>
      <c r="AU10" s="397">
        <f t="shared" si="93"/>
        <v>1</v>
      </c>
      <c r="AV10" s="397">
        <f t="shared" si="94"/>
        <v>1</v>
      </c>
      <c r="AW10" s="394">
        <v>61843</v>
      </c>
      <c r="AX10" s="394">
        <v>62043</v>
      </c>
      <c r="AY10" s="394">
        <f t="shared" si="15"/>
        <v>123886</v>
      </c>
      <c r="AZ10" s="394">
        <v>61843</v>
      </c>
      <c r="BA10" s="394">
        <v>62043</v>
      </c>
      <c r="BB10" s="394">
        <f t="shared" si="16"/>
        <v>123886</v>
      </c>
      <c r="BC10" s="399"/>
      <c r="BD10" s="399"/>
      <c r="BE10" s="399"/>
      <c r="BF10" s="396">
        <f t="shared" ref="BF10:BF48" si="177">AZ10+BC10</f>
        <v>61843</v>
      </c>
      <c r="BG10" s="101">
        <f t="shared" ref="BG10:BG48" si="178">BA10+BD10</f>
        <v>62043</v>
      </c>
      <c r="BH10" s="101">
        <f t="shared" ref="BH10:BH48" si="179">BB10+BE10</f>
        <v>123886</v>
      </c>
      <c r="BI10" s="397">
        <f t="shared" ref="BI10:BI48" si="180">BF10/AW10</f>
        <v>1</v>
      </c>
      <c r="BJ10" s="397">
        <f t="shared" ref="BJ10:BJ48" si="181">BG10/AX10</f>
        <v>1</v>
      </c>
      <c r="BK10" s="397">
        <f t="shared" ref="BK10:BK48" si="182">BH10/AY10</f>
        <v>1</v>
      </c>
      <c r="BL10" s="394">
        <v>1532</v>
      </c>
      <c r="BM10" s="394">
        <v>1170</v>
      </c>
      <c r="BN10" s="394">
        <f t="shared" si="24"/>
        <v>2702</v>
      </c>
      <c r="BO10" s="394">
        <v>1532</v>
      </c>
      <c r="BP10" s="394">
        <v>1170</v>
      </c>
      <c r="BQ10" s="394">
        <f t="shared" si="25"/>
        <v>2702</v>
      </c>
      <c r="BR10" s="398"/>
      <c r="BS10" s="398"/>
      <c r="BT10" s="399"/>
      <c r="BU10" s="396">
        <f t="shared" ref="BU10:BU48" si="183">BO10+BR10</f>
        <v>1532</v>
      </c>
      <c r="BV10" s="101">
        <f t="shared" ref="BV10:BV48" si="184">BP10+BS10</f>
        <v>1170</v>
      </c>
      <c r="BW10" s="101">
        <f t="shared" ref="BW10:BW48" si="185">BQ10+BT10</f>
        <v>2702</v>
      </c>
      <c r="BX10" s="397">
        <f t="shared" ref="BX10:BX48" si="186">BU10/BL10</f>
        <v>1</v>
      </c>
      <c r="BY10" s="397">
        <f t="shared" ref="BY10:BY48" si="187">BV10/BM10</f>
        <v>1</v>
      </c>
      <c r="BZ10" s="397">
        <f t="shared" ref="BZ10:BZ48" si="188">BW10/BN10</f>
        <v>1</v>
      </c>
      <c r="CA10" s="101">
        <f t="shared" si="108"/>
        <v>63375</v>
      </c>
      <c r="CB10" s="101">
        <f t="shared" si="109"/>
        <v>63213</v>
      </c>
      <c r="CC10" s="101">
        <f t="shared" si="110"/>
        <v>126588</v>
      </c>
      <c r="CD10" s="101">
        <f t="shared" si="111"/>
        <v>63375</v>
      </c>
      <c r="CE10" s="101">
        <f t="shared" si="112"/>
        <v>63213</v>
      </c>
      <c r="CF10" s="101">
        <f t="shared" si="113"/>
        <v>126588</v>
      </c>
      <c r="CG10" s="399"/>
      <c r="CH10" s="399"/>
      <c r="CI10" s="399"/>
      <c r="CJ10" s="101">
        <f t="shared" si="117"/>
        <v>63375</v>
      </c>
      <c r="CK10" s="101">
        <f t="shared" si="118"/>
        <v>63213</v>
      </c>
      <c r="CL10" s="101">
        <f t="shared" si="119"/>
        <v>126588</v>
      </c>
      <c r="CM10" s="397">
        <f t="shared" si="120"/>
        <v>1</v>
      </c>
      <c r="CN10" s="397">
        <f t="shared" si="121"/>
        <v>1</v>
      </c>
      <c r="CO10" s="397">
        <f t="shared" si="122"/>
        <v>1</v>
      </c>
      <c r="CP10" s="394">
        <v>15934</v>
      </c>
      <c r="CQ10" s="394">
        <v>16419</v>
      </c>
      <c r="CR10" s="394">
        <f t="shared" ref="CR10:CR48" si="189">CP10+CQ10</f>
        <v>32353</v>
      </c>
      <c r="CS10" s="394">
        <v>15934</v>
      </c>
      <c r="CT10" s="394">
        <v>16419</v>
      </c>
      <c r="CU10" s="394">
        <f t="shared" si="35"/>
        <v>32353</v>
      </c>
      <c r="CV10" s="399"/>
      <c r="CW10" s="399"/>
      <c r="CX10" s="399"/>
      <c r="CY10" s="396">
        <f t="shared" ref="CY10:CY48" si="190">CS10+CV10</f>
        <v>15934</v>
      </c>
      <c r="CZ10" s="101">
        <f t="shared" ref="CZ10:CZ48" si="191">CT10+CW10</f>
        <v>16419</v>
      </c>
      <c r="DA10" s="101">
        <f t="shared" ref="DA10:DA48" si="192">CU10+CX10</f>
        <v>32353</v>
      </c>
      <c r="DB10" s="397">
        <f t="shared" ref="DB10:DB48" si="193">CY10/CP10</f>
        <v>1</v>
      </c>
      <c r="DC10" s="397">
        <f t="shared" ref="DC10:DC48" si="194">CZ10/CQ10</f>
        <v>1</v>
      </c>
      <c r="DD10" s="397">
        <f t="shared" ref="DD10:DD48" si="195">DA10/CR10</f>
        <v>1</v>
      </c>
      <c r="DE10" s="394">
        <v>312</v>
      </c>
      <c r="DF10" s="394">
        <v>225</v>
      </c>
      <c r="DG10" s="394">
        <f t="shared" si="43"/>
        <v>537</v>
      </c>
      <c r="DH10" s="394">
        <v>312</v>
      </c>
      <c r="DI10" s="394">
        <v>225</v>
      </c>
      <c r="DJ10" s="394">
        <f t="shared" si="44"/>
        <v>537</v>
      </c>
      <c r="DK10" s="399"/>
      <c r="DL10" s="399"/>
      <c r="DM10" s="399"/>
      <c r="DN10" s="396">
        <f t="shared" ref="DN10" si="196">DH10+DK10</f>
        <v>312</v>
      </c>
      <c r="DO10" s="101">
        <f t="shared" ref="DO10" si="197">DI10+DL10</f>
        <v>225</v>
      </c>
      <c r="DP10" s="101">
        <f t="shared" ref="DP10:DP31" si="198">DJ10+DM10</f>
        <v>537</v>
      </c>
      <c r="DQ10" s="397">
        <f t="shared" ref="DQ10:DQ48" si="199">DN10/DE10</f>
        <v>1</v>
      </c>
      <c r="DR10" s="397">
        <f t="shared" ref="DR10:DR48" si="200">DO10/DF10</f>
        <v>1</v>
      </c>
      <c r="DS10" s="397">
        <f t="shared" ref="DS10:DS48" si="201">DP10/DG10</f>
        <v>1</v>
      </c>
      <c r="DT10" s="101">
        <f t="shared" si="138"/>
        <v>16246</v>
      </c>
      <c r="DU10" s="101">
        <f t="shared" si="139"/>
        <v>16644</v>
      </c>
      <c r="DV10" s="101">
        <f t="shared" si="140"/>
        <v>32890</v>
      </c>
      <c r="DW10" s="101">
        <f t="shared" si="141"/>
        <v>16246</v>
      </c>
      <c r="DX10" s="101">
        <f t="shared" si="142"/>
        <v>16644</v>
      </c>
      <c r="DY10" s="101">
        <f t="shared" si="143"/>
        <v>32890</v>
      </c>
      <c r="DZ10" s="399"/>
      <c r="EA10" s="399"/>
      <c r="EB10" s="399"/>
      <c r="EC10" s="101">
        <f t="shared" si="147"/>
        <v>16246</v>
      </c>
      <c r="ED10" s="101">
        <f t="shared" si="148"/>
        <v>16644</v>
      </c>
      <c r="EE10" s="101">
        <f t="shared" si="149"/>
        <v>32890</v>
      </c>
      <c r="EF10" s="397">
        <f t="shared" si="150"/>
        <v>1</v>
      </c>
      <c r="EG10" s="397">
        <f t="shared" si="151"/>
        <v>1</v>
      </c>
      <c r="EH10" s="397">
        <f t="shared" si="152"/>
        <v>1</v>
      </c>
      <c r="EI10" s="101">
        <f t="shared" si="53"/>
        <v>326749</v>
      </c>
      <c r="EJ10" s="101">
        <f t="shared" si="54"/>
        <v>310600</v>
      </c>
      <c r="EK10" s="101">
        <f t="shared" si="55"/>
        <v>637349</v>
      </c>
      <c r="EL10" s="415"/>
      <c r="EM10" s="415"/>
      <c r="EN10" s="415"/>
      <c r="EO10" s="416"/>
      <c r="EP10" s="416"/>
      <c r="EQ10" s="416"/>
      <c r="ER10" s="101">
        <f t="shared" si="58"/>
        <v>63375</v>
      </c>
      <c r="ES10" s="101">
        <f t="shared" si="58"/>
        <v>63213</v>
      </c>
      <c r="ET10" s="101">
        <f t="shared" si="58"/>
        <v>126588</v>
      </c>
      <c r="EU10" s="415"/>
      <c r="EV10" s="415"/>
      <c r="EW10" s="415"/>
      <c r="EX10" s="416"/>
      <c r="EY10" s="416"/>
      <c r="EZ10" s="416"/>
      <c r="FA10" s="101">
        <f t="shared" si="61"/>
        <v>16246</v>
      </c>
      <c r="FB10" s="101">
        <f t="shared" si="61"/>
        <v>16644</v>
      </c>
      <c r="FC10" s="101">
        <f t="shared" si="61"/>
        <v>32890</v>
      </c>
      <c r="FD10" s="415"/>
      <c r="FE10" s="415"/>
      <c r="FF10" s="415"/>
      <c r="FG10" s="416"/>
      <c r="FH10" s="416"/>
      <c r="FI10" s="416"/>
      <c r="FJ10" s="391"/>
      <c r="FK10" s="391"/>
      <c r="FL10" s="391"/>
      <c r="FM10" s="391"/>
      <c r="FN10" s="391"/>
      <c r="FO10" s="391"/>
    </row>
    <row r="11" spans="1:171" ht="28.5">
      <c r="A11" s="393">
        <v>4</v>
      </c>
      <c r="B11" s="454" t="s">
        <v>372</v>
      </c>
      <c r="C11" s="221" t="s">
        <v>134</v>
      </c>
      <c r="D11" s="394">
        <v>160793</v>
      </c>
      <c r="E11" s="394">
        <v>181431</v>
      </c>
      <c r="F11" s="394">
        <f>D11+E11</f>
        <v>342224</v>
      </c>
      <c r="G11" s="394">
        <v>107632</v>
      </c>
      <c r="H11" s="394">
        <v>114152</v>
      </c>
      <c r="I11" s="394">
        <f>G11+H11</f>
        <v>221784</v>
      </c>
      <c r="J11" s="399"/>
      <c r="K11" s="399"/>
      <c r="L11" s="399"/>
      <c r="M11" s="396">
        <f>G11+J11</f>
        <v>107632</v>
      </c>
      <c r="N11" s="101">
        <f>H11+K11</f>
        <v>114152</v>
      </c>
      <c r="O11" s="101">
        <f>I11+L11</f>
        <v>221784</v>
      </c>
      <c r="P11" s="397">
        <f>M11/D11</f>
        <v>0.66938237361079156</v>
      </c>
      <c r="Q11" s="397">
        <f>N11/E11</f>
        <v>0.62917582992983556</v>
      </c>
      <c r="R11" s="397">
        <f>O11/F11</f>
        <v>0.64806676328954138</v>
      </c>
      <c r="S11" s="399"/>
      <c r="T11" s="399"/>
      <c r="U11" s="399"/>
      <c r="V11" s="399"/>
      <c r="W11" s="399"/>
      <c r="X11" s="399"/>
      <c r="Y11" s="399"/>
      <c r="Z11" s="398"/>
      <c r="AA11" s="398"/>
      <c r="AB11" s="398"/>
      <c r="AC11" s="398"/>
      <c r="AD11" s="398"/>
      <c r="AE11" s="398"/>
      <c r="AF11" s="398"/>
      <c r="AG11" s="398"/>
      <c r="AH11" s="101">
        <f t="shared" ref="AH11:AM11" si="202">D11+S11</f>
        <v>160793</v>
      </c>
      <c r="AI11" s="101">
        <f t="shared" si="202"/>
        <v>181431</v>
      </c>
      <c r="AJ11" s="101">
        <f t="shared" si="202"/>
        <v>342224</v>
      </c>
      <c r="AK11" s="101">
        <f t="shared" si="202"/>
        <v>107632</v>
      </c>
      <c r="AL11" s="101">
        <f t="shared" si="202"/>
        <v>114152</v>
      </c>
      <c r="AM11" s="101">
        <f t="shared" si="202"/>
        <v>221784</v>
      </c>
      <c r="AN11" s="398"/>
      <c r="AO11" s="398"/>
      <c r="AP11" s="398"/>
      <c r="AQ11" s="101">
        <f>M11+AB11</f>
        <v>107632</v>
      </c>
      <c r="AR11" s="101">
        <f>N11+AC11</f>
        <v>114152</v>
      </c>
      <c r="AS11" s="101">
        <f>O11+AD11</f>
        <v>221784</v>
      </c>
      <c r="AT11" s="397">
        <f>AQ11/AH11</f>
        <v>0.66938237361079156</v>
      </c>
      <c r="AU11" s="397">
        <f>AR11/AI11</f>
        <v>0.62917582992983556</v>
      </c>
      <c r="AV11" s="397">
        <f>AS11/AJ11</f>
        <v>0.64806676328954138</v>
      </c>
      <c r="AW11" s="394">
        <v>14807</v>
      </c>
      <c r="AX11" s="394">
        <v>16560</v>
      </c>
      <c r="AY11" s="394">
        <f>AW11+AX11</f>
        <v>31367</v>
      </c>
      <c r="AZ11" s="394">
        <v>9018</v>
      </c>
      <c r="BA11" s="394">
        <v>9380</v>
      </c>
      <c r="BB11" s="394">
        <f>AZ11+BA11</f>
        <v>18398</v>
      </c>
      <c r="BC11" s="399"/>
      <c r="BD11" s="399"/>
      <c r="BE11" s="399"/>
      <c r="BF11" s="396">
        <f>AZ11+BC11</f>
        <v>9018</v>
      </c>
      <c r="BG11" s="101">
        <f>BA11+BD11</f>
        <v>9380</v>
      </c>
      <c r="BH11" s="101">
        <f>BB11+BE11</f>
        <v>18398</v>
      </c>
      <c r="BI11" s="397">
        <f>BF11/AW11</f>
        <v>0.60903626663064769</v>
      </c>
      <c r="BJ11" s="397">
        <f>BG11/AX11</f>
        <v>0.56642512077294682</v>
      </c>
      <c r="BK11" s="397">
        <f>BH11/AY11</f>
        <v>0.58653999426148495</v>
      </c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399"/>
      <c r="CA11" s="101">
        <f t="shared" ref="CA11:CF11" si="203">AW11+BL11</f>
        <v>14807</v>
      </c>
      <c r="CB11" s="101">
        <f t="shared" si="203"/>
        <v>16560</v>
      </c>
      <c r="CC11" s="101">
        <f t="shared" si="203"/>
        <v>31367</v>
      </c>
      <c r="CD11" s="101">
        <f t="shared" si="203"/>
        <v>9018</v>
      </c>
      <c r="CE11" s="101">
        <f t="shared" si="203"/>
        <v>9380</v>
      </c>
      <c r="CF11" s="101">
        <f t="shared" si="203"/>
        <v>18398</v>
      </c>
      <c r="CG11" s="399"/>
      <c r="CH11" s="399"/>
      <c r="CI11" s="399"/>
      <c r="CJ11" s="101">
        <f>BF11+BU11</f>
        <v>9018</v>
      </c>
      <c r="CK11" s="101">
        <f>BG11+BV11</f>
        <v>9380</v>
      </c>
      <c r="CL11" s="101">
        <f>BH11+BW11</f>
        <v>18398</v>
      </c>
      <c r="CM11" s="397">
        <f>CJ11/CA11</f>
        <v>0.60903626663064769</v>
      </c>
      <c r="CN11" s="397">
        <f>CK11/CB11</f>
        <v>0.56642512077294682</v>
      </c>
      <c r="CO11" s="397">
        <f>CL11/CC11</f>
        <v>0.58653999426148495</v>
      </c>
      <c r="CP11" s="394">
        <v>32155</v>
      </c>
      <c r="CQ11" s="394">
        <v>34535</v>
      </c>
      <c r="CR11" s="394">
        <f>CP11+CQ11</f>
        <v>66690</v>
      </c>
      <c r="CS11" s="394">
        <v>20802</v>
      </c>
      <c r="CT11" s="394">
        <v>21309</v>
      </c>
      <c r="CU11" s="394">
        <f>CS11+CT11</f>
        <v>42111</v>
      </c>
      <c r="CV11" s="399"/>
      <c r="CW11" s="399"/>
      <c r="CX11" s="399"/>
      <c r="CY11" s="396">
        <f>CS11+CV40</f>
        <v>20802</v>
      </c>
      <c r="CZ11" s="101">
        <f>CT11+CW11</f>
        <v>21309</v>
      </c>
      <c r="DA11" s="101">
        <f>CU11+CX11</f>
        <v>42111</v>
      </c>
      <c r="DB11" s="397">
        <f>CY11/CP11</f>
        <v>0.64692893795677187</v>
      </c>
      <c r="DC11" s="397">
        <f>CZ11/CQ11</f>
        <v>0.61702620529897201</v>
      </c>
      <c r="DD11" s="397">
        <f>DA11/CR11</f>
        <v>0.63144399460188938</v>
      </c>
      <c r="DE11" s="399"/>
      <c r="DF11" s="399"/>
      <c r="DG11" s="399"/>
      <c r="DH11" s="399"/>
      <c r="DI11" s="399"/>
      <c r="DJ11" s="399"/>
      <c r="DK11" s="399"/>
      <c r="DL11" s="399"/>
      <c r="DM11" s="399"/>
      <c r="DN11" s="399"/>
      <c r="DO11" s="399"/>
      <c r="DP11" s="399"/>
      <c r="DQ11" s="399"/>
      <c r="DR11" s="399"/>
      <c r="DS11" s="399"/>
      <c r="DT11" s="101">
        <f t="shared" ref="DT11:DY11" si="204">CP11+DE11</f>
        <v>32155</v>
      </c>
      <c r="DU11" s="101">
        <f t="shared" si="204"/>
        <v>34535</v>
      </c>
      <c r="DV11" s="101">
        <f t="shared" si="204"/>
        <v>66690</v>
      </c>
      <c r="DW11" s="101">
        <f t="shared" si="204"/>
        <v>20802</v>
      </c>
      <c r="DX11" s="101">
        <f t="shared" si="204"/>
        <v>21309</v>
      </c>
      <c r="DY11" s="101">
        <f t="shared" si="204"/>
        <v>42111</v>
      </c>
      <c r="DZ11" s="399"/>
      <c r="EA11" s="399"/>
      <c r="EB11" s="399"/>
      <c r="EC11" s="101">
        <f>CY11+DN11</f>
        <v>20802</v>
      </c>
      <c r="ED11" s="101">
        <f>CZ11+DO11</f>
        <v>21309</v>
      </c>
      <c r="EE11" s="101">
        <f>DA11+DP11</f>
        <v>42111</v>
      </c>
      <c r="EF11" s="397">
        <f>EC11/DT11</f>
        <v>0.64692893795677187</v>
      </c>
      <c r="EG11" s="397">
        <f>ED11/DU11</f>
        <v>0.61702620529897201</v>
      </c>
      <c r="EH11" s="397">
        <f>EE11/DV11</f>
        <v>0.63144399460188938</v>
      </c>
      <c r="EI11" s="101">
        <f t="shared" si="53"/>
        <v>107632</v>
      </c>
      <c r="EJ11" s="101">
        <f t="shared" si="54"/>
        <v>114152</v>
      </c>
      <c r="EK11" s="101">
        <f t="shared" si="55"/>
        <v>221784</v>
      </c>
      <c r="EL11" s="101">
        <v>45061</v>
      </c>
      <c r="EM11" s="101">
        <v>45462</v>
      </c>
      <c r="EN11" s="101">
        <f t="shared" ref="EN11" si="205">EL11+EM11</f>
        <v>90523</v>
      </c>
      <c r="EO11" s="413">
        <f t="shared" ref="EO11" si="206">+EL11*100/EI11</f>
        <v>41.865801991972646</v>
      </c>
      <c r="EP11" s="413">
        <f t="shared" ref="EP11" si="207">+EM11*100/EJ11</f>
        <v>39.825846240100915</v>
      </c>
      <c r="EQ11" s="413">
        <f t="shared" ref="EQ11" si="208">+EN11*100/EK11</f>
        <v>40.815838834181008</v>
      </c>
      <c r="ER11" s="101">
        <f t="shared" si="58"/>
        <v>9018</v>
      </c>
      <c r="ES11" s="101">
        <f t="shared" si="58"/>
        <v>9380</v>
      </c>
      <c r="ET11" s="101">
        <f t="shared" si="58"/>
        <v>18398</v>
      </c>
      <c r="EU11" s="101">
        <v>3095</v>
      </c>
      <c r="EV11" s="101">
        <v>3042</v>
      </c>
      <c r="EW11" s="101">
        <f t="shared" ref="EW11" si="209">EU11+EV11</f>
        <v>6137</v>
      </c>
      <c r="EX11" s="413">
        <f t="shared" ref="EX11" si="210">+EU11*100/ER11</f>
        <v>34.320248392104681</v>
      </c>
      <c r="EY11" s="413">
        <f t="shared" ref="EY11" si="211">+EV11*100/ES11</f>
        <v>32.430703624733475</v>
      </c>
      <c r="EZ11" s="413">
        <f t="shared" ref="EZ11" si="212">+EW11*100/ET11</f>
        <v>33.356886618110664</v>
      </c>
      <c r="FA11" s="101">
        <f t="shared" si="61"/>
        <v>20802</v>
      </c>
      <c r="FB11" s="101">
        <f t="shared" si="61"/>
        <v>21309</v>
      </c>
      <c r="FC11" s="101">
        <f t="shared" si="61"/>
        <v>42111</v>
      </c>
      <c r="FD11" s="101">
        <v>7296</v>
      </c>
      <c r="FE11" s="101">
        <v>7340</v>
      </c>
      <c r="FF11" s="101">
        <f t="shared" ref="FF11" si="213">FD11+FE11</f>
        <v>14636</v>
      </c>
      <c r="FG11" s="413">
        <f t="shared" ref="FG11" si="214">+FD11*100/FA11</f>
        <v>35.073550620132679</v>
      </c>
      <c r="FH11" s="413">
        <f t="shared" ref="FH11" si="215">+FE11*100/FB11</f>
        <v>34.445539443427663</v>
      </c>
      <c r="FI11" s="413">
        <f t="shared" ref="FI11" si="216">+FF11*100/FC11</f>
        <v>34.755764527083187</v>
      </c>
      <c r="FJ11" s="381"/>
    </row>
    <row r="12" spans="1:171" s="362" customFormat="1" ht="28.5">
      <c r="A12" s="393">
        <v>5</v>
      </c>
      <c r="B12" s="455"/>
      <c r="C12" s="221" t="s">
        <v>363</v>
      </c>
      <c r="D12" s="394">
        <v>732</v>
      </c>
      <c r="E12" s="394">
        <v>395</v>
      </c>
      <c r="F12" s="394">
        <f t="shared" ref="F12" si="217">D12+E12</f>
        <v>1127</v>
      </c>
      <c r="G12" s="395">
        <v>523</v>
      </c>
      <c r="H12" s="394">
        <v>323</v>
      </c>
      <c r="I12" s="394">
        <f t="shared" ref="I12" si="218">G12+H12</f>
        <v>846</v>
      </c>
      <c r="J12" s="402"/>
      <c r="K12" s="402"/>
      <c r="L12" s="402"/>
      <c r="M12" s="396">
        <f t="shared" ref="M12" si="219">G12+J12</f>
        <v>523</v>
      </c>
      <c r="N12" s="101">
        <f t="shared" ref="N12" si="220">H12+K12</f>
        <v>323</v>
      </c>
      <c r="O12" s="101">
        <f t="shared" ref="O12" si="221">I12+L12</f>
        <v>846</v>
      </c>
      <c r="P12" s="397">
        <f t="shared" ref="P12" si="222">M12/D12</f>
        <v>0.71448087431693985</v>
      </c>
      <c r="Q12" s="397">
        <f t="shared" ref="Q12" si="223">N12/E12</f>
        <v>0.8177215189873418</v>
      </c>
      <c r="R12" s="397">
        <f t="shared" ref="R12" si="224">O12/F12</f>
        <v>0.75066548358473828</v>
      </c>
      <c r="S12" s="394">
        <v>2</v>
      </c>
      <c r="T12" s="399"/>
      <c r="U12" s="394">
        <f t="shared" ref="U12" si="225">S12+T12</f>
        <v>2</v>
      </c>
      <c r="V12" s="395">
        <v>1</v>
      </c>
      <c r="W12" s="399"/>
      <c r="X12" s="394">
        <f t="shared" ref="X12" si="226">V12+W12</f>
        <v>1</v>
      </c>
      <c r="Y12" s="399"/>
      <c r="Z12" s="399"/>
      <c r="AA12" s="399"/>
      <c r="AB12" s="396">
        <f t="shared" ref="AB12" si="227">V12+Y12</f>
        <v>1</v>
      </c>
      <c r="AC12" s="399"/>
      <c r="AD12" s="101">
        <f t="shared" ref="AD12" si="228">X12+AA12</f>
        <v>1</v>
      </c>
      <c r="AE12" s="397">
        <f t="shared" ref="AE12" si="229">AB12/S12</f>
        <v>0.5</v>
      </c>
      <c r="AF12" s="399"/>
      <c r="AG12" s="397">
        <f t="shared" ref="AG12" si="230">AD12/U12</f>
        <v>0.5</v>
      </c>
      <c r="AH12" s="101">
        <f t="shared" ref="AH12" si="231">D12+S12</f>
        <v>734</v>
      </c>
      <c r="AI12" s="101">
        <f t="shared" ref="AI12" si="232">E12+T12</f>
        <v>395</v>
      </c>
      <c r="AJ12" s="101">
        <f t="shared" ref="AJ12" si="233">F12+U12</f>
        <v>1129</v>
      </c>
      <c r="AK12" s="101">
        <f t="shared" ref="AK12" si="234">G12+V12</f>
        <v>524</v>
      </c>
      <c r="AL12" s="101">
        <f t="shared" ref="AL12" si="235">H12+W12</f>
        <v>323</v>
      </c>
      <c r="AM12" s="101">
        <f t="shared" ref="AM12" si="236">I12+X12</f>
        <v>847</v>
      </c>
      <c r="AN12" s="398"/>
      <c r="AO12" s="398"/>
      <c r="AP12" s="398"/>
      <c r="AQ12" s="101">
        <f t="shared" ref="AQ12" si="237">M12+AB12</f>
        <v>524</v>
      </c>
      <c r="AR12" s="101">
        <f t="shared" ref="AR12" si="238">N12+AC12</f>
        <v>323</v>
      </c>
      <c r="AS12" s="101">
        <f t="shared" ref="AS12" si="239">O12+AD12</f>
        <v>847</v>
      </c>
      <c r="AT12" s="397">
        <f t="shared" ref="AT12" si="240">AQ12/AH12</f>
        <v>0.71389645776566757</v>
      </c>
      <c r="AU12" s="397">
        <f t="shared" ref="AU12" si="241">AR12/AI12</f>
        <v>0.8177215189873418</v>
      </c>
      <c r="AV12" s="397">
        <f t="shared" ref="AV12" si="242">AS12/AJ12</f>
        <v>0.75022143489813997</v>
      </c>
      <c r="AW12" s="399"/>
      <c r="AX12" s="399"/>
      <c r="AY12" s="399"/>
      <c r="AZ12" s="399"/>
      <c r="BA12" s="399"/>
      <c r="BB12" s="399"/>
      <c r="BC12" s="399"/>
      <c r="BD12" s="399"/>
      <c r="BE12" s="399"/>
      <c r="BF12" s="399"/>
      <c r="BG12" s="399"/>
      <c r="BH12" s="399"/>
      <c r="BI12" s="399"/>
      <c r="BJ12" s="399"/>
      <c r="BK12" s="399"/>
      <c r="BL12" s="399"/>
      <c r="BM12" s="399"/>
      <c r="BN12" s="399"/>
      <c r="BO12" s="399"/>
      <c r="BP12" s="399"/>
      <c r="BQ12" s="399"/>
      <c r="BR12" s="417"/>
      <c r="BS12" s="417"/>
      <c r="BT12" s="417"/>
      <c r="BU12" s="399"/>
      <c r="BV12" s="399"/>
      <c r="BW12" s="399"/>
      <c r="BX12" s="399"/>
      <c r="BY12" s="399"/>
      <c r="BZ12" s="399"/>
      <c r="CA12" s="399"/>
      <c r="CB12" s="399"/>
      <c r="CC12" s="399"/>
      <c r="CD12" s="399"/>
      <c r="CE12" s="399"/>
      <c r="CF12" s="399"/>
      <c r="CG12" s="399"/>
      <c r="CH12" s="399"/>
      <c r="CI12" s="399"/>
      <c r="CJ12" s="399"/>
      <c r="CK12" s="399"/>
      <c r="CL12" s="399"/>
      <c r="CM12" s="399"/>
      <c r="CN12" s="399"/>
      <c r="CO12" s="399"/>
      <c r="CP12" s="399"/>
      <c r="CQ12" s="399"/>
      <c r="CR12" s="399"/>
      <c r="CS12" s="399"/>
      <c r="CT12" s="399"/>
      <c r="CU12" s="399"/>
      <c r="CV12" s="417"/>
      <c r="CW12" s="417"/>
      <c r="CX12" s="417"/>
      <c r="CY12" s="399"/>
      <c r="CZ12" s="399"/>
      <c r="DA12" s="399"/>
      <c r="DB12" s="399"/>
      <c r="DC12" s="399"/>
      <c r="DD12" s="399"/>
      <c r="DE12" s="399"/>
      <c r="DF12" s="399"/>
      <c r="DG12" s="399"/>
      <c r="DH12" s="399"/>
      <c r="DI12" s="399"/>
      <c r="DJ12" s="399"/>
      <c r="DK12" s="399"/>
      <c r="DL12" s="399"/>
      <c r="DM12" s="399"/>
      <c r="DN12" s="399"/>
      <c r="DO12" s="399"/>
      <c r="DP12" s="399"/>
      <c r="DQ12" s="399"/>
      <c r="DR12" s="399"/>
      <c r="DS12" s="399"/>
      <c r="DT12" s="399"/>
      <c r="DU12" s="399"/>
      <c r="DV12" s="399"/>
      <c r="DW12" s="399"/>
      <c r="DX12" s="399"/>
      <c r="DY12" s="399"/>
      <c r="DZ12" s="399"/>
      <c r="EA12" s="399"/>
      <c r="EB12" s="399"/>
      <c r="EC12" s="399"/>
      <c r="ED12" s="399"/>
      <c r="EE12" s="399"/>
      <c r="EF12" s="399"/>
      <c r="EG12" s="399"/>
      <c r="EH12" s="399"/>
      <c r="EI12" s="101">
        <f t="shared" si="53"/>
        <v>524</v>
      </c>
      <c r="EJ12" s="101">
        <f t="shared" si="54"/>
        <v>323</v>
      </c>
      <c r="EK12" s="101">
        <f t="shared" si="55"/>
        <v>847</v>
      </c>
      <c r="EL12" s="101">
        <v>247</v>
      </c>
      <c r="EM12" s="101">
        <v>125</v>
      </c>
      <c r="EN12" s="101">
        <f t="shared" ref="EN12" si="243">EL12+EM12</f>
        <v>372</v>
      </c>
      <c r="EO12" s="413">
        <f t="shared" ref="EO12" si="244">+EL12*100/EI12</f>
        <v>47.137404580152669</v>
      </c>
      <c r="EP12" s="413">
        <f t="shared" ref="EP12" si="245">+EM12*100/EJ12</f>
        <v>38.699690402476783</v>
      </c>
      <c r="EQ12" s="413">
        <f t="shared" ref="EQ12" si="246">+EN12*100/EK12</f>
        <v>43.919716646989372</v>
      </c>
      <c r="ER12" s="399"/>
      <c r="ES12" s="399"/>
      <c r="ET12" s="399"/>
      <c r="EU12" s="399"/>
      <c r="EV12" s="399"/>
      <c r="EW12" s="399"/>
      <c r="EX12" s="399"/>
      <c r="EY12" s="399"/>
      <c r="EZ12" s="399"/>
      <c r="FA12" s="399"/>
      <c r="FB12" s="399"/>
      <c r="FC12" s="399"/>
      <c r="FD12" s="399"/>
      <c r="FE12" s="399"/>
      <c r="FF12" s="399"/>
      <c r="FG12" s="399"/>
      <c r="FH12" s="399"/>
      <c r="FI12" s="399"/>
    </row>
    <row r="13" spans="1:171" ht="28.5">
      <c r="A13" s="393">
        <v>6</v>
      </c>
      <c r="B13" s="454" t="s">
        <v>374</v>
      </c>
      <c r="C13" s="221" t="s">
        <v>347</v>
      </c>
      <c r="D13" s="394">
        <v>669395</v>
      </c>
      <c r="E13" s="394">
        <v>690130</v>
      </c>
      <c r="F13" s="394">
        <f t="shared" ref="F13" si="247">D13+E13</f>
        <v>1359525</v>
      </c>
      <c r="G13" s="394">
        <v>607763</v>
      </c>
      <c r="H13" s="394">
        <v>602917</v>
      </c>
      <c r="I13" s="394">
        <f t="shared" ref="I13" si="248">G13+H13</f>
        <v>1210680</v>
      </c>
      <c r="J13" s="399"/>
      <c r="K13" s="399"/>
      <c r="L13" s="399"/>
      <c r="M13" s="396">
        <f t="shared" si="165"/>
        <v>607763</v>
      </c>
      <c r="N13" s="101">
        <f t="shared" si="166"/>
        <v>602917</v>
      </c>
      <c r="O13" s="101">
        <f t="shared" si="167"/>
        <v>1210680</v>
      </c>
      <c r="P13" s="397">
        <f t="shared" si="168"/>
        <v>0.90792880138035092</v>
      </c>
      <c r="Q13" s="397">
        <f t="shared" si="169"/>
        <v>0.87362815701389596</v>
      </c>
      <c r="R13" s="397">
        <f t="shared" si="170"/>
        <v>0.8905169084790644</v>
      </c>
      <c r="S13" s="394">
        <v>4477</v>
      </c>
      <c r="T13" s="394">
        <v>1797</v>
      </c>
      <c r="U13" s="394">
        <f t="shared" si="4"/>
        <v>6274</v>
      </c>
      <c r="V13" s="394">
        <v>3951</v>
      </c>
      <c r="W13" s="394">
        <v>1533</v>
      </c>
      <c r="X13" s="394">
        <f t="shared" si="5"/>
        <v>5484</v>
      </c>
      <c r="Y13" s="399"/>
      <c r="Z13" s="399"/>
      <c r="AA13" s="399"/>
      <c r="AB13" s="396">
        <f t="shared" si="171"/>
        <v>3951</v>
      </c>
      <c r="AC13" s="101">
        <f t="shared" si="172"/>
        <v>1533</v>
      </c>
      <c r="AD13" s="101">
        <f t="shared" si="173"/>
        <v>5484</v>
      </c>
      <c r="AE13" s="397">
        <f t="shared" si="174"/>
        <v>0.88251060978333706</v>
      </c>
      <c r="AF13" s="397">
        <f t="shared" si="175"/>
        <v>0.85308848080133559</v>
      </c>
      <c r="AG13" s="397">
        <f t="shared" si="176"/>
        <v>0.87408351928594197</v>
      </c>
      <c r="AH13" s="101">
        <f t="shared" si="80"/>
        <v>673872</v>
      </c>
      <c r="AI13" s="101">
        <f t="shared" si="81"/>
        <v>691927</v>
      </c>
      <c r="AJ13" s="101">
        <f t="shared" si="82"/>
        <v>1365799</v>
      </c>
      <c r="AK13" s="101">
        <f t="shared" si="83"/>
        <v>611714</v>
      </c>
      <c r="AL13" s="101">
        <f t="shared" si="84"/>
        <v>604450</v>
      </c>
      <c r="AM13" s="101">
        <f t="shared" si="85"/>
        <v>1216164</v>
      </c>
      <c r="AN13" s="398"/>
      <c r="AO13" s="398"/>
      <c r="AP13" s="398"/>
      <c r="AQ13" s="101">
        <f t="shared" si="89"/>
        <v>611714</v>
      </c>
      <c r="AR13" s="101">
        <f t="shared" si="90"/>
        <v>604450</v>
      </c>
      <c r="AS13" s="101">
        <f t="shared" si="91"/>
        <v>1216164</v>
      </c>
      <c r="AT13" s="397">
        <f t="shared" si="92"/>
        <v>0.90775993066932592</v>
      </c>
      <c r="AU13" s="397">
        <f t="shared" si="93"/>
        <v>0.87357481352801669</v>
      </c>
      <c r="AV13" s="397">
        <f t="shared" si="94"/>
        <v>0.89044141927179621</v>
      </c>
      <c r="AW13" s="394">
        <v>119315</v>
      </c>
      <c r="AX13" s="394">
        <v>116266</v>
      </c>
      <c r="AY13" s="394">
        <f t="shared" si="15"/>
        <v>235581</v>
      </c>
      <c r="AZ13" s="394">
        <v>104696</v>
      </c>
      <c r="BA13" s="394">
        <v>93620</v>
      </c>
      <c r="BB13" s="394">
        <f t="shared" si="16"/>
        <v>198316</v>
      </c>
      <c r="BC13" s="399"/>
      <c r="BD13" s="399"/>
      <c r="BE13" s="399"/>
      <c r="BF13" s="396">
        <f t="shared" si="177"/>
        <v>104696</v>
      </c>
      <c r="BG13" s="101">
        <f t="shared" si="178"/>
        <v>93620</v>
      </c>
      <c r="BH13" s="101">
        <f t="shared" si="179"/>
        <v>198316</v>
      </c>
      <c r="BI13" s="397">
        <f t="shared" si="180"/>
        <v>0.87747558982525253</v>
      </c>
      <c r="BJ13" s="397">
        <f t="shared" si="181"/>
        <v>0.80522250700978792</v>
      </c>
      <c r="BK13" s="397">
        <f t="shared" si="182"/>
        <v>0.84181661509204897</v>
      </c>
      <c r="BL13" s="394">
        <v>564</v>
      </c>
      <c r="BM13" s="394">
        <v>314</v>
      </c>
      <c r="BN13" s="394">
        <f t="shared" si="24"/>
        <v>878</v>
      </c>
      <c r="BO13" s="394">
        <v>484</v>
      </c>
      <c r="BP13" s="394">
        <v>267</v>
      </c>
      <c r="BQ13" s="394">
        <f t="shared" si="25"/>
        <v>751</v>
      </c>
      <c r="BR13" s="399"/>
      <c r="BS13" s="399"/>
      <c r="BT13" s="399"/>
      <c r="BU13" s="396">
        <f t="shared" si="183"/>
        <v>484</v>
      </c>
      <c r="BV13" s="101">
        <f t="shared" si="184"/>
        <v>267</v>
      </c>
      <c r="BW13" s="101">
        <f t="shared" si="185"/>
        <v>751</v>
      </c>
      <c r="BX13" s="397">
        <f t="shared" si="186"/>
        <v>0.85815602836879434</v>
      </c>
      <c r="BY13" s="397">
        <f t="shared" si="187"/>
        <v>0.85031847133757965</v>
      </c>
      <c r="BZ13" s="397">
        <f t="shared" si="188"/>
        <v>0.8553530751708428</v>
      </c>
      <c r="CA13" s="101">
        <f t="shared" si="108"/>
        <v>119879</v>
      </c>
      <c r="CB13" s="101">
        <f t="shared" si="109"/>
        <v>116580</v>
      </c>
      <c r="CC13" s="101">
        <f t="shared" si="110"/>
        <v>236459</v>
      </c>
      <c r="CD13" s="101">
        <f t="shared" si="111"/>
        <v>105180</v>
      </c>
      <c r="CE13" s="101">
        <f t="shared" si="112"/>
        <v>93887</v>
      </c>
      <c r="CF13" s="101">
        <f t="shared" si="113"/>
        <v>199067</v>
      </c>
      <c r="CG13" s="399"/>
      <c r="CH13" s="399"/>
      <c r="CI13" s="399"/>
      <c r="CJ13" s="101">
        <f t="shared" si="117"/>
        <v>105180</v>
      </c>
      <c r="CK13" s="101">
        <f t="shared" si="118"/>
        <v>93887</v>
      </c>
      <c r="CL13" s="101">
        <f t="shared" si="119"/>
        <v>199067</v>
      </c>
      <c r="CM13" s="397">
        <f t="shared" si="120"/>
        <v>0.87738469623537063</v>
      </c>
      <c r="CN13" s="397">
        <f t="shared" si="121"/>
        <v>0.80534396980614176</v>
      </c>
      <c r="CO13" s="397">
        <f t="shared" si="122"/>
        <v>0.84186687755593992</v>
      </c>
      <c r="CP13" s="394">
        <v>16446</v>
      </c>
      <c r="CQ13" s="394">
        <v>16901</v>
      </c>
      <c r="CR13" s="394">
        <f t="shared" si="189"/>
        <v>33347</v>
      </c>
      <c r="CS13" s="394">
        <v>14833</v>
      </c>
      <c r="CT13" s="394">
        <v>14899</v>
      </c>
      <c r="CU13" s="394">
        <f t="shared" si="35"/>
        <v>29732</v>
      </c>
      <c r="CV13" s="399"/>
      <c r="CW13" s="399"/>
      <c r="CX13" s="399"/>
      <c r="CY13" s="396">
        <f t="shared" si="190"/>
        <v>14833</v>
      </c>
      <c r="CZ13" s="101">
        <f t="shared" si="191"/>
        <v>14899</v>
      </c>
      <c r="DA13" s="101">
        <f t="shared" si="192"/>
        <v>29732</v>
      </c>
      <c r="DB13" s="397">
        <f t="shared" si="193"/>
        <v>0.90192143986379669</v>
      </c>
      <c r="DC13" s="397">
        <f t="shared" si="194"/>
        <v>0.88154547068220812</v>
      </c>
      <c r="DD13" s="397">
        <f t="shared" si="195"/>
        <v>0.89159444627702644</v>
      </c>
      <c r="DE13" s="394">
        <v>82</v>
      </c>
      <c r="DF13" s="394">
        <v>46</v>
      </c>
      <c r="DG13" s="394">
        <f t="shared" si="43"/>
        <v>128</v>
      </c>
      <c r="DH13" s="394">
        <v>68</v>
      </c>
      <c r="DI13" s="394">
        <v>39</v>
      </c>
      <c r="DJ13" s="394">
        <f t="shared" si="44"/>
        <v>107</v>
      </c>
      <c r="DK13" s="399"/>
      <c r="DL13" s="399"/>
      <c r="DM13" s="399"/>
      <c r="DN13" s="396">
        <f t="shared" ref="DN13" si="249">DH13+DK13</f>
        <v>68</v>
      </c>
      <c r="DO13" s="101">
        <f t="shared" ref="DO13" si="250">DI13+DL13</f>
        <v>39</v>
      </c>
      <c r="DP13" s="101">
        <f t="shared" ref="DP13" si="251">DJ13+DM13</f>
        <v>107</v>
      </c>
      <c r="DQ13" s="397">
        <f t="shared" si="199"/>
        <v>0.82926829268292679</v>
      </c>
      <c r="DR13" s="397">
        <f t="shared" si="200"/>
        <v>0.84782608695652173</v>
      </c>
      <c r="DS13" s="397">
        <f t="shared" si="201"/>
        <v>0.8359375</v>
      </c>
      <c r="DT13" s="101">
        <f t="shared" si="138"/>
        <v>16528</v>
      </c>
      <c r="DU13" s="101">
        <f t="shared" si="139"/>
        <v>16947</v>
      </c>
      <c r="DV13" s="101">
        <f t="shared" si="140"/>
        <v>33475</v>
      </c>
      <c r="DW13" s="101">
        <f t="shared" si="141"/>
        <v>14901</v>
      </c>
      <c r="DX13" s="101">
        <f t="shared" si="142"/>
        <v>14938</v>
      </c>
      <c r="DY13" s="101">
        <f t="shared" si="143"/>
        <v>29839</v>
      </c>
      <c r="DZ13" s="399"/>
      <c r="EA13" s="399"/>
      <c r="EB13" s="399"/>
      <c r="EC13" s="101">
        <f t="shared" si="147"/>
        <v>14901</v>
      </c>
      <c r="ED13" s="101">
        <f t="shared" si="148"/>
        <v>14938</v>
      </c>
      <c r="EE13" s="101">
        <f t="shared" si="149"/>
        <v>29839</v>
      </c>
      <c r="EF13" s="397">
        <f t="shared" si="150"/>
        <v>0.90156098741529522</v>
      </c>
      <c r="EG13" s="397">
        <f t="shared" si="151"/>
        <v>0.88145394465097071</v>
      </c>
      <c r="EH13" s="397">
        <f t="shared" si="152"/>
        <v>0.89138162808065724</v>
      </c>
      <c r="EI13" s="101">
        <f t="shared" si="53"/>
        <v>611714</v>
      </c>
      <c r="EJ13" s="101">
        <f t="shared" si="54"/>
        <v>604450</v>
      </c>
      <c r="EK13" s="101">
        <f t="shared" si="55"/>
        <v>1216164</v>
      </c>
      <c r="EL13" s="101">
        <v>238697</v>
      </c>
      <c r="EM13" s="101">
        <v>165804</v>
      </c>
      <c r="EN13" s="101">
        <f t="shared" ref="EN13" si="252">EL13+EM13</f>
        <v>404501</v>
      </c>
      <c r="EO13" s="413">
        <f t="shared" ref="EO13" si="253">+EL13*100/EI13</f>
        <v>39.021013087815547</v>
      </c>
      <c r="EP13" s="413">
        <f t="shared" ref="EP13" si="254">+EM13*100/EJ13</f>
        <v>27.430556704442054</v>
      </c>
      <c r="EQ13" s="413">
        <f t="shared" ref="EQ13" si="255">+EN13*100/EK13</f>
        <v>33.260399090912081</v>
      </c>
      <c r="ER13" s="101">
        <f t="shared" ref="ER13:ET16" si="256">+CJ13</f>
        <v>105180</v>
      </c>
      <c r="ES13" s="101">
        <f t="shared" si="256"/>
        <v>93887</v>
      </c>
      <c r="ET13" s="101">
        <f t="shared" si="256"/>
        <v>199067</v>
      </c>
      <c r="EU13" s="101">
        <v>33265</v>
      </c>
      <c r="EV13" s="101">
        <v>17065</v>
      </c>
      <c r="EW13" s="101">
        <f t="shared" ref="EW13" si="257">EU13+EV13</f>
        <v>50330</v>
      </c>
      <c r="EX13" s="413">
        <f t="shared" ref="EX13" si="258">+EU13*100/ER13</f>
        <v>31.626735120745391</v>
      </c>
      <c r="EY13" s="413">
        <f t="shared" ref="EY13" si="259">+EV13*100/ES13</f>
        <v>18.176105318095157</v>
      </c>
      <c r="EZ13" s="413">
        <f t="shared" ref="EZ13" si="260">+EW13*100/ET13</f>
        <v>25.282944938136406</v>
      </c>
      <c r="FA13" s="101">
        <f>+EC13</f>
        <v>14901</v>
      </c>
      <c r="FB13" s="101">
        <f>+ED13</f>
        <v>14938</v>
      </c>
      <c r="FC13" s="101">
        <f>+EE13</f>
        <v>29839</v>
      </c>
      <c r="FD13" s="101">
        <v>5191</v>
      </c>
      <c r="FE13" s="101">
        <v>3930</v>
      </c>
      <c r="FF13" s="101">
        <f t="shared" ref="FF13" si="261">FD13+FE13</f>
        <v>9121</v>
      </c>
      <c r="FG13" s="413">
        <f t="shared" ref="FG13" si="262">+FD13*100/FA13</f>
        <v>34.83658814844641</v>
      </c>
      <c r="FH13" s="413">
        <f t="shared" ref="FH13" si="263">+FE13*100/FB13</f>
        <v>26.308742803588164</v>
      </c>
      <c r="FI13" s="413">
        <f t="shared" ref="FI13" si="264">+FF13*100/FC13</f>
        <v>30.567378263346626</v>
      </c>
    </row>
    <row r="14" spans="1:171" s="381" customFormat="1" ht="28.5">
      <c r="A14" s="393">
        <v>7</v>
      </c>
      <c r="B14" s="456"/>
      <c r="C14" s="221" t="s">
        <v>139</v>
      </c>
      <c r="D14" s="400">
        <v>23882</v>
      </c>
      <c r="E14" s="400">
        <v>44085</v>
      </c>
      <c r="F14" s="400">
        <f>D14+E14</f>
        <v>67967</v>
      </c>
      <c r="G14" s="400">
        <v>20916</v>
      </c>
      <c r="H14" s="400">
        <v>41379</v>
      </c>
      <c r="I14" s="400">
        <f>G14+H14</f>
        <v>62295</v>
      </c>
      <c r="J14" s="399"/>
      <c r="K14" s="399"/>
      <c r="L14" s="399"/>
      <c r="M14" s="396">
        <f t="shared" ref="M14" si="265">G14+J14</f>
        <v>20916</v>
      </c>
      <c r="N14" s="101">
        <f t="shared" ref="N14" si="266">H14+K14</f>
        <v>41379</v>
      </c>
      <c r="O14" s="101">
        <f t="shared" ref="O14" si="267">I14+L14</f>
        <v>62295</v>
      </c>
      <c r="P14" s="397">
        <f t="shared" ref="P14" si="268">M14/D14</f>
        <v>0.87580604639477433</v>
      </c>
      <c r="Q14" s="397">
        <f t="shared" ref="Q14" si="269">N14/E14</f>
        <v>0.93861857774753321</v>
      </c>
      <c r="R14" s="397">
        <f t="shared" ref="R14" si="270">O14/F14</f>
        <v>0.91654773640148901</v>
      </c>
      <c r="S14" s="419">
        <v>1036</v>
      </c>
      <c r="T14" s="419">
        <v>1325</v>
      </c>
      <c r="U14" s="394">
        <f t="shared" ref="U14" si="271">S14+T14</f>
        <v>2361</v>
      </c>
      <c r="V14" s="419">
        <v>906</v>
      </c>
      <c r="W14" s="419">
        <v>1232</v>
      </c>
      <c r="X14" s="394">
        <f t="shared" ref="X14" si="272">V14+W14</f>
        <v>2138</v>
      </c>
      <c r="Y14" s="399"/>
      <c r="Z14" s="399"/>
      <c r="AA14" s="399"/>
      <c r="AB14" s="396">
        <f t="shared" ref="AB14" si="273">V14+Y14</f>
        <v>906</v>
      </c>
      <c r="AC14" s="101">
        <f t="shared" ref="AC14" si="274">W14+Z14</f>
        <v>1232</v>
      </c>
      <c r="AD14" s="101">
        <f t="shared" ref="AD14" si="275">X14+AA14</f>
        <v>2138</v>
      </c>
      <c r="AE14" s="397">
        <f t="shared" ref="AE14" si="276">AB14/S14</f>
        <v>0.87451737451737455</v>
      </c>
      <c r="AF14" s="397">
        <f t="shared" ref="AF14" si="277">AC14/T14</f>
        <v>0.92981132075471695</v>
      </c>
      <c r="AG14" s="397">
        <f t="shared" ref="AG14" si="278">AD14/U14</f>
        <v>0.90554849639983059</v>
      </c>
      <c r="AH14" s="101">
        <f t="shared" si="80"/>
        <v>24918</v>
      </c>
      <c r="AI14" s="101">
        <f t="shared" si="81"/>
        <v>45410</v>
      </c>
      <c r="AJ14" s="101">
        <f t="shared" si="82"/>
        <v>70328</v>
      </c>
      <c r="AK14" s="101">
        <f t="shared" si="83"/>
        <v>21822</v>
      </c>
      <c r="AL14" s="101">
        <f t="shared" si="84"/>
        <v>42611</v>
      </c>
      <c r="AM14" s="101">
        <f t="shared" si="85"/>
        <v>64433</v>
      </c>
      <c r="AN14" s="398"/>
      <c r="AO14" s="398"/>
      <c r="AP14" s="398"/>
      <c r="AQ14" s="101">
        <f t="shared" si="89"/>
        <v>21822</v>
      </c>
      <c r="AR14" s="101">
        <f t="shared" si="90"/>
        <v>42611</v>
      </c>
      <c r="AS14" s="101">
        <f t="shared" si="91"/>
        <v>64433</v>
      </c>
      <c r="AT14" s="397">
        <f t="shared" si="92"/>
        <v>0.87575246809535279</v>
      </c>
      <c r="AU14" s="397">
        <f t="shared" si="93"/>
        <v>0.93836159436247524</v>
      </c>
      <c r="AV14" s="397">
        <f t="shared" si="94"/>
        <v>0.91617847798885221</v>
      </c>
      <c r="AW14" s="394">
        <v>29</v>
      </c>
      <c r="AX14" s="394">
        <v>37</v>
      </c>
      <c r="AY14" s="394">
        <f t="shared" ref="AY14:AY15" si="279">AW14+AX14</f>
        <v>66</v>
      </c>
      <c r="AZ14" s="394">
        <v>24</v>
      </c>
      <c r="BA14" s="394">
        <v>29</v>
      </c>
      <c r="BB14" s="394">
        <f t="shared" ref="BB14:BB15" si="280">AZ14+BA14</f>
        <v>53</v>
      </c>
      <c r="BC14" s="399"/>
      <c r="BD14" s="399"/>
      <c r="BE14" s="399"/>
      <c r="BF14" s="396">
        <f t="shared" ref="BF14:BF15" si="281">AZ14+BC14</f>
        <v>24</v>
      </c>
      <c r="BG14" s="101">
        <f t="shared" ref="BG14:BG15" si="282">BA14+BD14</f>
        <v>29</v>
      </c>
      <c r="BH14" s="101">
        <f t="shared" ref="BH14:BH15" si="283">BB14+BE14</f>
        <v>53</v>
      </c>
      <c r="BI14" s="397">
        <f t="shared" ref="BI14" si="284">BF14/AW14</f>
        <v>0.82758620689655171</v>
      </c>
      <c r="BJ14" s="397">
        <f t="shared" ref="BJ14" si="285">BG14/AX14</f>
        <v>0.78378378378378377</v>
      </c>
      <c r="BK14" s="397">
        <f t="shared" ref="BK14" si="286">BH14/AY14</f>
        <v>0.80303030303030298</v>
      </c>
      <c r="BL14" s="399"/>
      <c r="BM14" s="399"/>
      <c r="BN14" s="399"/>
      <c r="BO14" s="399"/>
      <c r="BP14" s="399"/>
      <c r="BQ14" s="399"/>
      <c r="BR14" s="399"/>
      <c r="BS14" s="399"/>
      <c r="BT14" s="399"/>
      <c r="BU14" s="399"/>
      <c r="BV14" s="399"/>
      <c r="BW14" s="399"/>
      <c r="BX14" s="399"/>
      <c r="BY14" s="399"/>
      <c r="BZ14" s="399"/>
      <c r="CA14" s="101">
        <f t="shared" si="108"/>
        <v>29</v>
      </c>
      <c r="CB14" s="101">
        <f t="shared" si="109"/>
        <v>37</v>
      </c>
      <c r="CC14" s="101">
        <f t="shared" si="110"/>
        <v>66</v>
      </c>
      <c r="CD14" s="101">
        <f t="shared" si="111"/>
        <v>24</v>
      </c>
      <c r="CE14" s="101">
        <f t="shared" si="112"/>
        <v>29</v>
      </c>
      <c r="CF14" s="101">
        <f t="shared" si="113"/>
        <v>53</v>
      </c>
      <c r="CG14" s="399"/>
      <c r="CH14" s="399"/>
      <c r="CI14" s="399"/>
      <c r="CJ14" s="101">
        <f t="shared" si="117"/>
        <v>24</v>
      </c>
      <c r="CK14" s="101">
        <f t="shared" si="118"/>
        <v>29</v>
      </c>
      <c r="CL14" s="101">
        <f t="shared" si="119"/>
        <v>53</v>
      </c>
      <c r="CM14" s="397">
        <f t="shared" si="120"/>
        <v>0.82758620689655171</v>
      </c>
      <c r="CN14" s="397">
        <f t="shared" si="121"/>
        <v>0.78378378378378377</v>
      </c>
      <c r="CO14" s="397">
        <f t="shared" si="122"/>
        <v>0.80303030303030298</v>
      </c>
      <c r="CP14" s="399"/>
      <c r="CQ14" s="399"/>
      <c r="CR14" s="399"/>
      <c r="CS14" s="399"/>
      <c r="CT14" s="399"/>
      <c r="CU14" s="399"/>
      <c r="CV14" s="399"/>
      <c r="CW14" s="399"/>
      <c r="CX14" s="399"/>
      <c r="CY14" s="399"/>
      <c r="CZ14" s="399"/>
      <c r="DA14" s="399"/>
      <c r="DB14" s="399"/>
      <c r="DC14" s="399"/>
      <c r="DD14" s="399"/>
      <c r="DE14" s="399"/>
      <c r="DF14" s="399"/>
      <c r="DG14" s="399"/>
      <c r="DH14" s="399"/>
      <c r="DI14" s="399"/>
      <c r="DJ14" s="399"/>
      <c r="DK14" s="399"/>
      <c r="DL14" s="399"/>
      <c r="DM14" s="399"/>
      <c r="DN14" s="399"/>
      <c r="DO14" s="399"/>
      <c r="DP14" s="399"/>
      <c r="DQ14" s="399"/>
      <c r="DR14" s="399"/>
      <c r="DS14" s="399"/>
      <c r="DT14" s="399"/>
      <c r="DU14" s="399"/>
      <c r="DV14" s="399"/>
      <c r="DW14" s="399"/>
      <c r="DX14" s="399"/>
      <c r="DY14" s="399"/>
      <c r="DZ14" s="399"/>
      <c r="EA14" s="399"/>
      <c r="EB14" s="399"/>
      <c r="EC14" s="399"/>
      <c r="ED14" s="399"/>
      <c r="EE14" s="399"/>
      <c r="EF14" s="399"/>
      <c r="EG14" s="399"/>
      <c r="EH14" s="399"/>
      <c r="EI14" s="101">
        <f t="shared" si="53"/>
        <v>21822</v>
      </c>
      <c r="EJ14" s="101">
        <f t="shared" si="54"/>
        <v>42611</v>
      </c>
      <c r="EK14" s="101">
        <f t="shared" si="55"/>
        <v>64433</v>
      </c>
      <c r="EL14" s="101">
        <v>869</v>
      </c>
      <c r="EM14" s="101">
        <v>1387</v>
      </c>
      <c r="EN14" s="101">
        <f t="shared" ref="EN14:EN15" si="287">EL14+EM14</f>
        <v>2256</v>
      </c>
      <c r="EO14" s="413">
        <f t="shared" ref="EO14:EO15" si="288">+EL14*100/EI14</f>
        <v>3.9822197782054807</v>
      </c>
      <c r="EP14" s="413">
        <f t="shared" ref="EP14:EP15" si="289">+EM14*100/EJ14</f>
        <v>3.2550280444016804</v>
      </c>
      <c r="EQ14" s="413">
        <f t="shared" ref="EQ14:EQ15" si="290">+EN14*100/EK14</f>
        <v>3.5013114397901695</v>
      </c>
      <c r="ER14" s="101">
        <f t="shared" si="256"/>
        <v>24</v>
      </c>
      <c r="ES14" s="101">
        <f t="shared" si="256"/>
        <v>29</v>
      </c>
      <c r="ET14" s="101">
        <f t="shared" si="256"/>
        <v>53</v>
      </c>
      <c r="EU14" s="101">
        <v>1</v>
      </c>
      <c r="EV14" s="415"/>
      <c r="EW14" s="101">
        <f t="shared" ref="EW14:EW15" si="291">EU14+EV14</f>
        <v>1</v>
      </c>
      <c r="EX14" s="413">
        <f t="shared" ref="EX14:EX15" si="292">+EU14*100/ER14</f>
        <v>4.166666666666667</v>
      </c>
      <c r="EY14" s="415"/>
      <c r="EZ14" s="413">
        <f t="shared" ref="EZ14:EZ15" si="293">+EW14*100/ET14</f>
        <v>1.8867924528301887</v>
      </c>
      <c r="FA14" s="414"/>
      <c r="FB14" s="414"/>
      <c r="FC14" s="414"/>
      <c r="FD14" s="415"/>
      <c r="FE14" s="415"/>
      <c r="FF14" s="415"/>
      <c r="FG14" s="416"/>
      <c r="FH14" s="416"/>
      <c r="FI14" s="416"/>
    </row>
    <row r="15" spans="1:171" s="381" customFormat="1" ht="28.5" customHeight="1">
      <c r="A15" s="393">
        <v>8</v>
      </c>
      <c r="B15" s="455"/>
      <c r="C15" s="221" t="s">
        <v>354</v>
      </c>
      <c r="D15" s="395">
        <v>8236</v>
      </c>
      <c r="E15" s="395">
        <v>8859</v>
      </c>
      <c r="F15" s="395">
        <f>D15+E15</f>
        <v>17095</v>
      </c>
      <c r="G15" s="395">
        <v>8122</v>
      </c>
      <c r="H15" s="395">
        <v>8859</v>
      </c>
      <c r="I15" s="395">
        <f>G15+H15</f>
        <v>16981</v>
      </c>
      <c r="J15" s="399"/>
      <c r="K15" s="399"/>
      <c r="L15" s="399"/>
      <c r="M15" s="396">
        <f t="shared" si="165"/>
        <v>8122</v>
      </c>
      <c r="N15" s="101">
        <f t="shared" si="166"/>
        <v>8859</v>
      </c>
      <c r="O15" s="101">
        <f t="shared" si="167"/>
        <v>16981</v>
      </c>
      <c r="P15" s="397">
        <f t="shared" si="168"/>
        <v>0.98615832928606117</v>
      </c>
      <c r="Q15" s="397">
        <f t="shared" si="169"/>
        <v>1</v>
      </c>
      <c r="R15" s="397">
        <f t="shared" si="170"/>
        <v>0.99333138344545191</v>
      </c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101">
        <f t="shared" si="80"/>
        <v>8236</v>
      </c>
      <c r="AI15" s="101">
        <f t="shared" si="81"/>
        <v>8859</v>
      </c>
      <c r="AJ15" s="101">
        <f t="shared" si="82"/>
        <v>17095</v>
      </c>
      <c r="AK15" s="101">
        <f t="shared" si="83"/>
        <v>8122</v>
      </c>
      <c r="AL15" s="101">
        <f t="shared" si="84"/>
        <v>8859</v>
      </c>
      <c r="AM15" s="101">
        <f t="shared" si="85"/>
        <v>16981</v>
      </c>
      <c r="AN15" s="398"/>
      <c r="AO15" s="398"/>
      <c r="AP15" s="398"/>
      <c r="AQ15" s="101">
        <f t="shared" si="89"/>
        <v>8122</v>
      </c>
      <c r="AR15" s="101">
        <f t="shared" si="90"/>
        <v>8859</v>
      </c>
      <c r="AS15" s="101">
        <f t="shared" si="91"/>
        <v>16981</v>
      </c>
      <c r="AT15" s="397">
        <f t="shared" si="92"/>
        <v>0.98615832928606117</v>
      </c>
      <c r="AU15" s="397">
        <f t="shared" si="93"/>
        <v>1</v>
      </c>
      <c r="AV15" s="397">
        <f t="shared" si="94"/>
        <v>0.99333138344545191</v>
      </c>
      <c r="AW15" s="394">
        <v>1851</v>
      </c>
      <c r="AX15" s="394">
        <v>2233</v>
      </c>
      <c r="AY15" s="394">
        <f t="shared" si="279"/>
        <v>4084</v>
      </c>
      <c r="AZ15" s="394">
        <v>1810</v>
      </c>
      <c r="BA15" s="394">
        <v>2190</v>
      </c>
      <c r="BB15" s="394">
        <f t="shared" si="280"/>
        <v>4000</v>
      </c>
      <c r="BC15" s="399"/>
      <c r="BD15" s="399"/>
      <c r="BE15" s="399"/>
      <c r="BF15" s="396">
        <f t="shared" si="281"/>
        <v>1810</v>
      </c>
      <c r="BG15" s="396">
        <f t="shared" si="282"/>
        <v>2190</v>
      </c>
      <c r="BH15" s="396">
        <f t="shared" si="283"/>
        <v>4000</v>
      </c>
      <c r="BI15" s="397">
        <f t="shared" ref="BI15" si="294">BF15/AW15</f>
        <v>0.97784981091302003</v>
      </c>
      <c r="BJ15" s="397">
        <f t="shared" ref="BJ15" si="295">BG15/AX15</f>
        <v>0.98074339453649795</v>
      </c>
      <c r="BK15" s="397">
        <f t="shared" ref="BK15" si="296">BH15/AY15</f>
        <v>0.97943192948090108</v>
      </c>
      <c r="BL15" s="399"/>
      <c r="BM15" s="399"/>
      <c r="BN15" s="399"/>
      <c r="BO15" s="399"/>
      <c r="BP15" s="399"/>
      <c r="BQ15" s="399"/>
      <c r="BR15" s="399"/>
      <c r="BS15" s="399"/>
      <c r="BT15" s="399"/>
      <c r="BU15" s="399"/>
      <c r="BV15" s="399"/>
      <c r="BW15" s="399"/>
      <c r="BX15" s="399"/>
      <c r="BY15" s="399"/>
      <c r="BZ15" s="399"/>
      <c r="CA15" s="101">
        <f t="shared" si="108"/>
        <v>1851</v>
      </c>
      <c r="CB15" s="101">
        <f t="shared" si="109"/>
        <v>2233</v>
      </c>
      <c r="CC15" s="101">
        <f t="shared" si="110"/>
        <v>4084</v>
      </c>
      <c r="CD15" s="101">
        <f t="shared" si="111"/>
        <v>1810</v>
      </c>
      <c r="CE15" s="101">
        <f t="shared" si="112"/>
        <v>2190</v>
      </c>
      <c r="CF15" s="101">
        <f t="shared" si="113"/>
        <v>4000</v>
      </c>
      <c r="CG15" s="399"/>
      <c r="CH15" s="399"/>
      <c r="CI15" s="399"/>
      <c r="CJ15" s="101">
        <f t="shared" si="117"/>
        <v>1810</v>
      </c>
      <c r="CK15" s="101">
        <f t="shared" si="118"/>
        <v>2190</v>
      </c>
      <c r="CL15" s="101">
        <f t="shared" si="119"/>
        <v>4000</v>
      </c>
      <c r="CM15" s="397">
        <f t="shared" ref="CM15" si="297">CJ15/CA15</f>
        <v>0.97784981091302003</v>
      </c>
      <c r="CN15" s="397">
        <f t="shared" ref="CN15" si="298">CK15/CB15</f>
        <v>0.98074339453649795</v>
      </c>
      <c r="CO15" s="397">
        <f t="shared" ref="CO15" si="299">CL15/CC15</f>
        <v>0.97943192948090108</v>
      </c>
      <c r="CP15" s="394">
        <v>219</v>
      </c>
      <c r="CQ15" s="394">
        <v>263</v>
      </c>
      <c r="CR15" s="394">
        <f t="shared" si="189"/>
        <v>482</v>
      </c>
      <c r="CS15" s="394">
        <v>214</v>
      </c>
      <c r="CT15" s="394">
        <v>259</v>
      </c>
      <c r="CU15" s="394">
        <f t="shared" ref="CU15:CU16" si="300">CS15+CT15</f>
        <v>473</v>
      </c>
      <c r="CV15" s="399"/>
      <c r="CW15" s="399"/>
      <c r="CX15" s="399"/>
      <c r="CY15" s="396">
        <f t="shared" ref="CY15" si="301">CS15+CV15</f>
        <v>214</v>
      </c>
      <c r="CZ15" s="101">
        <f t="shared" ref="CZ15" si="302">CT15+CW15</f>
        <v>259</v>
      </c>
      <c r="DA15" s="101">
        <f t="shared" ref="DA15" si="303">CU15+CX15</f>
        <v>473</v>
      </c>
      <c r="DB15" s="397">
        <f t="shared" ref="DB15" si="304">CY15/CP15</f>
        <v>0.97716894977168944</v>
      </c>
      <c r="DC15" s="397">
        <f t="shared" ref="DC15" si="305">CZ15/CQ15</f>
        <v>0.98479087452471481</v>
      </c>
      <c r="DD15" s="397">
        <f t="shared" ref="DD15" si="306">DA15/CR15</f>
        <v>0.98132780082987547</v>
      </c>
      <c r="DE15" s="399"/>
      <c r="DF15" s="399"/>
      <c r="DG15" s="399"/>
      <c r="DH15" s="399"/>
      <c r="DI15" s="399"/>
      <c r="DJ15" s="399"/>
      <c r="DK15" s="399"/>
      <c r="DL15" s="399"/>
      <c r="DM15" s="399"/>
      <c r="DN15" s="399"/>
      <c r="DO15" s="399"/>
      <c r="DP15" s="399"/>
      <c r="DQ15" s="399"/>
      <c r="DR15" s="399"/>
      <c r="DS15" s="399"/>
      <c r="DT15" s="101">
        <f t="shared" ref="DT15" si="307">CP15+DE15</f>
        <v>219</v>
      </c>
      <c r="DU15" s="101">
        <f t="shared" ref="DU15" si="308">CQ15+DF15</f>
        <v>263</v>
      </c>
      <c r="DV15" s="101">
        <f t="shared" ref="DV15" si="309">CR15+DG15</f>
        <v>482</v>
      </c>
      <c r="DW15" s="101">
        <f t="shared" ref="DW15" si="310">CS15+DH15</f>
        <v>214</v>
      </c>
      <c r="DX15" s="101">
        <f t="shared" ref="DX15" si="311">CT15+DI15</f>
        <v>259</v>
      </c>
      <c r="DY15" s="101">
        <f t="shared" ref="DY15" si="312">CU15+DJ15</f>
        <v>473</v>
      </c>
      <c r="DZ15" s="399"/>
      <c r="EA15" s="399"/>
      <c r="EB15" s="399"/>
      <c r="EC15" s="101">
        <f t="shared" ref="EC15" si="313">CY15+DN15</f>
        <v>214</v>
      </c>
      <c r="ED15" s="101">
        <f t="shared" ref="ED15" si="314">CZ15+DO15</f>
        <v>259</v>
      </c>
      <c r="EE15" s="101">
        <f t="shared" ref="EE15" si="315">DA15+DP15</f>
        <v>473</v>
      </c>
      <c r="EF15" s="397">
        <f t="shared" ref="EF15" si="316">EC15/DT15</f>
        <v>0.97716894977168944</v>
      </c>
      <c r="EG15" s="397">
        <f t="shared" ref="EG15" si="317">ED15/DU15</f>
        <v>0.98479087452471481</v>
      </c>
      <c r="EH15" s="397">
        <f t="shared" ref="EH15" si="318">EE15/DV15</f>
        <v>0.98132780082987547</v>
      </c>
      <c r="EI15" s="101">
        <f t="shared" si="53"/>
        <v>8122</v>
      </c>
      <c r="EJ15" s="101">
        <f t="shared" si="54"/>
        <v>8859</v>
      </c>
      <c r="EK15" s="101">
        <f t="shared" si="55"/>
        <v>16981</v>
      </c>
      <c r="EL15" s="101">
        <v>945</v>
      </c>
      <c r="EM15" s="101">
        <v>931</v>
      </c>
      <c r="EN15" s="101">
        <f t="shared" si="287"/>
        <v>1876</v>
      </c>
      <c r="EO15" s="413">
        <f t="shared" si="288"/>
        <v>11.635065254863335</v>
      </c>
      <c r="EP15" s="413">
        <f t="shared" si="289"/>
        <v>10.509086804379727</v>
      </c>
      <c r="EQ15" s="413">
        <f t="shared" si="290"/>
        <v>11.047641481655969</v>
      </c>
      <c r="ER15" s="101">
        <f t="shared" si="256"/>
        <v>1810</v>
      </c>
      <c r="ES15" s="101">
        <f t="shared" si="256"/>
        <v>2190</v>
      </c>
      <c r="ET15" s="101">
        <f t="shared" si="256"/>
        <v>4000</v>
      </c>
      <c r="EU15" s="101">
        <v>198</v>
      </c>
      <c r="EV15" s="101">
        <v>218</v>
      </c>
      <c r="EW15" s="101">
        <f t="shared" si="291"/>
        <v>416</v>
      </c>
      <c r="EX15" s="413">
        <f t="shared" si="292"/>
        <v>10.939226519337016</v>
      </c>
      <c r="EY15" s="413">
        <f t="shared" ref="EY15" si="319">+EV15*100/ES15</f>
        <v>9.9543378995433791</v>
      </c>
      <c r="EZ15" s="413">
        <f t="shared" si="293"/>
        <v>10.4</v>
      </c>
      <c r="FA15" s="101">
        <f t="shared" ref="FA15:FC16" si="320">+EC15</f>
        <v>214</v>
      </c>
      <c r="FB15" s="101">
        <f t="shared" si="320"/>
        <v>259</v>
      </c>
      <c r="FC15" s="101">
        <f t="shared" si="320"/>
        <v>473</v>
      </c>
      <c r="FD15" s="101">
        <v>28</v>
      </c>
      <c r="FE15" s="101">
        <v>23</v>
      </c>
      <c r="FF15" s="101">
        <f>FD15+FE15</f>
        <v>51</v>
      </c>
      <c r="FG15" s="413">
        <f t="shared" ref="FG15" si="321">+FD15*100/FA15</f>
        <v>13.084112149532711</v>
      </c>
      <c r="FH15" s="413">
        <f t="shared" ref="FH15" si="322">+FE15*100/FB15</f>
        <v>8.8803088803088794</v>
      </c>
      <c r="FI15" s="413">
        <f>+FF15*100/FC15</f>
        <v>10.782241014799155</v>
      </c>
      <c r="FJ15" s="380"/>
    </row>
    <row r="16" spans="1:171" ht="28.5">
      <c r="A16" s="393">
        <v>9</v>
      </c>
      <c r="B16" s="454" t="s">
        <v>375</v>
      </c>
      <c r="C16" s="221" t="s">
        <v>145</v>
      </c>
      <c r="D16" s="400">
        <v>172762</v>
      </c>
      <c r="E16" s="400">
        <v>203100</v>
      </c>
      <c r="F16" s="400">
        <f>D16+E16</f>
        <v>375862</v>
      </c>
      <c r="G16" s="400">
        <v>123095</v>
      </c>
      <c r="H16" s="400">
        <v>155695</v>
      </c>
      <c r="I16" s="400">
        <f>G16+H16</f>
        <v>278790</v>
      </c>
      <c r="J16" s="399"/>
      <c r="K16" s="399"/>
      <c r="L16" s="399"/>
      <c r="M16" s="396">
        <f t="shared" ref="M16" si="323">G16+J16</f>
        <v>123095</v>
      </c>
      <c r="N16" s="101">
        <f t="shared" ref="N16" si="324">H16+K16</f>
        <v>155695</v>
      </c>
      <c r="O16" s="101">
        <f t="shared" ref="O16" si="325">I16+L16</f>
        <v>278790</v>
      </c>
      <c r="P16" s="397">
        <f t="shared" ref="P16" si="326">M16/D16</f>
        <v>0.71251201074310322</v>
      </c>
      <c r="Q16" s="397">
        <f t="shared" ref="Q16" si="327">N16/E16</f>
        <v>0.76659281142294433</v>
      </c>
      <c r="R16" s="397">
        <f t="shared" ref="R16" si="328">O16/F16</f>
        <v>0.74173499848348601</v>
      </c>
      <c r="S16" s="419">
        <v>5221</v>
      </c>
      <c r="T16" s="419">
        <v>3522</v>
      </c>
      <c r="U16" s="394">
        <f t="shared" ref="U16" si="329">S16+T16</f>
        <v>8743</v>
      </c>
      <c r="V16" s="419">
        <v>2470</v>
      </c>
      <c r="W16" s="419">
        <v>1969</v>
      </c>
      <c r="X16" s="394">
        <f t="shared" ref="X16" si="330">V16+W16</f>
        <v>4439</v>
      </c>
      <c r="Y16" s="399"/>
      <c r="Z16" s="399"/>
      <c r="AA16" s="399"/>
      <c r="AB16" s="396">
        <f t="shared" ref="AB16" si="331">V16+Y16</f>
        <v>2470</v>
      </c>
      <c r="AC16" s="101">
        <f t="shared" ref="AC16" si="332">W16+Z16</f>
        <v>1969</v>
      </c>
      <c r="AD16" s="101">
        <f t="shared" ref="AD16" si="333">X16+AA16</f>
        <v>4439</v>
      </c>
      <c r="AE16" s="397">
        <f t="shared" si="174"/>
        <v>0.47308944646619422</v>
      </c>
      <c r="AF16" s="397">
        <f t="shared" si="175"/>
        <v>0.55905735377626353</v>
      </c>
      <c r="AG16" s="397">
        <f t="shared" si="176"/>
        <v>0.50772046208395283</v>
      </c>
      <c r="AH16" s="101">
        <f t="shared" si="80"/>
        <v>177983</v>
      </c>
      <c r="AI16" s="101">
        <f t="shared" si="81"/>
        <v>206622</v>
      </c>
      <c r="AJ16" s="101">
        <f t="shared" si="82"/>
        <v>384605</v>
      </c>
      <c r="AK16" s="101">
        <f t="shared" si="83"/>
        <v>125565</v>
      </c>
      <c r="AL16" s="101">
        <f t="shared" si="84"/>
        <v>157664</v>
      </c>
      <c r="AM16" s="101">
        <f t="shared" si="85"/>
        <v>283229</v>
      </c>
      <c r="AN16" s="398"/>
      <c r="AO16" s="398"/>
      <c r="AP16" s="398"/>
      <c r="AQ16" s="101">
        <f t="shared" si="89"/>
        <v>125565</v>
      </c>
      <c r="AR16" s="101">
        <f t="shared" si="90"/>
        <v>157664</v>
      </c>
      <c r="AS16" s="101">
        <f t="shared" si="91"/>
        <v>283229</v>
      </c>
      <c r="AT16" s="397">
        <f t="shared" si="92"/>
        <v>0.7054887264514027</v>
      </c>
      <c r="AU16" s="397">
        <f t="shared" si="93"/>
        <v>0.76305524097143573</v>
      </c>
      <c r="AV16" s="397">
        <f t="shared" si="94"/>
        <v>0.73641528321264671</v>
      </c>
      <c r="AW16" s="394">
        <v>25624</v>
      </c>
      <c r="AX16" s="394">
        <v>29979</v>
      </c>
      <c r="AY16" s="394">
        <f t="shared" ref="AY16" si="334">AW16+AX16</f>
        <v>55603</v>
      </c>
      <c r="AZ16" s="394">
        <v>17019</v>
      </c>
      <c r="BA16" s="394">
        <v>21320</v>
      </c>
      <c r="BB16" s="394">
        <f t="shared" ref="BB16" si="335">AZ16+BA16</f>
        <v>38339</v>
      </c>
      <c r="BC16" s="399"/>
      <c r="BD16" s="399"/>
      <c r="BE16" s="399"/>
      <c r="BF16" s="396">
        <f t="shared" ref="BF16" si="336">AZ16+BC16</f>
        <v>17019</v>
      </c>
      <c r="BG16" s="101">
        <f t="shared" ref="BG16" si="337">BA16+BD16</f>
        <v>21320</v>
      </c>
      <c r="BH16" s="101">
        <f t="shared" ref="BH16" si="338">BB16+BE16</f>
        <v>38339</v>
      </c>
      <c r="BI16" s="397">
        <f t="shared" ref="BI16" si="339">BF16/AW16</f>
        <v>0.66418201685919454</v>
      </c>
      <c r="BJ16" s="397">
        <f t="shared" ref="BJ16" si="340">BG16/AX16</f>
        <v>0.71116448180392944</v>
      </c>
      <c r="BK16" s="397">
        <f t="shared" ref="BK16" si="341">BH16/AY16</f>
        <v>0.68951315576497674</v>
      </c>
      <c r="BL16" s="394">
        <v>827</v>
      </c>
      <c r="BM16" s="394">
        <v>558</v>
      </c>
      <c r="BN16" s="394">
        <f t="shared" ref="BN16" si="342">BL16+BM16</f>
        <v>1385</v>
      </c>
      <c r="BO16" s="394">
        <v>393</v>
      </c>
      <c r="BP16" s="394">
        <v>296</v>
      </c>
      <c r="BQ16" s="394">
        <f t="shared" ref="BQ16" si="343">BO16+BP16</f>
        <v>689</v>
      </c>
      <c r="BR16" s="399"/>
      <c r="BS16" s="399"/>
      <c r="BT16" s="399"/>
      <c r="BU16" s="396">
        <f t="shared" ref="BU16" si="344">BO16+BR16</f>
        <v>393</v>
      </c>
      <c r="BV16" s="101">
        <f t="shared" ref="BV16" si="345">BP16+BS16</f>
        <v>296</v>
      </c>
      <c r="BW16" s="101">
        <f t="shared" ref="BW16" si="346">BQ16+BT16</f>
        <v>689</v>
      </c>
      <c r="BX16" s="397">
        <f t="shared" ref="BX16" si="347">BU16/BL16</f>
        <v>0.47521160822249092</v>
      </c>
      <c r="BY16" s="397">
        <f t="shared" ref="BY16" si="348">BV16/BM16</f>
        <v>0.53046594982078854</v>
      </c>
      <c r="BZ16" s="397">
        <f t="shared" ref="BZ16" si="349">BW16/BN16</f>
        <v>0.49747292418772565</v>
      </c>
      <c r="CA16" s="101">
        <f t="shared" si="108"/>
        <v>26451</v>
      </c>
      <c r="CB16" s="101">
        <f t="shared" si="109"/>
        <v>30537</v>
      </c>
      <c r="CC16" s="101">
        <f t="shared" si="110"/>
        <v>56988</v>
      </c>
      <c r="CD16" s="101">
        <f t="shared" si="111"/>
        <v>17412</v>
      </c>
      <c r="CE16" s="101">
        <f t="shared" si="112"/>
        <v>21616</v>
      </c>
      <c r="CF16" s="101">
        <f t="shared" si="113"/>
        <v>39028</v>
      </c>
      <c r="CG16" s="399"/>
      <c r="CH16" s="399"/>
      <c r="CI16" s="399"/>
      <c r="CJ16" s="101">
        <f t="shared" si="117"/>
        <v>17412</v>
      </c>
      <c r="CK16" s="101">
        <f t="shared" si="118"/>
        <v>21616</v>
      </c>
      <c r="CL16" s="101">
        <f t="shared" si="119"/>
        <v>39028</v>
      </c>
      <c r="CM16" s="397">
        <f t="shared" si="120"/>
        <v>0.65827378927072699</v>
      </c>
      <c r="CN16" s="397">
        <f t="shared" si="121"/>
        <v>0.70786259292006415</v>
      </c>
      <c r="CO16" s="397">
        <f t="shared" si="122"/>
        <v>0.68484593247701275</v>
      </c>
      <c r="CP16" s="394">
        <v>48095</v>
      </c>
      <c r="CQ16" s="394">
        <v>58778</v>
      </c>
      <c r="CR16" s="394">
        <f t="shared" ref="CR16" si="350">CP16+CQ16</f>
        <v>106873</v>
      </c>
      <c r="CS16" s="394">
        <v>35353</v>
      </c>
      <c r="CT16" s="394">
        <v>45419</v>
      </c>
      <c r="CU16" s="394">
        <f t="shared" si="300"/>
        <v>80772</v>
      </c>
      <c r="CV16" s="399"/>
      <c r="CW16" s="399"/>
      <c r="CX16" s="399"/>
      <c r="CY16" s="396">
        <f t="shared" ref="CY16" si="351">CS16+CV16</f>
        <v>35353</v>
      </c>
      <c r="CZ16" s="101">
        <f t="shared" ref="CZ16" si="352">CT16+CW16</f>
        <v>45419</v>
      </c>
      <c r="DA16" s="101">
        <f t="shared" ref="DA16" si="353">CU16+CX16</f>
        <v>80772</v>
      </c>
      <c r="DB16" s="397">
        <f t="shared" ref="DB16" si="354">CY16/CP16</f>
        <v>0.73506601517829295</v>
      </c>
      <c r="DC16" s="397">
        <f t="shared" ref="DC16" si="355">CZ16/CQ16</f>
        <v>0.77272108612065737</v>
      </c>
      <c r="DD16" s="397">
        <f t="shared" ref="DD16" si="356">DA16/CR16</f>
        <v>0.75577554667689684</v>
      </c>
      <c r="DE16" s="394">
        <v>1249</v>
      </c>
      <c r="DF16" s="394">
        <v>956</v>
      </c>
      <c r="DG16" s="394">
        <f t="shared" ref="DG16" si="357">DE16+DF16</f>
        <v>2205</v>
      </c>
      <c r="DH16" s="394">
        <v>660</v>
      </c>
      <c r="DI16" s="394">
        <v>555</v>
      </c>
      <c r="DJ16" s="394">
        <f t="shared" ref="DJ16" si="358">DH16+DI16</f>
        <v>1215</v>
      </c>
      <c r="DK16" s="399"/>
      <c r="DL16" s="399"/>
      <c r="DM16" s="399"/>
      <c r="DN16" s="396">
        <f t="shared" ref="DN16" si="359">DH16+DK16</f>
        <v>660</v>
      </c>
      <c r="DO16" s="101">
        <f t="shared" ref="DO16" si="360">DI16+DL16</f>
        <v>555</v>
      </c>
      <c r="DP16" s="101">
        <f t="shared" ref="DP16" si="361">DJ16+DM16</f>
        <v>1215</v>
      </c>
      <c r="DQ16" s="397">
        <f t="shared" ref="DQ16" si="362">DN16/DE16</f>
        <v>0.52842273819055241</v>
      </c>
      <c r="DR16" s="397">
        <f t="shared" ref="DR16" si="363">DO16/DF16</f>
        <v>0.58054393305439334</v>
      </c>
      <c r="DS16" s="397">
        <f t="shared" ref="DS16" si="364">DP16/DG16</f>
        <v>0.55102040816326525</v>
      </c>
      <c r="DT16" s="101">
        <f t="shared" ref="DT16" si="365">CP16+DE16</f>
        <v>49344</v>
      </c>
      <c r="DU16" s="101">
        <f t="shared" ref="DU16" si="366">CQ16+DF16</f>
        <v>59734</v>
      </c>
      <c r="DV16" s="101">
        <f t="shared" ref="DV16" si="367">CR16+DG16</f>
        <v>109078</v>
      </c>
      <c r="DW16" s="101">
        <f t="shared" ref="DW16" si="368">CS16+DH16</f>
        <v>36013</v>
      </c>
      <c r="DX16" s="101">
        <f t="shared" ref="DX16" si="369">CT16+DI16</f>
        <v>45974</v>
      </c>
      <c r="DY16" s="101">
        <f t="shared" ref="DY16" si="370">CU16+DJ16</f>
        <v>81987</v>
      </c>
      <c r="DZ16" s="399"/>
      <c r="EA16" s="399"/>
      <c r="EB16" s="399"/>
      <c r="EC16" s="101">
        <f t="shared" ref="EC16" si="371">CY16+DN16</f>
        <v>36013</v>
      </c>
      <c r="ED16" s="101">
        <f t="shared" ref="ED16" si="372">CZ16+DO16</f>
        <v>45974</v>
      </c>
      <c r="EE16" s="101">
        <f t="shared" ref="EE16" si="373">DA16+DP16</f>
        <v>81987</v>
      </c>
      <c r="EF16" s="397">
        <f t="shared" ref="EF16" si="374">EC16/DT16</f>
        <v>0.72983544098573283</v>
      </c>
      <c r="EG16" s="397">
        <f t="shared" ref="EG16" si="375">ED16/DU16</f>
        <v>0.76964542806441893</v>
      </c>
      <c r="EH16" s="397">
        <f t="shared" ref="EH16" si="376">EE16/DV16</f>
        <v>0.75163644364583138</v>
      </c>
      <c r="EI16" s="101">
        <f t="shared" si="53"/>
        <v>125565</v>
      </c>
      <c r="EJ16" s="101">
        <f t="shared" si="54"/>
        <v>157664</v>
      </c>
      <c r="EK16" s="101">
        <f t="shared" si="55"/>
        <v>283229</v>
      </c>
      <c r="EL16" s="101">
        <v>51628</v>
      </c>
      <c r="EM16" s="101">
        <v>75021</v>
      </c>
      <c r="EN16" s="101">
        <f t="shared" ref="EN16" si="377">EL16+EM16</f>
        <v>126649</v>
      </c>
      <c r="EO16" s="413">
        <f t="shared" ref="EO16" si="378">+EL16*100/EI16</f>
        <v>41.116553179628085</v>
      </c>
      <c r="EP16" s="413">
        <f t="shared" ref="EP16" si="379">+EM16*100/EJ16</f>
        <v>47.582834381976859</v>
      </c>
      <c r="EQ16" s="413">
        <f t="shared" ref="EQ16" si="380">+EN16*100/EK16</f>
        <v>44.716113109886344</v>
      </c>
      <c r="ER16" s="101">
        <f t="shared" si="256"/>
        <v>17412</v>
      </c>
      <c r="ES16" s="101">
        <f t="shared" si="256"/>
        <v>21616</v>
      </c>
      <c r="ET16" s="101">
        <f t="shared" si="256"/>
        <v>39028</v>
      </c>
      <c r="EU16" s="101">
        <v>6817</v>
      </c>
      <c r="EV16" s="101">
        <v>9795</v>
      </c>
      <c r="EW16" s="101">
        <f t="shared" ref="EW16" si="381">EU16+EV16</f>
        <v>16612</v>
      </c>
      <c r="EX16" s="413">
        <f t="shared" ref="EX16" si="382">+EU16*100/ER16</f>
        <v>39.151160119457842</v>
      </c>
      <c r="EY16" s="413">
        <f t="shared" ref="EY16" si="383">+EV16*100/ES16</f>
        <v>45.313656550703186</v>
      </c>
      <c r="EZ16" s="413">
        <f t="shared" ref="EZ16" si="384">+EW16*100/ET16</f>
        <v>42.564312801065903</v>
      </c>
      <c r="FA16" s="101">
        <f t="shared" si="320"/>
        <v>36013</v>
      </c>
      <c r="FB16" s="101">
        <f t="shared" si="320"/>
        <v>45974</v>
      </c>
      <c r="FC16" s="101">
        <f t="shared" si="320"/>
        <v>81987</v>
      </c>
      <c r="FD16" s="101">
        <v>13185</v>
      </c>
      <c r="FE16" s="101">
        <v>18982</v>
      </c>
      <c r="FF16" s="101">
        <f>FD16+FE16</f>
        <v>32167</v>
      </c>
      <c r="FG16" s="413">
        <f t="shared" ref="FG16" si="385">+FD16*100/FA16</f>
        <v>36.611779079776746</v>
      </c>
      <c r="FH16" s="413">
        <f t="shared" ref="FH16" si="386">+FE16*100/FB16</f>
        <v>41.288554400313224</v>
      </c>
      <c r="FI16" s="413">
        <f>+FF16*100/FC16</f>
        <v>39.234268847500211</v>
      </c>
    </row>
    <row r="17" spans="1:171" s="381" customFormat="1" ht="28.5">
      <c r="A17" s="393">
        <v>10</v>
      </c>
      <c r="B17" s="456"/>
      <c r="C17" s="221" t="s">
        <v>348</v>
      </c>
      <c r="D17" s="394">
        <v>90</v>
      </c>
      <c r="E17" s="394">
        <v>37</v>
      </c>
      <c r="F17" s="394">
        <f t="shared" ref="F17" si="387">D17+E17</f>
        <v>127</v>
      </c>
      <c r="G17" s="394">
        <v>81</v>
      </c>
      <c r="H17" s="394">
        <v>35</v>
      </c>
      <c r="I17" s="394">
        <f t="shared" ref="I17" si="388">G17+H17</f>
        <v>116</v>
      </c>
      <c r="J17" s="399"/>
      <c r="K17" s="399"/>
      <c r="L17" s="399"/>
      <c r="M17" s="396">
        <f>G17+J17</f>
        <v>81</v>
      </c>
      <c r="N17" s="101">
        <f t="shared" si="166"/>
        <v>35</v>
      </c>
      <c r="O17" s="101">
        <f t="shared" si="167"/>
        <v>116</v>
      </c>
      <c r="P17" s="397">
        <f t="shared" si="168"/>
        <v>0.9</v>
      </c>
      <c r="Q17" s="397">
        <f t="shared" si="169"/>
        <v>0.94594594594594594</v>
      </c>
      <c r="R17" s="397">
        <f t="shared" si="170"/>
        <v>0.91338582677165359</v>
      </c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101">
        <f t="shared" si="80"/>
        <v>90</v>
      </c>
      <c r="AI17" s="101">
        <f t="shared" si="81"/>
        <v>37</v>
      </c>
      <c r="AJ17" s="101">
        <f t="shared" si="82"/>
        <v>127</v>
      </c>
      <c r="AK17" s="101">
        <f t="shared" si="83"/>
        <v>81</v>
      </c>
      <c r="AL17" s="101">
        <f t="shared" si="84"/>
        <v>35</v>
      </c>
      <c r="AM17" s="101">
        <f t="shared" si="85"/>
        <v>116</v>
      </c>
      <c r="AN17" s="398"/>
      <c r="AO17" s="398"/>
      <c r="AP17" s="398"/>
      <c r="AQ17" s="101">
        <f t="shared" si="89"/>
        <v>81</v>
      </c>
      <c r="AR17" s="101">
        <f t="shared" si="90"/>
        <v>35</v>
      </c>
      <c r="AS17" s="101">
        <f t="shared" si="91"/>
        <v>116</v>
      </c>
      <c r="AT17" s="397">
        <f t="shared" si="92"/>
        <v>0.9</v>
      </c>
      <c r="AU17" s="397">
        <f t="shared" si="93"/>
        <v>0.94594594594594594</v>
      </c>
      <c r="AV17" s="397">
        <f t="shared" si="94"/>
        <v>0.91338582677165359</v>
      </c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  <c r="BP17" s="399"/>
      <c r="BQ17" s="399"/>
      <c r="BR17" s="399"/>
      <c r="BS17" s="399"/>
      <c r="BT17" s="399"/>
      <c r="BU17" s="399"/>
      <c r="BV17" s="399"/>
      <c r="BW17" s="399"/>
      <c r="BX17" s="399"/>
      <c r="BY17" s="399"/>
      <c r="BZ17" s="399"/>
      <c r="CA17" s="399"/>
      <c r="CB17" s="399"/>
      <c r="CC17" s="399"/>
      <c r="CD17" s="399"/>
      <c r="CE17" s="399"/>
      <c r="CF17" s="399"/>
      <c r="CG17" s="399"/>
      <c r="CH17" s="399"/>
      <c r="CI17" s="399"/>
      <c r="CJ17" s="399"/>
      <c r="CK17" s="399"/>
      <c r="CL17" s="399"/>
      <c r="CM17" s="399"/>
      <c r="CN17" s="399"/>
      <c r="CO17" s="399"/>
      <c r="CP17" s="399"/>
      <c r="CQ17" s="399"/>
      <c r="CR17" s="399"/>
      <c r="CS17" s="399"/>
      <c r="CT17" s="399"/>
      <c r="CU17" s="399"/>
      <c r="CV17" s="399"/>
      <c r="CW17" s="399"/>
      <c r="CX17" s="399"/>
      <c r="CY17" s="399"/>
      <c r="CZ17" s="399"/>
      <c r="DA17" s="399"/>
      <c r="DB17" s="399"/>
      <c r="DC17" s="399"/>
      <c r="DD17" s="399"/>
      <c r="DE17" s="399"/>
      <c r="DF17" s="399"/>
      <c r="DG17" s="399"/>
      <c r="DH17" s="399"/>
      <c r="DI17" s="399"/>
      <c r="DJ17" s="399"/>
      <c r="DK17" s="399"/>
      <c r="DL17" s="399"/>
      <c r="DM17" s="399"/>
      <c r="DN17" s="399"/>
      <c r="DO17" s="399"/>
      <c r="DP17" s="399"/>
      <c r="DQ17" s="399"/>
      <c r="DR17" s="399"/>
      <c r="DS17" s="399"/>
      <c r="DT17" s="415"/>
      <c r="DU17" s="415"/>
      <c r="DV17" s="399"/>
      <c r="DW17" s="415"/>
      <c r="DX17" s="415"/>
      <c r="DY17" s="399"/>
      <c r="DZ17" s="415"/>
      <c r="EA17" s="415"/>
      <c r="EB17" s="415"/>
      <c r="EC17" s="415"/>
      <c r="ED17" s="415"/>
      <c r="EE17" s="415"/>
      <c r="EF17" s="415"/>
      <c r="EG17" s="415"/>
      <c r="EH17" s="399"/>
      <c r="EI17" s="101">
        <f t="shared" si="53"/>
        <v>81</v>
      </c>
      <c r="EJ17" s="101">
        <f t="shared" si="54"/>
        <v>35</v>
      </c>
      <c r="EK17" s="101">
        <f t="shared" si="55"/>
        <v>116</v>
      </c>
      <c r="EL17" s="415"/>
      <c r="EM17" s="415"/>
      <c r="EN17" s="415"/>
      <c r="EO17" s="415"/>
      <c r="EP17" s="416"/>
      <c r="EQ17" s="416"/>
      <c r="ER17" s="415"/>
      <c r="ES17" s="415"/>
      <c r="ET17" s="415"/>
      <c r="EU17" s="415"/>
      <c r="EV17" s="415"/>
      <c r="EW17" s="415"/>
      <c r="EX17" s="416"/>
      <c r="EY17" s="416"/>
      <c r="EZ17" s="416"/>
      <c r="FA17" s="414"/>
      <c r="FB17" s="414"/>
      <c r="FC17" s="414"/>
      <c r="FD17" s="415"/>
      <c r="FE17" s="415"/>
      <c r="FF17" s="415"/>
      <c r="FG17" s="416"/>
      <c r="FH17" s="416"/>
      <c r="FI17" s="416"/>
      <c r="FJ17" s="380"/>
    </row>
    <row r="18" spans="1:171" s="380" customFormat="1" ht="28.5">
      <c r="A18" s="393">
        <v>11</v>
      </c>
      <c r="B18" s="455"/>
      <c r="C18" s="221" t="s">
        <v>349</v>
      </c>
      <c r="D18" s="400">
        <v>539</v>
      </c>
      <c r="E18" s="400">
        <v>342</v>
      </c>
      <c r="F18" s="394">
        <f t="shared" ref="F18" si="389">D18+E18</f>
        <v>881</v>
      </c>
      <c r="G18" s="400">
        <v>521</v>
      </c>
      <c r="H18" s="400">
        <v>338</v>
      </c>
      <c r="I18" s="394">
        <f t="shared" ref="I18" si="390">G18+H18</f>
        <v>859</v>
      </c>
      <c r="J18" s="400">
        <v>6</v>
      </c>
      <c r="K18" s="400">
        <v>4</v>
      </c>
      <c r="L18" s="394">
        <f t="shared" ref="L18" si="391">J18+K18</f>
        <v>10</v>
      </c>
      <c r="M18" s="396">
        <f t="shared" si="165"/>
        <v>527</v>
      </c>
      <c r="N18" s="101">
        <f t="shared" si="166"/>
        <v>342</v>
      </c>
      <c r="O18" s="101">
        <f t="shared" si="167"/>
        <v>869</v>
      </c>
      <c r="P18" s="397">
        <f t="shared" si="168"/>
        <v>0.97773654916512054</v>
      </c>
      <c r="Q18" s="397">
        <f t="shared" si="169"/>
        <v>1</v>
      </c>
      <c r="R18" s="397">
        <f t="shared" si="170"/>
        <v>0.98637911464245176</v>
      </c>
      <c r="S18" s="394">
        <v>6</v>
      </c>
      <c r="T18" s="394">
        <v>4</v>
      </c>
      <c r="U18" s="394">
        <f t="shared" si="4"/>
        <v>10</v>
      </c>
      <c r="V18" s="394">
        <v>6</v>
      </c>
      <c r="W18" s="394">
        <v>4</v>
      </c>
      <c r="X18" s="394">
        <f t="shared" si="5"/>
        <v>10</v>
      </c>
      <c r="Y18" s="399"/>
      <c r="Z18" s="399"/>
      <c r="AA18" s="399"/>
      <c r="AB18" s="396">
        <f t="shared" si="171"/>
        <v>6</v>
      </c>
      <c r="AC18" s="101">
        <f t="shared" si="172"/>
        <v>4</v>
      </c>
      <c r="AD18" s="101">
        <f t="shared" si="173"/>
        <v>10</v>
      </c>
      <c r="AE18" s="397">
        <f t="shared" si="174"/>
        <v>1</v>
      </c>
      <c r="AF18" s="397">
        <f t="shared" si="175"/>
        <v>1</v>
      </c>
      <c r="AG18" s="397">
        <f t="shared" si="176"/>
        <v>1</v>
      </c>
      <c r="AH18" s="101">
        <f t="shared" si="80"/>
        <v>545</v>
      </c>
      <c r="AI18" s="101">
        <f t="shared" si="81"/>
        <v>346</v>
      </c>
      <c r="AJ18" s="101">
        <f t="shared" si="82"/>
        <v>891</v>
      </c>
      <c r="AK18" s="101">
        <f t="shared" si="83"/>
        <v>527</v>
      </c>
      <c r="AL18" s="101">
        <f t="shared" si="84"/>
        <v>342</v>
      </c>
      <c r="AM18" s="101">
        <f t="shared" si="85"/>
        <v>869</v>
      </c>
      <c r="AN18" s="101">
        <f t="shared" si="86"/>
        <v>6</v>
      </c>
      <c r="AO18" s="101">
        <f t="shared" si="87"/>
        <v>4</v>
      </c>
      <c r="AP18" s="101">
        <f t="shared" si="88"/>
        <v>10</v>
      </c>
      <c r="AQ18" s="101">
        <f t="shared" si="89"/>
        <v>533</v>
      </c>
      <c r="AR18" s="101">
        <f t="shared" si="90"/>
        <v>346</v>
      </c>
      <c r="AS18" s="101">
        <f t="shared" si="91"/>
        <v>879</v>
      </c>
      <c r="AT18" s="397">
        <f t="shared" si="92"/>
        <v>0.97798165137614679</v>
      </c>
      <c r="AU18" s="397">
        <f t="shared" si="93"/>
        <v>1</v>
      </c>
      <c r="AV18" s="397">
        <f t="shared" si="94"/>
        <v>0.98653198653198648</v>
      </c>
      <c r="AW18" s="394">
        <v>78</v>
      </c>
      <c r="AX18" s="394">
        <v>55</v>
      </c>
      <c r="AY18" s="394">
        <f t="shared" si="15"/>
        <v>133</v>
      </c>
      <c r="AZ18" s="394">
        <v>72</v>
      </c>
      <c r="BA18" s="394">
        <v>53</v>
      </c>
      <c r="BB18" s="394">
        <f t="shared" si="16"/>
        <v>125</v>
      </c>
      <c r="BC18" s="399"/>
      <c r="BD18" s="399"/>
      <c r="BE18" s="399"/>
      <c r="BF18" s="396">
        <f t="shared" si="177"/>
        <v>72</v>
      </c>
      <c r="BG18" s="101">
        <f t="shared" si="178"/>
        <v>53</v>
      </c>
      <c r="BH18" s="101">
        <f t="shared" si="179"/>
        <v>125</v>
      </c>
      <c r="BI18" s="397">
        <f t="shared" si="180"/>
        <v>0.92307692307692313</v>
      </c>
      <c r="BJ18" s="397">
        <f t="shared" si="181"/>
        <v>0.96363636363636362</v>
      </c>
      <c r="BK18" s="397">
        <f t="shared" si="182"/>
        <v>0.93984962406015038</v>
      </c>
      <c r="BL18" s="395">
        <v>1</v>
      </c>
      <c r="BM18" s="399"/>
      <c r="BN18" s="394">
        <f t="shared" si="24"/>
        <v>1</v>
      </c>
      <c r="BO18" s="395">
        <v>1</v>
      </c>
      <c r="BP18" s="399"/>
      <c r="BQ18" s="394">
        <f t="shared" si="25"/>
        <v>1</v>
      </c>
      <c r="BR18" s="399"/>
      <c r="BS18" s="399"/>
      <c r="BT18" s="399"/>
      <c r="BU18" s="396">
        <f t="shared" si="183"/>
        <v>1</v>
      </c>
      <c r="BV18" s="399"/>
      <c r="BW18" s="101">
        <f t="shared" si="185"/>
        <v>1</v>
      </c>
      <c r="BX18" s="397">
        <f t="shared" si="186"/>
        <v>1</v>
      </c>
      <c r="BY18" s="399"/>
      <c r="BZ18" s="397">
        <f t="shared" si="188"/>
        <v>1</v>
      </c>
      <c r="CA18" s="101">
        <f t="shared" si="108"/>
        <v>79</v>
      </c>
      <c r="CB18" s="101">
        <f t="shared" si="109"/>
        <v>55</v>
      </c>
      <c r="CC18" s="101">
        <f t="shared" si="110"/>
        <v>134</v>
      </c>
      <c r="CD18" s="101">
        <f t="shared" si="111"/>
        <v>73</v>
      </c>
      <c r="CE18" s="101">
        <f t="shared" si="112"/>
        <v>53</v>
      </c>
      <c r="CF18" s="101">
        <f t="shared" si="113"/>
        <v>126</v>
      </c>
      <c r="CG18" s="399"/>
      <c r="CH18" s="399"/>
      <c r="CI18" s="399"/>
      <c r="CJ18" s="101">
        <f t="shared" si="117"/>
        <v>73</v>
      </c>
      <c r="CK18" s="101">
        <f t="shared" si="118"/>
        <v>53</v>
      </c>
      <c r="CL18" s="101">
        <f t="shared" si="119"/>
        <v>126</v>
      </c>
      <c r="CM18" s="397">
        <f t="shared" si="120"/>
        <v>0.92405063291139244</v>
      </c>
      <c r="CN18" s="397">
        <f t="shared" si="121"/>
        <v>0.96363636363636362</v>
      </c>
      <c r="CO18" s="397">
        <f t="shared" si="122"/>
        <v>0.94029850746268662</v>
      </c>
      <c r="CP18" s="394">
        <v>182</v>
      </c>
      <c r="CQ18" s="394">
        <v>135</v>
      </c>
      <c r="CR18" s="394">
        <f t="shared" si="189"/>
        <v>317</v>
      </c>
      <c r="CS18" s="394">
        <v>177</v>
      </c>
      <c r="CT18" s="394">
        <v>116</v>
      </c>
      <c r="CU18" s="394">
        <f t="shared" si="35"/>
        <v>293</v>
      </c>
      <c r="CV18" s="394">
        <v>2</v>
      </c>
      <c r="CW18" s="394">
        <v>2</v>
      </c>
      <c r="CX18" s="394">
        <f t="shared" ref="CX18:CX35" si="392">CV18+CW18</f>
        <v>4</v>
      </c>
      <c r="CY18" s="396">
        <f t="shared" si="190"/>
        <v>179</v>
      </c>
      <c r="CZ18" s="101">
        <f t="shared" si="191"/>
        <v>118</v>
      </c>
      <c r="DA18" s="101">
        <f t="shared" si="192"/>
        <v>297</v>
      </c>
      <c r="DB18" s="397">
        <f t="shared" si="193"/>
        <v>0.98351648351648346</v>
      </c>
      <c r="DC18" s="397">
        <f t="shared" si="194"/>
        <v>0.87407407407407411</v>
      </c>
      <c r="DD18" s="397">
        <f t="shared" si="195"/>
        <v>0.93690851735015768</v>
      </c>
      <c r="DE18" s="394">
        <v>2</v>
      </c>
      <c r="DF18" s="394">
        <v>2</v>
      </c>
      <c r="DG18" s="394">
        <f t="shared" si="43"/>
        <v>4</v>
      </c>
      <c r="DH18" s="394">
        <v>2</v>
      </c>
      <c r="DI18" s="394">
        <v>2</v>
      </c>
      <c r="DJ18" s="394">
        <f t="shared" si="44"/>
        <v>4</v>
      </c>
      <c r="DK18" s="399"/>
      <c r="DL18" s="399"/>
      <c r="DM18" s="399"/>
      <c r="DN18" s="396">
        <f t="shared" ref="DN18:DN19" si="393">DH18+DK18</f>
        <v>2</v>
      </c>
      <c r="DO18" s="101">
        <f t="shared" ref="DO18:DO19" si="394">DI18+DL18</f>
        <v>2</v>
      </c>
      <c r="DP18" s="101">
        <f t="shared" si="198"/>
        <v>4</v>
      </c>
      <c r="DQ18" s="397">
        <f t="shared" si="199"/>
        <v>1</v>
      </c>
      <c r="DR18" s="397">
        <f t="shared" si="200"/>
        <v>1</v>
      </c>
      <c r="DS18" s="397">
        <f t="shared" si="201"/>
        <v>1</v>
      </c>
      <c r="DT18" s="101">
        <f t="shared" ref="DT18:DT19" si="395">CP18+DE18</f>
        <v>184</v>
      </c>
      <c r="DU18" s="101">
        <f t="shared" ref="DU18:DU19" si="396">CQ18+DF18</f>
        <v>137</v>
      </c>
      <c r="DV18" s="101">
        <f t="shared" si="51"/>
        <v>321</v>
      </c>
      <c r="DW18" s="101">
        <f t="shared" ref="DW18:DW19" si="397">CS18+DH18</f>
        <v>179</v>
      </c>
      <c r="DX18" s="101">
        <f t="shared" ref="DX18:DX19" si="398">CT18+DI18</f>
        <v>118</v>
      </c>
      <c r="DY18" s="101">
        <f t="shared" si="51"/>
        <v>297</v>
      </c>
      <c r="DZ18" s="101">
        <f t="shared" ref="DZ18:DZ19" si="399">CV18+DK18</f>
        <v>2</v>
      </c>
      <c r="EA18" s="101">
        <f t="shared" ref="EA18:EA19" si="400">CW18+DL18</f>
        <v>2</v>
      </c>
      <c r="EB18" s="101">
        <f t="shared" si="51"/>
        <v>4</v>
      </c>
      <c r="EC18" s="101">
        <f t="shared" ref="EC18:EC19" si="401">CY18+DN18</f>
        <v>181</v>
      </c>
      <c r="ED18" s="101">
        <f t="shared" ref="ED18:ED19" si="402">CZ18+DO18</f>
        <v>120</v>
      </c>
      <c r="EE18" s="101">
        <f t="shared" ref="EE18:EE48" si="403">DA18+DP18</f>
        <v>301</v>
      </c>
      <c r="EF18" s="397">
        <f t="shared" ref="EF18:EF48" si="404">EC18/DT18</f>
        <v>0.98369565217391308</v>
      </c>
      <c r="EG18" s="397">
        <f t="shared" ref="EG18:EG48" si="405">ED18/DU18</f>
        <v>0.87591240875912413</v>
      </c>
      <c r="EH18" s="397">
        <f t="shared" ref="EH18:EH48" si="406">EE18/DV18</f>
        <v>0.93769470404984423</v>
      </c>
      <c r="EI18" s="101">
        <f t="shared" si="53"/>
        <v>533</v>
      </c>
      <c r="EJ18" s="101">
        <f t="shared" si="54"/>
        <v>346</v>
      </c>
      <c r="EK18" s="101">
        <f t="shared" si="55"/>
        <v>879</v>
      </c>
      <c r="EL18" s="101">
        <v>247</v>
      </c>
      <c r="EM18" s="101">
        <v>217</v>
      </c>
      <c r="EN18" s="101">
        <f t="shared" ref="EN18:EN19" si="407">EL18+EM18</f>
        <v>464</v>
      </c>
      <c r="EO18" s="413">
        <f t="shared" ref="EO18:EO19" si="408">+EL18*100/EI18</f>
        <v>46.341463414634148</v>
      </c>
      <c r="EP18" s="413">
        <f t="shared" ref="EP18:EP19" si="409">+EM18*100/EJ18</f>
        <v>62.716763005780344</v>
      </c>
      <c r="EQ18" s="413">
        <f t="shared" ref="EQ18:EQ19" si="410">+EN18*100/EK18</f>
        <v>52.787258248009103</v>
      </c>
      <c r="ER18" s="101">
        <f t="shared" ref="ER18:ET22" si="411">+CJ18</f>
        <v>73</v>
      </c>
      <c r="ES18" s="101">
        <f t="shared" si="411"/>
        <v>53</v>
      </c>
      <c r="ET18" s="101">
        <f t="shared" si="411"/>
        <v>126</v>
      </c>
      <c r="EU18" s="101">
        <v>42</v>
      </c>
      <c r="EV18" s="101">
        <v>31</v>
      </c>
      <c r="EW18" s="101">
        <f t="shared" ref="EW18:EW19" si="412">EU18+EV18</f>
        <v>73</v>
      </c>
      <c r="EX18" s="413">
        <f t="shared" ref="EX18:EX19" si="413">+EU18*100/ER18</f>
        <v>57.534246575342465</v>
      </c>
      <c r="EY18" s="413">
        <f t="shared" ref="EY18:EY19" si="414">+EV18*100/ES18</f>
        <v>58.490566037735846</v>
      </c>
      <c r="EZ18" s="413">
        <f t="shared" ref="EZ18:EZ19" si="415">+EW18*100/ET18</f>
        <v>57.936507936507937</v>
      </c>
      <c r="FA18" s="101">
        <f t="shared" ref="FA18:FC20" si="416">+EC18</f>
        <v>181</v>
      </c>
      <c r="FB18" s="101">
        <f t="shared" si="416"/>
        <v>120</v>
      </c>
      <c r="FC18" s="101">
        <f t="shared" si="416"/>
        <v>301</v>
      </c>
      <c r="FD18" s="101">
        <v>96</v>
      </c>
      <c r="FE18" s="101">
        <v>83</v>
      </c>
      <c r="FF18" s="101">
        <f t="shared" ref="FF18:FF19" si="417">FD18+FE18</f>
        <v>179</v>
      </c>
      <c r="FG18" s="413">
        <f t="shared" ref="FG18:FG19" si="418">+FD18*100/FA18</f>
        <v>53.038674033149171</v>
      </c>
      <c r="FH18" s="413">
        <f t="shared" ref="FH18:FH19" si="419">+FE18*100/FB18</f>
        <v>69.166666666666671</v>
      </c>
      <c r="FI18" s="413">
        <f t="shared" ref="FI18:FI19" si="420">+FF18*100/FC18</f>
        <v>59.46843853820598</v>
      </c>
      <c r="FJ18"/>
    </row>
    <row r="19" spans="1:171" ht="28.5">
      <c r="A19" s="393">
        <v>12</v>
      </c>
      <c r="B19" s="220" t="s">
        <v>376</v>
      </c>
      <c r="C19" s="221" t="s">
        <v>148</v>
      </c>
      <c r="D19" s="400">
        <v>9317</v>
      </c>
      <c r="E19" s="400">
        <v>9628</v>
      </c>
      <c r="F19" s="400">
        <f t="shared" ref="F19:F25" si="421">D19+E19</f>
        <v>18945</v>
      </c>
      <c r="G19" s="400">
        <v>8589</v>
      </c>
      <c r="H19" s="400">
        <v>8981</v>
      </c>
      <c r="I19" s="400">
        <f t="shared" ref="I19:I25" si="422">G19+H19</f>
        <v>17570</v>
      </c>
      <c r="J19" s="400">
        <v>298</v>
      </c>
      <c r="K19" s="400">
        <v>272</v>
      </c>
      <c r="L19" s="394">
        <f>J19+K19</f>
        <v>570</v>
      </c>
      <c r="M19" s="396">
        <f t="shared" ref="M19" si="423">G19+J19</f>
        <v>8887</v>
      </c>
      <c r="N19" s="101">
        <f t="shared" ref="N19" si="424">H19+K19</f>
        <v>9253</v>
      </c>
      <c r="O19" s="101">
        <f t="shared" ref="O19" si="425">I19+L19</f>
        <v>18140</v>
      </c>
      <c r="P19" s="397">
        <f t="shared" ref="P19" si="426">M19/D19</f>
        <v>0.95384780508747447</v>
      </c>
      <c r="Q19" s="397">
        <f t="shared" ref="Q19" si="427">N19/E19</f>
        <v>0.96105110095554636</v>
      </c>
      <c r="R19" s="397">
        <f t="shared" ref="R19" si="428">O19/F19</f>
        <v>0.95750857746107154</v>
      </c>
      <c r="S19" s="419">
        <v>469</v>
      </c>
      <c r="T19" s="419">
        <v>268</v>
      </c>
      <c r="U19" s="394">
        <f t="shared" ref="U19" si="429">S19+T19</f>
        <v>737</v>
      </c>
      <c r="V19" s="419">
        <v>193</v>
      </c>
      <c r="W19" s="419">
        <v>152</v>
      </c>
      <c r="X19" s="394">
        <f t="shared" ref="X19" si="430">V19+W19</f>
        <v>345</v>
      </c>
      <c r="Y19" s="419">
        <v>20</v>
      </c>
      <c r="Z19" s="419">
        <v>13</v>
      </c>
      <c r="AA19" s="394">
        <f t="shared" ref="AA19" si="431">Y19+Z19</f>
        <v>33</v>
      </c>
      <c r="AB19" s="396">
        <f t="shared" ref="AB19" si="432">V19+Y19</f>
        <v>213</v>
      </c>
      <c r="AC19" s="101">
        <f t="shared" ref="AC19" si="433">W19+Z19</f>
        <v>165</v>
      </c>
      <c r="AD19" s="101">
        <f t="shared" ref="AD19" si="434">X19+AA19</f>
        <v>378</v>
      </c>
      <c r="AE19" s="397">
        <f t="shared" ref="AE19" si="435">AB19/S19</f>
        <v>0.45415778251599148</v>
      </c>
      <c r="AF19" s="397">
        <f t="shared" ref="AF19" si="436">AC19/T19</f>
        <v>0.61567164179104472</v>
      </c>
      <c r="AG19" s="397">
        <f t="shared" ref="AG19" si="437">AD19/U19</f>
        <v>0.51289009497964722</v>
      </c>
      <c r="AH19" s="101">
        <f t="shared" si="80"/>
        <v>9786</v>
      </c>
      <c r="AI19" s="101">
        <f t="shared" si="81"/>
        <v>9896</v>
      </c>
      <c r="AJ19" s="101">
        <f t="shared" si="82"/>
        <v>19682</v>
      </c>
      <c r="AK19" s="101">
        <f t="shared" si="83"/>
        <v>8782</v>
      </c>
      <c r="AL19" s="101">
        <f t="shared" si="84"/>
        <v>9133</v>
      </c>
      <c r="AM19" s="101">
        <f t="shared" si="85"/>
        <v>17915</v>
      </c>
      <c r="AN19" s="101">
        <f t="shared" si="86"/>
        <v>318</v>
      </c>
      <c r="AO19" s="101">
        <f t="shared" si="87"/>
        <v>285</v>
      </c>
      <c r="AP19" s="101">
        <f t="shared" si="88"/>
        <v>603</v>
      </c>
      <c r="AQ19" s="101">
        <f t="shared" si="89"/>
        <v>9100</v>
      </c>
      <c r="AR19" s="101">
        <f t="shared" si="90"/>
        <v>9418</v>
      </c>
      <c r="AS19" s="101">
        <f t="shared" si="91"/>
        <v>18518</v>
      </c>
      <c r="AT19" s="397">
        <f t="shared" si="92"/>
        <v>0.92989985693848354</v>
      </c>
      <c r="AU19" s="397">
        <f t="shared" si="93"/>
        <v>0.95169765561843167</v>
      </c>
      <c r="AV19" s="397">
        <f t="shared" si="94"/>
        <v>0.94085966873285232</v>
      </c>
      <c r="AW19" s="394">
        <v>115</v>
      </c>
      <c r="AX19" s="394">
        <v>139</v>
      </c>
      <c r="AY19" s="394">
        <f t="shared" ref="AY19" si="438">AW19+AX19</f>
        <v>254</v>
      </c>
      <c r="AZ19" s="394">
        <v>103</v>
      </c>
      <c r="BA19" s="394">
        <v>130</v>
      </c>
      <c r="BB19" s="394">
        <f t="shared" ref="BB19" si="439">AZ19+BA19</f>
        <v>233</v>
      </c>
      <c r="BC19" s="394">
        <v>6</v>
      </c>
      <c r="BD19" s="394">
        <v>4</v>
      </c>
      <c r="BE19" s="394">
        <f t="shared" ref="BE19:BE20" si="440">BC19+BD19</f>
        <v>10</v>
      </c>
      <c r="BF19" s="396">
        <f t="shared" ref="BF19" si="441">AZ19+BC19</f>
        <v>109</v>
      </c>
      <c r="BG19" s="101">
        <f t="shared" ref="BG19" si="442">BA19+BD19</f>
        <v>134</v>
      </c>
      <c r="BH19" s="101">
        <f t="shared" ref="BH19" si="443">BB19+BE19</f>
        <v>243</v>
      </c>
      <c r="BI19" s="397">
        <f t="shared" ref="BI19" si="444">BF19/AW19</f>
        <v>0.94782608695652171</v>
      </c>
      <c r="BJ19" s="397">
        <f t="shared" ref="BJ19" si="445">BG19/AX19</f>
        <v>0.96402877697841727</v>
      </c>
      <c r="BK19" s="397">
        <f t="shared" ref="BK19" si="446">BH19/AY19</f>
        <v>0.95669291338582674</v>
      </c>
      <c r="BL19" s="394">
        <v>10</v>
      </c>
      <c r="BM19" s="394">
        <v>7</v>
      </c>
      <c r="BN19" s="394">
        <f t="shared" ref="BN19" si="447">BL19+BM19</f>
        <v>17</v>
      </c>
      <c r="BO19" s="394">
        <v>4</v>
      </c>
      <c r="BP19" s="394">
        <v>4</v>
      </c>
      <c r="BQ19" s="394">
        <f t="shared" ref="BQ19" si="448">BO19+BP19</f>
        <v>8</v>
      </c>
      <c r="BR19" s="399"/>
      <c r="BS19" s="394">
        <v>1</v>
      </c>
      <c r="BT19" s="394">
        <f t="shared" ref="BT19" si="449">BR19+BS19</f>
        <v>1</v>
      </c>
      <c r="BU19" s="396">
        <f t="shared" ref="BU19" si="450">BO19+BR19</f>
        <v>4</v>
      </c>
      <c r="BV19" s="101">
        <f t="shared" ref="BV19" si="451">BP19+BS19</f>
        <v>5</v>
      </c>
      <c r="BW19" s="101">
        <f t="shared" ref="BW19" si="452">BQ19+BT19</f>
        <v>9</v>
      </c>
      <c r="BX19" s="397">
        <f t="shared" ref="BX19" si="453">BU19/BL19</f>
        <v>0.4</v>
      </c>
      <c r="BY19" s="397">
        <f t="shared" ref="BY19" si="454">BV19/BM19</f>
        <v>0.7142857142857143</v>
      </c>
      <c r="BZ19" s="397">
        <f t="shared" ref="BZ19" si="455">BW19/BN19</f>
        <v>0.52941176470588236</v>
      </c>
      <c r="CA19" s="101">
        <f t="shared" si="108"/>
        <v>125</v>
      </c>
      <c r="CB19" s="101">
        <f t="shared" si="109"/>
        <v>146</v>
      </c>
      <c r="CC19" s="101">
        <f t="shared" si="110"/>
        <v>271</v>
      </c>
      <c r="CD19" s="101">
        <f t="shared" si="111"/>
        <v>107</v>
      </c>
      <c r="CE19" s="101">
        <f t="shared" si="112"/>
        <v>134</v>
      </c>
      <c r="CF19" s="101">
        <f t="shared" si="113"/>
        <v>241</v>
      </c>
      <c r="CG19" s="101">
        <f t="shared" si="114"/>
        <v>6</v>
      </c>
      <c r="CH19" s="101">
        <f t="shared" si="115"/>
        <v>5</v>
      </c>
      <c r="CI19" s="101">
        <f t="shared" si="116"/>
        <v>11</v>
      </c>
      <c r="CJ19" s="101">
        <f t="shared" si="117"/>
        <v>113</v>
      </c>
      <c r="CK19" s="101">
        <f t="shared" si="118"/>
        <v>139</v>
      </c>
      <c r="CL19" s="101">
        <f t="shared" si="119"/>
        <v>252</v>
      </c>
      <c r="CM19" s="397">
        <f t="shared" si="120"/>
        <v>0.90400000000000003</v>
      </c>
      <c r="CN19" s="397">
        <f t="shared" si="121"/>
        <v>0.95205479452054798</v>
      </c>
      <c r="CO19" s="397">
        <f t="shared" si="122"/>
        <v>0.92988929889298888</v>
      </c>
      <c r="CP19" s="394">
        <v>985</v>
      </c>
      <c r="CQ19" s="394">
        <v>1091</v>
      </c>
      <c r="CR19" s="394">
        <f t="shared" ref="CR19" si="456">CP19+CQ19</f>
        <v>2076</v>
      </c>
      <c r="CS19" s="394">
        <v>909</v>
      </c>
      <c r="CT19" s="394">
        <v>1035</v>
      </c>
      <c r="CU19" s="394">
        <f t="shared" ref="CU19" si="457">CS19+CT19</f>
        <v>1944</v>
      </c>
      <c r="CV19" s="394">
        <v>28</v>
      </c>
      <c r="CW19" s="394">
        <v>27</v>
      </c>
      <c r="CX19" s="394">
        <f t="shared" ref="CX19" si="458">CV19+CW19</f>
        <v>55</v>
      </c>
      <c r="CY19" s="396">
        <f t="shared" ref="CY19" si="459">CS19+CV19</f>
        <v>937</v>
      </c>
      <c r="CZ19" s="101">
        <f t="shared" ref="CZ19" si="460">CT19+CW19</f>
        <v>1062</v>
      </c>
      <c r="DA19" s="101">
        <f t="shared" ref="DA19" si="461">CU19+CX19</f>
        <v>1999</v>
      </c>
      <c r="DB19" s="397">
        <f t="shared" ref="DB19" si="462">CY19/CP19</f>
        <v>0.95126903553299491</v>
      </c>
      <c r="DC19" s="397">
        <f t="shared" ref="DC19" si="463">CZ19/CQ19</f>
        <v>0.97341888175985336</v>
      </c>
      <c r="DD19" s="397">
        <f t="shared" ref="DD19" si="464">DA19/CR19</f>
        <v>0.96290944123314071</v>
      </c>
      <c r="DE19" s="394">
        <v>60</v>
      </c>
      <c r="DF19" s="394">
        <v>37</v>
      </c>
      <c r="DG19" s="394">
        <f t="shared" ref="DG19" si="465">DE19+DF19</f>
        <v>97</v>
      </c>
      <c r="DH19" s="394">
        <v>26</v>
      </c>
      <c r="DI19" s="394">
        <v>23</v>
      </c>
      <c r="DJ19" s="394">
        <f t="shared" ref="DJ19" si="466">DH19+DI19</f>
        <v>49</v>
      </c>
      <c r="DK19" s="394">
        <v>2</v>
      </c>
      <c r="DL19" s="394">
        <v>3</v>
      </c>
      <c r="DM19" s="394">
        <f t="shared" ref="DM19" si="467">DK19+DL19</f>
        <v>5</v>
      </c>
      <c r="DN19" s="396">
        <f t="shared" si="393"/>
        <v>28</v>
      </c>
      <c r="DO19" s="101">
        <f t="shared" si="394"/>
        <v>26</v>
      </c>
      <c r="DP19" s="101">
        <f t="shared" ref="DP19" si="468">DJ19+DM19</f>
        <v>54</v>
      </c>
      <c r="DQ19" s="397">
        <f t="shared" ref="DQ19" si="469">DN19/DE19</f>
        <v>0.46666666666666667</v>
      </c>
      <c r="DR19" s="397">
        <f t="shared" ref="DR19" si="470">DO19/DF19</f>
        <v>0.70270270270270274</v>
      </c>
      <c r="DS19" s="397">
        <f t="shared" ref="DS19" si="471">DP19/DG19</f>
        <v>0.55670103092783507</v>
      </c>
      <c r="DT19" s="101">
        <f t="shared" si="395"/>
        <v>1045</v>
      </c>
      <c r="DU19" s="101">
        <f t="shared" si="396"/>
        <v>1128</v>
      </c>
      <c r="DV19" s="101">
        <f t="shared" ref="DV19" si="472">CR19+DG19</f>
        <v>2173</v>
      </c>
      <c r="DW19" s="101">
        <f t="shared" si="397"/>
        <v>935</v>
      </c>
      <c r="DX19" s="101">
        <f t="shared" si="398"/>
        <v>1058</v>
      </c>
      <c r="DY19" s="101">
        <f t="shared" ref="DY19" si="473">CU19+DJ19</f>
        <v>1993</v>
      </c>
      <c r="DZ19" s="101">
        <f t="shared" si="399"/>
        <v>30</v>
      </c>
      <c r="EA19" s="101">
        <f t="shared" si="400"/>
        <v>30</v>
      </c>
      <c r="EB19" s="101">
        <f t="shared" ref="EB19" si="474">CX19+DM19</f>
        <v>60</v>
      </c>
      <c r="EC19" s="101">
        <f t="shared" si="401"/>
        <v>965</v>
      </c>
      <c r="ED19" s="101">
        <f t="shared" si="402"/>
        <v>1088</v>
      </c>
      <c r="EE19" s="101">
        <f t="shared" ref="EE19" si="475">DA19+DP19</f>
        <v>2053</v>
      </c>
      <c r="EF19" s="397">
        <f t="shared" ref="EF19" si="476">EC19/DT19</f>
        <v>0.92344497607655507</v>
      </c>
      <c r="EG19" s="397">
        <f t="shared" ref="EG19" si="477">ED19/DU19</f>
        <v>0.96453900709219853</v>
      </c>
      <c r="EH19" s="397">
        <f t="shared" ref="EH19" si="478">EE19/DV19</f>
        <v>0.94477680625862859</v>
      </c>
      <c r="EI19" s="101">
        <f t="shared" si="53"/>
        <v>9100</v>
      </c>
      <c r="EJ19" s="101">
        <f t="shared" si="54"/>
        <v>9418</v>
      </c>
      <c r="EK19" s="101">
        <f t="shared" si="55"/>
        <v>18518</v>
      </c>
      <c r="EL19" s="101">
        <v>4368</v>
      </c>
      <c r="EM19" s="101">
        <v>5729</v>
      </c>
      <c r="EN19" s="101">
        <f t="shared" si="407"/>
        <v>10097</v>
      </c>
      <c r="EO19" s="413">
        <f t="shared" si="408"/>
        <v>48</v>
      </c>
      <c r="EP19" s="413">
        <f t="shared" si="409"/>
        <v>60.83032490974729</v>
      </c>
      <c r="EQ19" s="413">
        <f t="shared" si="410"/>
        <v>54.525326709147855</v>
      </c>
      <c r="ER19" s="101">
        <f t="shared" si="411"/>
        <v>113</v>
      </c>
      <c r="ES19" s="101">
        <f t="shared" si="411"/>
        <v>139</v>
      </c>
      <c r="ET19" s="101">
        <f t="shared" si="411"/>
        <v>252</v>
      </c>
      <c r="EU19" s="101">
        <v>39</v>
      </c>
      <c r="EV19" s="101">
        <v>65</v>
      </c>
      <c r="EW19" s="101">
        <f t="shared" si="412"/>
        <v>104</v>
      </c>
      <c r="EX19" s="413">
        <f t="shared" si="413"/>
        <v>34.513274336283189</v>
      </c>
      <c r="EY19" s="413">
        <f t="shared" si="414"/>
        <v>46.762589928057551</v>
      </c>
      <c r="EZ19" s="413">
        <f t="shared" si="415"/>
        <v>41.269841269841272</v>
      </c>
      <c r="FA19" s="101">
        <f t="shared" si="416"/>
        <v>965</v>
      </c>
      <c r="FB19" s="101">
        <f t="shared" si="416"/>
        <v>1088</v>
      </c>
      <c r="FC19" s="101">
        <f t="shared" si="416"/>
        <v>2053</v>
      </c>
      <c r="FD19" s="101">
        <v>400</v>
      </c>
      <c r="FE19" s="101">
        <v>620</v>
      </c>
      <c r="FF19" s="101">
        <f t="shared" si="417"/>
        <v>1020</v>
      </c>
      <c r="FG19" s="413">
        <f t="shared" si="418"/>
        <v>41.450777202072537</v>
      </c>
      <c r="FH19" s="413">
        <f t="shared" si="419"/>
        <v>56.985294117647058</v>
      </c>
      <c r="FI19" s="413">
        <f t="shared" si="420"/>
        <v>49.68339016074038</v>
      </c>
    </row>
    <row r="20" spans="1:171" s="380" customFormat="1" ht="28.5">
      <c r="A20" s="393">
        <v>13</v>
      </c>
      <c r="B20" s="220" t="s">
        <v>377</v>
      </c>
      <c r="C20" s="221" t="s">
        <v>149</v>
      </c>
      <c r="D20" s="400">
        <v>447197</v>
      </c>
      <c r="E20" s="400">
        <v>340146</v>
      </c>
      <c r="F20" s="400">
        <f t="shared" si="421"/>
        <v>787343</v>
      </c>
      <c r="G20" s="400">
        <v>252853</v>
      </c>
      <c r="H20" s="400">
        <v>224657</v>
      </c>
      <c r="I20" s="400">
        <f t="shared" si="422"/>
        <v>477510</v>
      </c>
      <c r="J20" s="400">
        <v>2603</v>
      </c>
      <c r="K20" s="400">
        <v>2195</v>
      </c>
      <c r="L20" s="394">
        <f>J20+K20</f>
        <v>4798</v>
      </c>
      <c r="M20" s="396">
        <f t="shared" si="165"/>
        <v>255456</v>
      </c>
      <c r="N20" s="101">
        <f t="shared" si="166"/>
        <v>226852</v>
      </c>
      <c r="O20" s="101">
        <f t="shared" si="167"/>
        <v>482308</v>
      </c>
      <c r="P20" s="397">
        <f t="shared" si="168"/>
        <v>0.57123817914699782</v>
      </c>
      <c r="Q20" s="397">
        <f t="shared" si="169"/>
        <v>0.66692537910191507</v>
      </c>
      <c r="R20" s="397">
        <f t="shared" si="170"/>
        <v>0.61257672958291365</v>
      </c>
      <c r="S20" s="419">
        <v>7128</v>
      </c>
      <c r="T20" s="419">
        <v>3934</v>
      </c>
      <c r="U20" s="394">
        <f t="shared" si="4"/>
        <v>11062</v>
      </c>
      <c r="V20" s="419">
        <v>326</v>
      </c>
      <c r="W20" s="419">
        <v>316</v>
      </c>
      <c r="X20" s="394">
        <f t="shared" si="5"/>
        <v>642</v>
      </c>
      <c r="Y20" s="419">
        <v>61</v>
      </c>
      <c r="Z20" s="419">
        <v>55</v>
      </c>
      <c r="AA20" s="394">
        <f t="shared" si="6"/>
        <v>116</v>
      </c>
      <c r="AB20" s="396">
        <f t="shared" si="171"/>
        <v>387</v>
      </c>
      <c r="AC20" s="101">
        <f t="shared" si="172"/>
        <v>371</v>
      </c>
      <c r="AD20" s="101">
        <f t="shared" si="173"/>
        <v>758</v>
      </c>
      <c r="AE20" s="397">
        <f t="shared" si="174"/>
        <v>5.4292929292929296E-2</v>
      </c>
      <c r="AF20" s="397">
        <f t="shared" si="175"/>
        <v>9.4306049822064059E-2</v>
      </c>
      <c r="AG20" s="397">
        <f t="shared" si="176"/>
        <v>6.8522871090218762E-2</v>
      </c>
      <c r="AH20" s="101">
        <f t="shared" si="80"/>
        <v>454325</v>
      </c>
      <c r="AI20" s="101">
        <f t="shared" si="81"/>
        <v>344080</v>
      </c>
      <c r="AJ20" s="101">
        <f t="shared" si="82"/>
        <v>798405</v>
      </c>
      <c r="AK20" s="101">
        <f t="shared" si="83"/>
        <v>253179</v>
      </c>
      <c r="AL20" s="101">
        <f t="shared" si="84"/>
        <v>224973</v>
      </c>
      <c r="AM20" s="101">
        <f t="shared" si="85"/>
        <v>478152</v>
      </c>
      <c r="AN20" s="101">
        <f t="shared" si="86"/>
        <v>2664</v>
      </c>
      <c r="AO20" s="101">
        <f t="shared" si="87"/>
        <v>2250</v>
      </c>
      <c r="AP20" s="101">
        <f t="shared" si="88"/>
        <v>4914</v>
      </c>
      <c r="AQ20" s="101">
        <f t="shared" si="89"/>
        <v>255843</v>
      </c>
      <c r="AR20" s="101">
        <f t="shared" si="90"/>
        <v>227223</v>
      </c>
      <c r="AS20" s="101">
        <f t="shared" si="91"/>
        <v>483066</v>
      </c>
      <c r="AT20" s="397">
        <f t="shared" si="92"/>
        <v>0.56312771694271724</v>
      </c>
      <c r="AU20" s="397">
        <f t="shared" si="93"/>
        <v>0.66037840037200646</v>
      </c>
      <c r="AV20" s="397">
        <f t="shared" si="94"/>
        <v>0.60503879609972377</v>
      </c>
      <c r="AW20" s="394">
        <v>32824</v>
      </c>
      <c r="AX20" s="394">
        <v>27249</v>
      </c>
      <c r="AY20" s="394">
        <f t="shared" si="15"/>
        <v>60073</v>
      </c>
      <c r="AZ20" s="394">
        <v>17284</v>
      </c>
      <c r="BA20" s="394">
        <v>16722</v>
      </c>
      <c r="BB20" s="394">
        <f t="shared" si="16"/>
        <v>34006</v>
      </c>
      <c r="BC20" s="394">
        <v>276</v>
      </c>
      <c r="BD20" s="394">
        <v>242</v>
      </c>
      <c r="BE20" s="394">
        <f t="shared" si="440"/>
        <v>518</v>
      </c>
      <c r="BF20" s="396">
        <f t="shared" si="177"/>
        <v>17560</v>
      </c>
      <c r="BG20" s="101">
        <f t="shared" si="178"/>
        <v>16964</v>
      </c>
      <c r="BH20" s="101">
        <f t="shared" si="179"/>
        <v>34524</v>
      </c>
      <c r="BI20" s="397">
        <f t="shared" si="180"/>
        <v>0.53497440896904702</v>
      </c>
      <c r="BJ20" s="397">
        <f t="shared" si="181"/>
        <v>0.62255495614517964</v>
      </c>
      <c r="BK20" s="397">
        <f t="shared" si="182"/>
        <v>0.57470078071679453</v>
      </c>
      <c r="BL20" s="394">
        <v>804</v>
      </c>
      <c r="BM20" s="394">
        <v>587</v>
      </c>
      <c r="BN20" s="394">
        <f t="shared" si="24"/>
        <v>1391</v>
      </c>
      <c r="BO20" s="394">
        <v>14</v>
      </c>
      <c r="BP20" s="394">
        <v>14</v>
      </c>
      <c r="BQ20" s="394">
        <f t="shared" si="25"/>
        <v>28</v>
      </c>
      <c r="BR20" s="394">
        <v>4</v>
      </c>
      <c r="BS20" s="394">
        <v>3</v>
      </c>
      <c r="BT20" s="394">
        <f t="shared" si="26"/>
        <v>7</v>
      </c>
      <c r="BU20" s="396">
        <f t="shared" si="183"/>
        <v>18</v>
      </c>
      <c r="BV20" s="101">
        <f t="shared" si="184"/>
        <v>17</v>
      </c>
      <c r="BW20" s="101">
        <f t="shared" si="185"/>
        <v>35</v>
      </c>
      <c r="BX20" s="397">
        <f t="shared" si="186"/>
        <v>2.2388059701492536E-2</v>
      </c>
      <c r="BY20" s="397">
        <f t="shared" si="187"/>
        <v>2.8960817717206135E-2</v>
      </c>
      <c r="BZ20" s="397">
        <f t="shared" si="188"/>
        <v>2.5161754133716751E-2</v>
      </c>
      <c r="CA20" s="101">
        <f t="shared" si="108"/>
        <v>33628</v>
      </c>
      <c r="CB20" s="101">
        <f t="shared" si="109"/>
        <v>27836</v>
      </c>
      <c r="CC20" s="101">
        <f t="shared" si="110"/>
        <v>61464</v>
      </c>
      <c r="CD20" s="101">
        <f t="shared" si="111"/>
        <v>17298</v>
      </c>
      <c r="CE20" s="101">
        <f t="shared" si="112"/>
        <v>16736</v>
      </c>
      <c r="CF20" s="101">
        <f t="shared" si="113"/>
        <v>34034</v>
      </c>
      <c r="CG20" s="101">
        <f t="shared" si="114"/>
        <v>280</v>
      </c>
      <c r="CH20" s="101">
        <f t="shared" si="115"/>
        <v>245</v>
      </c>
      <c r="CI20" s="101">
        <f t="shared" si="116"/>
        <v>525</v>
      </c>
      <c r="CJ20" s="101">
        <f t="shared" si="117"/>
        <v>17578</v>
      </c>
      <c r="CK20" s="101">
        <f t="shared" si="118"/>
        <v>16981</v>
      </c>
      <c r="CL20" s="101">
        <f t="shared" si="119"/>
        <v>34559</v>
      </c>
      <c r="CM20" s="397">
        <f t="shared" si="120"/>
        <v>0.5227191626025931</v>
      </c>
      <c r="CN20" s="397">
        <f t="shared" si="121"/>
        <v>0.61003736168989797</v>
      </c>
      <c r="CO20" s="397">
        <f t="shared" si="122"/>
        <v>0.5622640895483535</v>
      </c>
      <c r="CP20" s="394">
        <v>61184</v>
      </c>
      <c r="CQ20" s="394">
        <v>57117</v>
      </c>
      <c r="CR20" s="394">
        <f t="shared" si="189"/>
        <v>118301</v>
      </c>
      <c r="CS20" s="394">
        <v>28059</v>
      </c>
      <c r="CT20" s="394">
        <v>31639</v>
      </c>
      <c r="CU20" s="394">
        <f t="shared" si="35"/>
        <v>59698</v>
      </c>
      <c r="CV20" s="394">
        <v>225</v>
      </c>
      <c r="CW20" s="394">
        <v>271</v>
      </c>
      <c r="CX20" s="394">
        <f t="shared" si="392"/>
        <v>496</v>
      </c>
      <c r="CY20" s="396">
        <f t="shared" si="190"/>
        <v>28284</v>
      </c>
      <c r="CZ20" s="101">
        <f t="shared" si="191"/>
        <v>31910</v>
      </c>
      <c r="DA20" s="101">
        <f t="shared" si="192"/>
        <v>60194</v>
      </c>
      <c r="DB20" s="397">
        <f t="shared" si="193"/>
        <v>0.46227771966527198</v>
      </c>
      <c r="DC20" s="397">
        <f t="shared" si="194"/>
        <v>0.55867780170527159</v>
      </c>
      <c r="DD20" s="397">
        <f t="shared" si="195"/>
        <v>0.50882072002772594</v>
      </c>
      <c r="DE20" s="394">
        <v>455</v>
      </c>
      <c r="DF20" s="394">
        <v>207</v>
      </c>
      <c r="DG20" s="394">
        <f t="shared" si="43"/>
        <v>662</v>
      </c>
      <c r="DH20" s="394">
        <v>8</v>
      </c>
      <c r="DI20" s="394">
        <v>12</v>
      </c>
      <c r="DJ20" s="394">
        <f t="shared" si="44"/>
        <v>20</v>
      </c>
      <c r="DK20" s="394">
        <v>1</v>
      </c>
      <c r="DL20" s="394">
        <v>2</v>
      </c>
      <c r="DM20" s="394">
        <f t="shared" si="45"/>
        <v>3</v>
      </c>
      <c r="DN20" s="396">
        <f t="shared" ref="DN20" si="479">DH20+DK20</f>
        <v>9</v>
      </c>
      <c r="DO20" s="101">
        <f t="shared" ref="DO20" si="480">DI20+DL20</f>
        <v>14</v>
      </c>
      <c r="DP20" s="101">
        <f t="shared" si="198"/>
        <v>23</v>
      </c>
      <c r="DQ20" s="397">
        <f t="shared" si="199"/>
        <v>1.9780219780219779E-2</v>
      </c>
      <c r="DR20" s="397">
        <f t="shared" si="200"/>
        <v>6.7632850241545889E-2</v>
      </c>
      <c r="DS20" s="397">
        <f t="shared" si="201"/>
        <v>3.4743202416918431E-2</v>
      </c>
      <c r="DT20" s="101">
        <f t="shared" ref="DT20:DX20" si="481">CP20+DE20</f>
        <v>61639</v>
      </c>
      <c r="DU20" s="101">
        <f t="shared" si="481"/>
        <v>57324</v>
      </c>
      <c r="DV20" s="101">
        <f t="shared" si="51"/>
        <v>118963</v>
      </c>
      <c r="DW20" s="101">
        <f t="shared" si="481"/>
        <v>28067</v>
      </c>
      <c r="DX20" s="101">
        <f t="shared" si="481"/>
        <v>31651</v>
      </c>
      <c r="DY20" s="101">
        <f t="shared" si="51"/>
        <v>59718</v>
      </c>
      <c r="DZ20" s="101">
        <f t="shared" ref="DZ20:EA20" si="482">CV20+DK20</f>
        <v>226</v>
      </c>
      <c r="EA20" s="101">
        <f t="shared" si="482"/>
        <v>273</v>
      </c>
      <c r="EB20" s="101">
        <f t="shared" si="51"/>
        <v>499</v>
      </c>
      <c r="EC20" s="101">
        <f t="shared" ref="EC20:ED20" si="483">CY20+DN20</f>
        <v>28293</v>
      </c>
      <c r="ED20" s="101">
        <f t="shared" si="483"/>
        <v>31924</v>
      </c>
      <c r="EE20" s="101">
        <f t="shared" si="403"/>
        <v>60217</v>
      </c>
      <c r="EF20" s="397">
        <f t="shared" si="404"/>
        <v>0.45901134022291085</v>
      </c>
      <c r="EG20" s="397">
        <f t="shared" si="405"/>
        <v>0.55690461237875932</v>
      </c>
      <c r="EH20" s="397">
        <f t="shared" si="406"/>
        <v>0.50618259458823334</v>
      </c>
      <c r="EI20" s="101">
        <f t="shared" si="53"/>
        <v>255843</v>
      </c>
      <c r="EJ20" s="101">
        <f t="shared" si="54"/>
        <v>227223</v>
      </c>
      <c r="EK20" s="101">
        <f t="shared" si="55"/>
        <v>483066</v>
      </c>
      <c r="EL20" s="101">
        <v>100507</v>
      </c>
      <c r="EM20" s="101">
        <v>101779</v>
      </c>
      <c r="EN20" s="101">
        <f t="shared" ref="EN20:EN21" si="484">EL20+EM20</f>
        <v>202286</v>
      </c>
      <c r="EO20" s="413">
        <f t="shared" ref="EO20:EQ21" si="485">+EL20*100/EI20</f>
        <v>39.284639407761794</v>
      </c>
      <c r="EP20" s="413">
        <f t="shared" si="485"/>
        <v>44.792560612261966</v>
      </c>
      <c r="EQ20" s="413">
        <f t="shared" si="485"/>
        <v>41.875437310843651</v>
      </c>
      <c r="ER20" s="101">
        <f t="shared" si="411"/>
        <v>17578</v>
      </c>
      <c r="ES20" s="101">
        <f t="shared" si="411"/>
        <v>16981</v>
      </c>
      <c r="ET20" s="101">
        <f t="shared" si="411"/>
        <v>34559</v>
      </c>
      <c r="EU20" s="101">
        <v>6316</v>
      </c>
      <c r="EV20" s="101">
        <v>6997</v>
      </c>
      <c r="EW20" s="101">
        <f t="shared" ref="EW20:EW21" si="486">EU20+EV20</f>
        <v>13313</v>
      </c>
      <c r="EX20" s="413">
        <f t="shared" ref="EX20:EZ21" si="487">+EU20*100/ER20</f>
        <v>35.93127773353055</v>
      </c>
      <c r="EY20" s="413">
        <f t="shared" si="487"/>
        <v>41.204876037924741</v>
      </c>
      <c r="EZ20" s="413">
        <f t="shared" si="487"/>
        <v>38.522526693480714</v>
      </c>
      <c r="FA20" s="101">
        <f t="shared" si="416"/>
        <v>28293</v>
      </c>
      <c r="FB20" s="101">
        <f t="shared" si="416"/>
        <v>31924</v>
      </c>
      <c r="FC20" s="101">
        <f t="shared" si="416"/>
        <v>60217</v>
      </c>
      <c r="FD20" s="101">
        <v>6074</v>
      </c>
      <c r="FE20" s="101">
        <v>8243</v>
      </c>
      <c r="FF20" s="101">
        <f t="shared" ref="FF20" si="488">FD20+FE20</f>
        <v>14317</v>
      </c>
      <c r="FG20" s="413">
        <f t="shared" ref="FG20:FI20" si="489">+FD20*100/FA20</f>
        <v>21.468207683879406</v>
      </c>
      <c r="FH20" s="413">
        <f t="shared" si="489"/>
        <v>25.820699160506202</v>
      </c>
      <c r="FI20" s="413">
        <f t="shared" si="489"/>
        <v>23.775677964694356</v>
      </c>
      <c r="FJ20"/>
    </row>
    <row r="21" spans="1:171" ht="30.75" customHeight="1">
      <c r="A21" s="393">
        <v>14</v>
      </c>
      <c r="B21" s="220" t="s">
        <v>378</v>
      </c>
      <c r="C21" s="221" t="s">
        <v>140</v>
      </c>
      <c r="D21" s="400">
        <v>186653</v>
      </c>
      <c r="E21" s="400">
        <v>152896</v>
      </c>
      <c r="F21" s="400">
        <f t="shared" si="421"/>
        <v>339549</v>
      </c>
      <c r="G21" s="400">
        <v>113350</v>
      </c>
      <c r="H21" s="400">
        <v>107456</v>
      </c>
      <c r="I21" s="400">
        <f t="shared" si="422"/>
        <v>220806</v>
      </c>
      <c r="J21" s="398"/>
      <c r="K21" s="398"/>
      <c r="L21" s="398"/>
      <c r="M21" s="396">
        <f t="shared" si="165"/>
        <v>113350</v>
      </c>
      <c r="N21" s="101">
        <f t="shared" si="166"/>
        <v>107456</v>
      </c>
      <c r="O21" s="101">
        <f t="shared" si="167"/>
        <v>220806</v>
      </c>
      <c r="P21" s="397">
        <f t="shared" si="168"/>
        <v>0.60727660417994889</v>
      </c>
      <c r="Q21" s="397">
        <f t="shared" si="169"/>
        <v>0.70280452071996646</v>
      </c>
      <c r="R21" s="397">
        <f t="shared" si="170"/>
        <v>0.65029200498308048</v>
      </c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101">
        <f t="shared" si="80"/>
        <v>186653</v>
      </c>
      <c r="AI21" s="101">
        <f t="shared" si="81"/>
        <v>152896</v>
      </c>
      <c r="AJ21" s="101">
        <f t="shared" si="82"/>
        <v>339549</v>
      </c>
      <c r="AK21" s="101">
        <f t="shared" si="83"/>
        <v>113350</v>
      </c>
      <c r="AL21" s="101">
        <f t="shared" si="84"/>
        <v>107456</v>
      </c>
      <c r="AM21" s="101">
        <f t="shared" si="85"/>
        <v>220806</v>
      </c>
      <c r="AN21" s="398"/>
      <c r="AO21" s="398"/>
      <c r="AP21" s="398"/>
      <c r="AQ21" s="101">
        <f t="shared" si="89"/>
        <v>113350</v>
      </c>
      <c r="AR21" s="101">
        <f t="shared" si="90"/>
        <v>107456</v>
      </c>
      <c r="AS21" s="101">
        <f t="shared" si="91"/>
        <v>220806</v>
      </c>
      <c r="AT21" s="397">
        <f t="shared" si="92"/>
        <v>0.60727660417994889</v>
      </c>
      <c r="AU21" s="397">
        <f t="shared" si="93"/>
        <v>0.70280452071996646</v>
      </c>
      <c r="AV21" s="397">
        <f t="shared" si="94"/>
        <v>0.65029200498308048</v>
      </c>
      <c r="AW21" s="394">
        <v>52474</v>
      </c>
      <c r="AX21" s="394">
        <v>48308</v>
      </c>
      <c r="AY21" s="394">
        <f t="shared" si="15"/>
        <v>100782</v>
      </c>
      <c r="AZ21" s="394">
        <v>27302</v>
      </c>
      <c r="BA21" s="394">
        <v>29003</v>
      </c>
      <c r="BB21" s="394">
        <f t="shared" si="16"/>
        <v>56305</v>
      </c>
      <c r="BC21" s="399"/>
      <c r="BD21" s="399"/>
      <c r="BE21" s="399"/>
      <c r="BF21" s="396">
        <f t="shared" si="177"/>
        <v>27302</v>
      </c>
      <c r="BG21" s="101">
        <f t="shared" si="178"/>
        <v>29003</v>
      </c>
      <c r="BH21" s="101">
        <f t="shared" si="179"/>
        <v>56305</v>
      </c>
      <c r="BI21" s="397">
        <f t="shared" si="180"/>
        <v>0.52029576552197276</v>
      </c>
      <c r="BJ21" s="397">
        <f t="shared" si="181"/>
        <v>0.60037674919268025</v>
      </c>
      <c r="BK21" s="397">
        <f t="shared" si="182"/>
        <v>0.55868111369093687</v>
      </c>
      <c r="BL21" s="399"/>
      <c r="BM21" s="399"/>
      <c r="BN21" s="399"/>
      <c r="BO21" s="399"/>
      <c r="BP21" s="399"/>
      <c r="BQ21" s="399"/>
      <c r="BR21" s="399"/>
      <c r="BS21" s="399"/>
      <c r="BT21" s="399"/>
      <c r="BU21" s="399"/>
      <c r="BV21" s="399"/>
      <c r="BW21" s="399"/>
      <c r="BX21" s="399"/>
      <c r="BY21" s="399"/>
      <c r="BZ21" s="399"/>
      <c r="CA21" s="101">
        <f t="shared" si="108"/>
        <v>52474</v>
      </c>
      <c r="CB21" s="101">
        <f t="shared" si="109"/>
        <v>48308</v>
      </c>
      <c r="CC21" s="101">
        <f t="shared" si="110"/>
        <v>100782</v>
      </c>
      <c r="CD21" s="101">
        <f t="shared" si="111"/>
        <v>27302</v>
      </c>
      <c r="CE21" s="101">
        <f t="shared" si="112"/>
        <v>29003</v>
      </c>
      <c r="CF21" s="101">
        <f t="shared" si="113"/>
        <v>56305</v>
      </c>
      <c r="CG21" s="399"/>
      <c r="CH21" s="399"/>
      <c r="CI21" s="399"/>
      <c r="CJ21" s="101">
        <f t="shared" si="117"/>
        <v>27302</v>
      </c>
      <c r="CK21" s="101">
        <f t="shared" si="118"/>
        <v>29003</v>
      </c>
      <c r="CL21" s="101">
        <f t="shared" si="119"/>
        <v>56305</v>
      </c>
      <c r="CM21" s="397">
        <f t="shared" si="120"/>
        <v>0.52029576552197276</v>
      </c>
      <c r="CN21" s="397">
        <f t="shared" si="121"/>
        <v>0.60037674919268025</v>
      </c>
      <c r="CO21" s="397">
        <f t="shared" si="122"/>
        <v>0.55868111369093687</v>
      </c>
      <c r="CP21" s="399"/>
      <c r="CQ21" s="399"/>
      <c r="CR21" s="399"/>
      <c r="CS21" s="399"/>
      <c r="CT21" s="399"/>
      <c r="CU21" s="399"/>
      <c r="CV21" s="399"/>
      <c r="CW21" s="399"/>
      <c r="CX21" s="399"/>
      <c r="CY21" s="399"/>
      <c r="CZ21" s="399"/>
      <c r="DA21" s="399"/>
      <c r="DB21" s="399"/>
      <c r="DC21" s="399"/>
      <c r="DD21" s="399"/>
      <c r="DE21" s="399"/>
      <c r="DF21" s="399"/>
      <c r="DG21" s="399"/>
      <c r="DH21" s="399"/>
      <c r="DI21" s="399"/>
      <c r="DJ21" s="399"/>
      <c r="DK21" s="399"/>
      <c r="DL21" s="399"/>
      <c r="DM21" s="399"/>
      <c r="DN21" s="399"/>
      <c r="DO21" s="399"/>
      <c r="DP21" s="399"/>
      <c r="DQ21" s="399"/>
      <c r="DR21" s="399"/>
      <c r="DS21" s="399"/>
      <c r="DT21" s="399"/>
      <c r="DU21" s="399"/>
      <c r="DV21" s="399"/>
      <c r="DW21" s="399"/>
      <c r="DX21" s="399"/>
      <c r="DY21" s="399"/>
      <c r="DZ21" s="399"/>
      <c r="EA21" s="399"/>
      <c r="EB21" s="399"/>
      <c r="EC21" s="399"/>
      <c r="ED21" s="399"/>
      <c r="EE21" s="399"/>
      <c r="EF21" s="399"/>
      <c r="EG21" s="399"/>
      <c r="EH21" s="399"/>
      <c r="EI21" s="101">
        <f t="shared" si="53"/>
        <v>113350</v>
      </c>
      <c r="EJ21" s="101">
        <f t="shared" si="54"/>
        <v>107456</v>
      </c>
      <c r="EK21" s="101">
        <f t="shared" si="55"/>
        <v>220806</v>
      </c>
      <c r="EL21" s="101">
        <v>81872</v>
      </c>
      <c r="EM21" s="101">
        <v>87273</v>
      </c>
      <c r="EN21" s="101">
        <f t="shared" si="484"/>
        <v>169145</v>
      </c>
      <c r="EO21" s="413">
        <f t="shared" si="485"/>
        <v>72.229378032642259</v>
      </c>
      <c r="EP21" s="413">
        <f t="shared" si="485"/>
        <v>81.217428528886245</v>
      </c>
      <c r="EQ21" s="413">
        <f t="shared" si="485"/>
        <v>76.603443746999631</v>
      </c>
      <c r="ER21" s="101">
        <f t="shared" si="411"/>
        <v>27302</v>
      </c>
      <c r="ES21" s="101">
        <f t="shared" si="411"/>
        <v>29003</v>
      </c>
      <c r="ET21" s="101">
        <f t="shared" si="411"/>
        <v>56305</v>
      </c>
      <c r="EU21" s="101">
        <v>16782</v>
      </c>
      <c r="EV21" s="101">
        <v>20568</v>
      </c>
      <c r="EW21" s="101">
        <f t="shared" si="486"/>
        <v>37350</v>
      </c>
      <c r="EX21" s="413">
        <f t="shared" si="487"/>
        <v>61.468024320562598</v>
      </c>
      <c r="EY21" s="413">
        <f t="shared" si="487"/>
        <v>70.916801710167917</v>
      </c>
      <c r="EZ21" s="413">
        <f t="shared" si="487"/>
        <v>66.335138975224226</v>
      </c>
      <c r="FA21" s="414"/>
      <c r="FB21" s="414"/>
      <c r="FC21" s="414"/>
      <c r="FD21" s="414"/>
      <c r="FE21" s="414"/>
      <c r="FF21" s="414"/>
      <c r="FG21" s="414"/>
      <c r="FH21" s="414"/>
      <c r="FI21" s="414"/>
    </row>
    <row r="22" spans="1:171" ht="30.75" customHeight="1">
      <c r="A22" s="393">
        <v>15</v>
      </c>
      <c r="B22" s="409" t="s">
        <v>379</v>
      </c>
      <c r="C22" s="221" t="s">
        <v>380</v>
      </c>
      <c r="D22" s="400">
        <v>52644</v>
      </c>
      <c r="E22" s="400">
        <v>49044</v>
      </c>
      <c r="F22" s="400">
        <f t="shared" si="421"/>
        <v>101688</v>
      </c>
      <c r="G22" s="400">
        <v>34166</v>
      </c>
      <c r="H22" s="400">
        <v>35194</v>
      </c>
      <c r="I22" s="400">
        <f t="shared" si="422"/>
        <v>69360</v>
      </c>
      <c r="J22" s="400">
        <v>1457</v>
      </c>
      <c r="K22" s="400">
        <v>1203</v>
      </c>
      <c r="L22" s="394">
        <f>J22+K22</f>
        <v>2660</v>
      </c>
      <c r="M22" s="396">
        <f t="shared" ref="M22" si="490">G22+J22</f>
        <v>35623</v>
      </c>
      <c r="N22" s="101">
        <f t="shared" ref="N22" si="491">H22+K22</f>
        <v>36397</v>
      </c>
      <c r="O22" s="101">
        <f t="shared" ref="O22" si="492">I22+L22</f>
        <v>72020</v>
      </c>
      <c r="P22" s="397">
        <f t="shared" ref="P22" si="493">M22/D22</f>
        <v>0.67667730415621918</v>
      </c>
      <c r="Q22" s="397">
        <f t="shared" ref="Q22" si="494">N22/E22</f>
        <v>0.74212951635266289</v>
      </c>
      <c r="R22" s="397">
        <f t="shared" ref="R22" si="495">O22/F22</f>
        <v>0.70824482731492411</v>
      </c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101">
        <f t="shared" si="80"/>
        <v>52644</v>
      </c>
      <c r="AI22" s="101">
        <f t="shared" si="81"/>
        <v>49044</v>
      </c>
      <c r="AJ22" s="101">
        <f t="shared" si="82"/>
        <v>101688</v>
      </c>
      <c r="AK22" s="101">
        <f t="shared" si="83"/>
        <v>34166</v>
      </c>
      <c r="AL22" s="101">
        <f t="shared" si="84"/>
        <v>35194</v>
      </c>
      <c r="AM22" s="101">
        <f t="shared" si="85"/>
        <v>69360</v>
      </c>
      <c r="AN22" s="101">
        <f t="shared" si="86"/>
        <v>1457</v>
      </c>
      <c r="AO22" s="101">
        <f t="shared" si="87"/>
        <v>1203</v>
      </c>
      <c r="AP22" s="101">
        <f t="shared" si="88"/>
        <v>2660</v>
      </c>
      <c r="AQ22" s="101">
        <f t="shared" si="89"/>
        <v>35623</v>
      </c>
      <c r="AR22" s="101">
        <f t="shared" si="90"/>
        <v>36397</v>
      </c>
      <c r="AS22" s="101">
        <f t="shared" si="91"/>
        <v>72020</v>
      </c>
      <c r="AT22" s="397">
        <f t="shared" si="92"/>
        <v>0.67667730415621918</v>
      </c>
      <c r="AU22" s="397">
        <f t="shared" si="93"/>
        <v>0.74212951635266289</v>
      </c>
      <c r="AV22" s="397">
        <f t="shared" si="94"/>
        <v>0.70824482731492411</v>
      </c>
      <c r="AW22" s="394">
        <v>15538</v>
      </c>
      <c r="AX22" s="394">
        <v>14916</v>
      </c>
      <c r="AY22" s="394">
        <f t="shared" ref="AY22" si="496">AW22+AX22</f>
        <v>30454</v>
      </c>
      <c r="AZ22" s="394">
        <v>9256</v>
      </c>
      <c r="BA22" s="394">
        <v>9791</v>
      </c>
      <c r="BB22" s="394">
        <f t="shared" ref="BB22" si="497">AZ22+BA22</f>
        <v>19047</v>
      </c>
      <c r="BC22" s="394">
        <v>428</v>
      </c>
      <c r="BD22" s="394">
        <v>413</v>
      </c>
      <c r="BE22" s="394">
        <f t="shared" ref="BE22" si="498">BC22+BD22</f>
        <v>841</v>
      </c>
      <c r="BF22" s="396">
        <f t="shared" ref="BF22" si="499">AZ22+BC22</f>
        <v>9684</v>
      </c>
      <c r="BG22" s="101">
        <f t="shared" ref="BG22" si="500">BA22+BD22</f>
        <v>10204</v>
      </c>
      <c r="BH22" s="101">
        <f t="shared" ref="BH22" si="501">BB22+BE22</f>
        <v>19888</v>
      </c>
      <c r="BI22" s="397">
        <f t="shared" ref="BI22" si="502">BF22/AW22</f>
        <v>0.6232462350366843</v>
      </c>
      <c r="BJ22" s="397">
        <f t="shared" ref="BJ22" si="503">BG22/AX22</f>
        <v>0.68409761330115315</v>
      </c>
      <c r="BK22" s="397">
        <f t="shared" ref="BK22" si="504">BH22/AY22</f>
        <v>0.65305050239705786</v>
      </c>
      <c r="BL22" s="399"/>
      <c r="BM22" s="399"/>
      <c r="BN22" s="399"/>
      <c r="BO22" s="399"/>
      <c r="BP22" s="399"/>
      <c r="BQ22" s="399"/>
      <c r="BR22" s="399"/>
      <c r="BS22" s="399"/>
      <c r="BT22" s="399"/>
      <c r="BU22" s="399"/>
      <c r="BV22" s="399"/>
      <c r="BW22" s="399"/>
      <c r="BX22" s="399"/>
      <c r="BY22" s="399"/>
      <c r="BZ22" s="399"/>
      <c r="CA22" s="101">
        <f t="shared" si="108"/>
        <v>15538</v>
      </c>
      <c r="CB22" s="101">
        <f t="shared" si="109"/>
        <v>14916</v>
      </c>
      <c r="CC22" s="101">
        <f t="shared" si="110"/>
        <v>30454</v>
      </c>
      <c r="CD22" s="101">
        <f t="shared" si="111"/>
        <v>9256</v>
      </c>
      <c r="CE22" s="101">
        <f t="shared" si="112"/>
        <v>9791</v>
      </c>
      <c r="CF22" s="101">
        <f t="shared" si="113"/>
        <v>19047</v>
      </c>
      <c r="CG22" s="101">
        <f t="shared" si="114"/>
        <v>428</v>
      </c>
      <c r="CH22" s="101">
        <f t="shared" si="115"/>
        <v>413</v>
      </c>
      <c r="CI22" s="101">
        <f t="shared" si="116"/>
        <v>841</v>
      </c>
      <c r="CJ22" s="101">
        <f t="shared" si="117"/>
        <v>9684</v>
      </c>
      <c r="CK22" s="101">
        <f t="shared" si="118"/>
        <v>10204</v>
      </c>
      <c r="CL22" s="101">
        <f t="shared" si="119"/>
        <v>19888</v>
      </c>
      <c r="CM22" s="397">
        <f t="shared" si="120"/>
        <v>0.6232462350366843</v>
      </c>
      <c r="CN22" s="397">
        <f t="shared" si="121"/>
        <v>0.68409761330115315</v>
      </c>
      <c r="CO22" s="397">
        <f t="shared" si="122"/>
        <v>0.65305050239705786</v>
      </c>
      <c r="CP22" s="394">
        <v>3298</v>
      </c>
      <c r="CQ22" s="394">
        <v>3174</v>
      </c>
      <c r="CR22" s="394">
        <f t="shared" ref="CR22" si="505">CP22+CQ22</f>
        <v>6472</v>
      </c>
      <c r="CS22" s="394">
        <v>1979</v>
      </c>
      <c r="CT22" s="394">
        <v>2172</v>
      </c>
      <c r="CU22" s="394">
        <f t="shared" ref="CU22" si="506">CS22+CT22</f>
        <v>4151</v>
      </c>
      <c r="CV22" s="394">
        <v>99</v>
      </c>
      <c r="CW22" s="394">
        <v>80</v>
      </c>
      <c r="CX22" s="394">
        <f t="shared" ref="CX22" si="507">CV22+CW22</f>
        <v>179</v>
      </c>
      <c r="CY22" s="396">
        <f t="shared" ref="CY22" si="508">CS22+CV22</f>
        <v>2078</v>
      </c>
      <c r="CZ22" s="101">
        <f t="shared" ref="CZ22" si="509">CT22+CW22</f>
        <v>2252</v>
      </c>
      <c r="DA22" s="101">
        <f t="shared" ref="DA22" si="510">CU22+CX22</f>
        <v>4330</v>
      </c>
      <c r="DB22" s="397">
        <f t="shared" ref="DB22" si="511">CY22/CP22</f>
        <v>0.63007883565797451</v>
      </c>
      <c r="DC22" s="397">
        <f t="shared" ref="DC22" si="512">CZ22/CQ22</f>
        <v>0.70951480781348453</v>
      </c>
      <c r="DD22" s="397">
        <f t="shared" ref="DD22" si="513">DA22/CR22</f>
        <v>0.66903584672435101</v>
      </c>
      <c r="DE22" s="399"/>
      <c r="DF22" s="399"/>
      <c r="DG22" s="399"/>
      <c r="DH22" s="399"/>
      <c r="DI22" s="399"/>
      <c r="DJ22" s="399"/>
      <c r="DK22" s="399"/>
      <c r="DL22" s="399"/>
      <c r="DM22" s="399"/>
      <c r="DN22" s="399"/>
      <c r="DO22" s="399"/>
      <c r="DP22" s="399"/>
      <c r="DQ22" s="399"/>
      <c r="DR22" s="399"/>
      <c r="DS22" s="399"/>
      <c r="DT22" s="101">
        <f t="shared" ref="DT22" si="514">CP22+DE22</f>
        <v>3298</v>
      </c>
      <c r="DU22" s="101">
        <f t="shared" ref="DU22" si="515">CQ22+DF22</f>
        <v>3174</v>
      </c>
      <c r="DV22" s="101">
        <f t="shared" ref="DV22" si="516">CR22+DG22</f>
        <v>6472</v>
      </c>
      <c r="DW22" s="101">
        <f t="shared" ref="DW22" si="517">CS22+DH22</f>
        <v>1979</v>
      </c>
      <c r="DX22" s="101">
        <f t="shared" ref="DX22" si="518">CT22+DI22</f>
        <v>2172</v>
      </c>
      <c r="DY22" s="101">
        <f t="shared" ref="DY22" si="519">CU22+DJ22</f>
        <v>4151</v>
      </c>
      <c r="DZ22" s="101">
        <f t="shared" ref="DZ22" si="520">CV22+DK22</f>
        <v>99</v>
      </c>
      <c r="EA22" s="101">
        <f t="shared" ref="EA22" si="521">CW22+DL22</f>
        <v>80</v>
      </c>
      <c r="EB22" s="101">
        <f t="shared" ref="EB22" si="522">CX22+DM22</f>
        <v>179</v>
      </c>
      <c r="EC22" s="101">
        <f t="shared" ref="EC22" si="523">CY22+DN22</f>
        <v>2078</v>
      </c>
      <c r="ED22" s="101">
        <f t="shared" ref="ED22" si="524">CZ22+DO22</f>
        <v>2252</v>
      </c>
      <c r="EE22" s="101">
        <f t="shared" ref="EE22" si="525">DA22+DP22</f>
        <v>4330</v>
      </c>
      <c r="EF22" s="397">
        <f t="shared" ref="EF22" si="526">EC22/DT22</f>
        <v>0.63007883565797451</v>
      </c>
      <c r="EG22" s="397">
        <f t="shared" ref="EG22" si="527">ED22/DU22</f>
        <v>0.70951480781348453</v>
      </c>
      <c r="EH22" s="397">
        <f t="shared" ref="EH22" si="528">EE22/DV22</f>
        <v>0.66903584672435101</v>
      </c>
      <c r="EI22" s="101">
        <f t="shared" si="53"/>
        <v>35623</v>
      </c>
      <c r="EJ22" s="101">
        <f t="shared" si="54"/>
        <v>36397</v>
      </c>
      <c r="EK22" s="101">
        <f t="shared" si="55"/>
        <v>72020</v>
      </c>
      <c r="EL22" s="101">
        <v>23555</v>
      </c>
      <c r="EM22" s="101">
        <v>28401</v>
      </c>
      <c r="EN22" s="101">
        <f t="shared" ref="EN22" si="529">EL22+EM22</f>
        <v>51956</v>
      </c>
      <c r="EO22" s="413">
        <f t="shared" ref="EO22" si="530">+EL22*100/EI22</f>
        <v>66.12301041461977</v>
      </c>
      <c r="EP22" s="413">
        <f t="shared" ref="EP22" si="531">+EM22*100/EJ22</f>
        <v>78.031156413990161</v>
      </c>
      <c r="EQ22" s="413">
        <f t="shared" ref="EQ22" si="532">+EN22*100/EK22</f>
        <v>72.141071924465422</v>
      </c>
      <c r="ER22" s="101">
        <f t="shared" si="411"/>
        <v>9684</v>
      </c>
      <c r="ES22" s="101">
        <f t="shared" si="411"/>
        <v>10204</v>
      </c>
      <c r="ET22" s="101">
        <f t="shared" si="411"/>
        <v>19888</v>
      </c>
      <c r="EU22" s="101">
        <v>5830</v>
      </c>
      <c r="EV22" s="101">
        <v>7474</v>
      </c>
      <c r="EW22" s="101">
        <f t="shared" ref="EW22" si="533">EU22+EV22</f>
        <v>13304</v>
      </c>
      <c r="EX22" s="413">
        <f t="shared" ref="EX22" si="534">+EU22*100/ER22</f>
        <v>60.202395704254442</v>
      </c>
      <c r="EY22" s="413">
        <f t="shared" ref="EY22" si="535">+EV22*100/ES22</f>
        <v>73.245785966287727</v>
      </c>
      <c r="EZ22" s="413">
        <f t="shared" ref="EZ22" si="536">+EW22*100/ET22</f>
        <v>66.8946098149638</v>
      </c>
      <c r="FA22" s="101">
        <f>+EC22</f>
        <v>2078</v>
      </c>
      <c r="FB22" s="101">
        <f>+ED22</f>
        <v>2252</v>
      </c>
      <c r="FC22" s="101">
        <f>+EE22</f>
        <v>4330</v>
      </c>
      <c r="FD22" s="101">
        <v>1317</v>
      </c>
      <c r="FE22" s="101">
        <v>1664</v>
      </c>
      <c r="FF22" s="101">
        <f t="shared" ref="FF22" si="537">FD22+FE22</f>
        <v>2981</v>
      </c>
      <c r="FG22" s="413">
        <f t="shared" ref="FG22" si="538">+FD22*100/FA22</f>
        <v>63.378248315688161</v>
      </c>
      <c r="FH22" s="413">
        <f t="shared" ref="FH22" si="539">+FE22*100/FB22</f>
        <v>73.889875666074602</v>
      </c>
      <c r="FI22" s="413">
        <f t="shared" ref="FI22" si="540">+FF22*100/FC22</f>
        <v>68.845265588914543</v>
      </c>
    </row>
    <row r="23" spans="1:171" ht="33" customHeight="1">
      <c r="A23" s="393">
        <v>16</v>
      </c>
      <c r="B23" s="409" t="s">
        <v>382</v>
      </c>
      <c r="C23" s="221" t="s">
        <v>381</v>
      </c>
      <c r="D23" s="394">
        <v>83031</v>
      </c>
      <c r="E23" s="394">
        <v>74276</v>
      </c>
      <c r="F23" s="394">
        <f t="shared" si="421"/>
        <v>157307</v>
      </c>
      <c r="G23" s="394">
        <v>58619</v>
      </c>
      <c r="H23" s="394">
        <v>55138</v>
      </c>
      <c r="I23" s="394">
        <f t="shared" si="422"/>
        <v>113757</v>
      </c>
      <c r="J23" s="398"/>
      <c r="K23" s="398"/>
      <c r="L23" s="398"/>
      <c r="M23" s="396">
        <f t="shared" si="165"/>
        <v>58619</v>
      </c>
      <c r="N23" s="101">
        <f t="shared" si="166"/>
        <v>55138</v>
      </c>
      <c r="O23" s="101">
        <f t="shared" si="167"/>
        <v>113757</v>
      </c>
      <c r="P23" s="397">
        <f t="shared" si="168"/>
        <v>0.70598932928665192</v>
      </c>
      <c r="Q23" s="397">
        <f t="shared" si="169"/>
        <v>0.74233938284237166</v>
      </c>
      <c r="R23" s="397">
        <f t="shared" si="170"/>
        <v>0.72315281583146329</v>
      </c>
      <c r="S23" s="419">
        <v>86682</v>
      </c>
      <c r="T23" s="419">
        <v>54812</v>
      </c>
      <c r="U23" s="394">
        <f t="shared" si="4"/>
        <v>141494</v>
      </c>
      <c r="V23" s="419">
        <v>59383</v>
      </c>
      <c r="W23" s="419">
        <v>40123</v>
      </c>
      <c r="X23" s="394">
        <f t="shared" si="5"/>
        <v>99506</v>
      </c>
      <c r="Y23" s="398"/>
      <c r="Z23" s="398"/>
      <c r="AA23" s="398"/>
      <c r="AB23" s="396">
        <f t="shared" ref="AB23" si="541">V23+Y23</f>
        <v>59383</v>
      </c>
      <c r="AC23" s="101">
        <f t="shared" ref="AC23" si="542">W23+Z23</f>
        <v>40123</v>
      </c>
      <c r="AD23" s="101">
        <f t="shared" ref="AD23" si="543">X23+AA23</f>
        <v>99506</v>
      </c>
      <c r="AE23" s="397">
        <f t="shared" ref="AE23" si="544">AB23/S23</f>
        <v>0.68506725733139517</v>
      </c>
      <c r="AF23" s="397">
        <f t="shared" ref="AF23" si="545">AC23/T23</f>
        <v>0.73201123841494564</v>
      </c>
      <c r="AG23" s="397">
        <f t="shared" ref="AG23" si="546">AD23/U23</f>
        <v>0.70325243473221477</v>
      </c>
      <c r="AH23" s="101">
        <f t="shared" si="80"/>
        <v>169713</v>
      </c>
      <c r="AI23" s="101">
        <f t="shared" si="81"/>
        <v>129088</v>
      </c>
      <c r="AJ23" s="101">
        <f t="shared" si="82"/>
        <v>298801</v>
      </c>
      <c r="AK23" s="101">
        <f t="shared" si="83"/>
        <v>118002</v>
      </c>
      <c r="AL23" s="101">
        <f t="shared" si="84"/>
        <v>95261</v>
      </c>
      <c r="AM23" s="101">
        <f t="shared" si="85"/>
        <v>213263</v>
      </c>
      <c r="AN23" s="398"/>
      <c r="AO23" s="398"/>
      <c r="AP23" s="398"/>
      <c r="AQ23" s="101">
        <f t="shared" si="89"/>
        <v>118002</v>
      </c>
      <c r="AR23" s="101">
        <f t="shared" si="90"/>
        <v>95261</v>
      </c>
      <c r="AS23" s="101">
        <f t="shared" si="91"/>
        <v>213263</v>
      </c>
      <c r="AT23" s="397">
        <f t="shared" si="92"/>
        <v>0.69530324724682258</v>
      </c>
      <c r="AU23" s="397">
        <f t="shared" si="93"/>
        <v>0.73795395389191865</v>
      </c>
      <c r="AV23" s="397">
        <f t="shared" si="94"/>
        <v>0.71372920438686616</v>
      </c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399"/>
      <c r="EI23" s="101">
        <f t="shared" si="53"/>
        <v>118002</v>
      </c>
      <c r="EJ23" s="101">
        <f t="shared" si="54"/>
        <v>95261</v>
      </c>
      <c r="EK23" s="101">
        <f t="shared" si="55"/>
        <v>213263</v>
      </c>
      <c r="EL23" s="414"/>
      <c r="EM23" s="414"/>
      <c r="EN23" s="414"/>
      <c r="EO23" s="421"/>
      <c r="EP23" s="421"/>
      <c r="EQ23" s="421"/>
      <c r="ER23" s="415"/>
      <c r="ES23" s="415"/>
      <c r="ET23" s="415"/>
      <c r="EU23" s="414"/>
      <c r="EV23" s="414"/>
      <c r="EW23" s="414"/>
      <c r="EX23" s="414"/>
      <c r="EY23" s="414"/>
      <c r="EZ23" s="414"/>
      <c r="FA23" s="414"/>
      <c r="FB23" s="414"/>
      <c r="FC23" s="414"/>
      <c r="FD23" s="414"/>
      <c r="FE23" s="414"/>
      <c r="FF23" s="414"/>
      <c r="FG23" s="414"/>
      <c r="FH23" s="414"/>
      <c r="FI23" s="414"/>
    </row>
    <row r="24" spans="1:171" ht="28.5">
      <c r="A24" s="393">
        <v>17</v>
      </c>
      <c r="B24" s="220" t="s">
        <v>383</v>
      </c>
      <c r="C24" s="221" t="s">
        <v>152</v>
      </c>
      <c r="D24" s="400">
        <v>152122</v>
      </c>
      <c r="E24" s="400">
        <v>177354</v>
      </c>
      <c r="F24" s="400">
        <f t="shared" si="421"/>
        <v>329476</v>
      </c>
      <c r="G24" s="400">
        <v>121063</v>
      </c>
      <c r="H24" s="400">
        <v>137460</v>
      </c>
      <c r="I24" s="400">
        <f t="shared" si="422"/>
        <v>258523</v>
      </c>
      <c r="J24" s="398"/>
      <c r="K24" s="398"/>
      <c r="L24" s="398"/>
      <c r="M24" s="396">
        <f t="shared" si="165"/>
        <v>121063</v>
      </c>
      <c r="N24" s="101">
        <f t="shared" si="166"/>
        <v>137460</v>
      </c>
      <c r="O24" s="101">
        <f t="shared" si="167"/>
        <v>258523</v>
      </c>
      <c r="P24" s="397">
        <f t="shared" si="168"/>
        <v>0.79582834829939131</v>
      </c>
      <c r="Q24" s="397">
        <f t="shared" si="169"/>
        <v>0.77506004939273998</v>
      </c>
      <c r="R24" s="397">
        <f t="shared" si="170"/>
        <v>0.78464895773895516</v>
      </c>
      <c r="S24" s="419">
        <v>28040</v>
      </c>
      <c r="T24" s="419">
        <v>27101</v>
      </c>
      <c r="U24" s="394">
        <f t="shared" si="4"/>
        <v>55141</v>
      </c>
      <c r="V24" s="419">
        <v>15619</v>
      </c>
      <c r="W24" s="419">
        <v>14343</v>
      </c>
      <c r="X24" s="394">
        <f t="shared" si="5"/>
        <v>29962</v>
      </c>
      <c r="Y24" s="398"/>
      <c r="Z24" s="398"/>
      <c r="AA24" s="398"/>
      <c r="AB24" s="396">
        <f t="shared" si="171"/>
        <v>15619</v>
      </c>
      <c r="AC24" s="101">
        <f t="shared" si="172"/>
        <v>14343</v>
      </c>
      <c r="AD24" s="101">
        <f t="shared" si="173"/>
        <v>29962</v>
      </c>
      <c r="AE24" s="397">
        <f t="shared" ref="AE24" si="547">AB24/S24</f>
        <v>0.5570256776034237</v>
      </c>
      <c r="AF24" s="397">
        <f t="shared" ref="AF24" si="548">AC24/T24</f>
        <v>0.52924246337773517</v>
      </c>
      <c r="AG24" s="397">
        <f t="shared" ref="AG24" si="549">AD24/U24</f>
        <v>0.54337063165339761</v>
      </c>
      <c r="AH24" s="101">
        <f t="shared" si="80"/>
        <v>180162</v>
      </c>
      <c r="AI24" s="101">
        <f t="shared" si="81"/>
        <v>204455</v>
      </c>
      <c r="AJ24" s="101">
        <f t="shared" si="82"/>
        <v>384617</v>
      </c>
      <c r="AK24" s="101">
        <f t="shared" si="83"/>
        <v>136682</v>
      </c>
      <c r="AL24" s="101">
        <f t="shared" si="84"/>
        <v>151803</v>
      </c>
      <c r="AM24" s="101">
        <f t="shared" si="85"/>
        <v>288485</v>
      </c>
      <c r="AN24" s="398"/>
      <c r="AO24" s="398"/>
      <c r="AP24" s="398"/>
      <c r="AQ24" s="101">
        <f t="shared" si="89"/>
        <v>136682</v>
      </c>
      <c r="AR24" s="101">
        <f t="shared" si="90"/>
        <v>151803</v>
      </c>
      <c r="AS24" s="101">
        <f t="shared" si="91"/>
        <v>288485</v>
      </c>
      <c r="AT24" s="397">
        <f t="shared" si="92"/>
        <v>0.75866164896038013</v>
      </c>
      <c r="AU24" s="397">
        <f t="shared" si="93"/>
        <v>0.74247633953681735</v>
      </c>
      <c r="AV24" s="397">
        <f t="shared" si="94"/>
        <v>0.75005784975703105</v>
      </c>
      <c r="AW24" s="394">
        <v>6786</v>
      </c>
      <c r="AX24" s="394">
        <v>7696</v>
      </c>
      <c r="AY24" s="394">
        <f t="shared" si="15"/>
        <v>14482</v>
      </c>
      <c r="AZ24" s="394">
        <v>5334</v>
      </c>
      <c r="BA24" s="394">
        <v>5709</v>
      </c>
      <c r="BB24" s="394">
        <f t="shared" si="16"/>
        <v>11043</v>
      </c>
      <c r="BC24" s="399"/>
      <c r="BD24" s="399"/>
      <c r="BE24" s="399"/>
      <c r="BF24" s="396">
        <f t="shared" si="177"/>
        <v>5334</v>
      </c>
      <c r="BG24" s="101">
        <f t="shared" si="178"/>
        <v>5709</v>
      </c>
      <c r="BH24" s="101">
        <f t="shared" si="179"/>
        <v>11043</v>
      </c>
      <c r="BI24" s="397">
        <f t="shared" si="180"/>
        <v>0.78603006189213087</v>
      </c>
      <c r="BJ24" s="397">
        <f t="shared" si="181"/>
        <v>0.74181392931392931</v>
      </c>
      <c r="BK24" s="397">
        <f t="shared" si="182"/>
        <v>0.76253279933710816</v>
      </c>
      <c r="BL24" s="394">
        <v>1838</v>
      </c>
      <c r="BM24" s="394">
        <v>1908</v>
      </c>
      <c r="BN24" s="394">
        <f t="shared" si="24"/>
        <v>3746</v>
      </c>
      <c r="BO24" s="394">
        <v>968</v>
      </c>
      <c r="BP24" s="394">
        <v>945</v>
      </c>
      <c r="BQ24" s="394">
        <f t="shared" si="25"/>
        <v>1913</v>
      </c>
      <c r="BR24" s="399"/>
      <c r="BS24" s="399"/>
      <c r="BT24" s="399"/>
      <c r="BU24" s="396">
        <f t="shared" si="183"/>
        <v>968</v>
      </c>
      <c r="BV24" s="101">
        <f t="shared" si="184"/>
        <v>945</v>
      </c>
      <c r="BW24" s="101">
        <f t="shared" si="185"/>
        <v>1913</v>
      </c>
      <c r="BX24" s="397">
        <f t="shared" si="186"/>
        <v>0.52665941240478786</v>
      </c>
      <c r="BY24" s="397">
        <f t="shared" si="187"/>
        <v>0.49528301886792453</v>
      </c>
      <c r="BZ24" s="397">
        <f t="shared" si="188"/>
        <v>0.51067805659369991</v>
      </c>
      <c r="CA24" s="101">
        <f t="shared" si="108"/>
        <v>8624</v>
      </c>
      <c r="CB24" s="101">
        <f t="shared" si="109"/>
        <v>9604</v>
      </c>
      <c r="CC24" s="101">
        <f t="shared" si="110"/>
        <v>18228</v>
      </c>
      <c r="CD24" s="101">
        <f t="shared" si="111"/>
        <v>6302</v>
      </c>
      <c r="CE24" s="101">
        <f t="shared" si="112"/>
        <v>6654</v>
      </c>
      <c r="CF24" s="101">
        <f t="shared" si="113"/>
        <v>12956</v>
      </c>
      <c r="CG24" s="399"/>
      <c r="CH24" s="399"/>
      <c r="CI24" s="399"/>
      <c r="CJ24" s="101">
        <f t="shared" si="117"/>
        <v>6302</v>
      </c>
      <c r="CK24" s="101">
        <f t="shared" si="118"/>
        <v>6654</v>
      </c>
      <c r="CL24" s="101">
        <f t="shared" si="119"/>
        <v>12956</v>
      </c>
      <c r="CM24" s="397">
        <f t="shared" si="120"/>
        <v>0.73075139146567714</v>
      </c>
      <c r="CN24" s="397">
        <f t="shared" si="121"/>
        <v>0.69283631820074965</v>
      </c>
      <c r="CO24" s="397">
        <f t="shared" si="122"/>
        <v>0.7107746324336186</v>
      </c>
      <c r="CP24" s="394">
        <v>16559</v>
      </c>
      <c r="CQ24" s="394">
        <v>21495</v>
      </c>
      <c r="CR24" s="394">
        <f t="shared" si="189"/>
        <v>38054</v>
      </c>
      <c r="CS24" s="394">
        <v>13381</v>
      </c>
      <c r="CT24" s="394">
        <v>17135</v>
      </c>
      <c r="CU24" s="394">
        <f t="shared" si="35"/>
        <v>30516</v>
      </c>
      <c r="CV24" s="399"/>
      <c r="CW24" s="399"/>
      <c r="CX24" s="399"/>
      <c r="CY24" s="396">
        <f t="shared" si="190"/>
        <v>13381</v>
      </c>
      <c r="CZ24" s="101">
        <f t="shared" si="191"/>
        <v>17135</v>
      </c>
      <c r="DA24" s="101">
        <f t="shared" si="192"/>
        <v>30516</v>
      </c>
      <c r="DB24" s="397">
        <f t="shared" si="193"/>
        <v>0.80808019807959419</v>
      </c>
      <c r="DC24" s="397">
        <f t="shared" si="194"/>
        <v>0.79716213072807629</v>
      </c>
      <c r="DD24" s="397">
        <f t="shared" si="195"/>
        <v>0.80191307089924846</v>
      </c>
      <c r="DE24" s="394">
        <v>4549</v>
      </c>
      <c r="DF24" s="394">
        <v>5200</v>
      </c>
      <c r="DG24" s="394">
        <f t="shared" si="43"/>
        <v>9749</v>
      </c>
      <c r="DH24" s="394">
        <v>2398</v>
      </c>
      <c r="DI24" s="394">
        <v>2623</v>
      </c>
      <c r="DJ24" s="394">
        <f t="shared" si="44"/>
        <v>5021</v>
      </c>
      <c r="DK24" s="399"/>
      <c r="DL24" s="399"/>
      <c r="DM24" s="399"/>
      <c r="DN24" s="396">
        <f t="shared" ref="DN24:DN25" si="550">DH24+DK24</f>
        <v>2398</v>
      </c>
      <c r="DO24" s="101">
        <f t="shared" ref="DO24:DO25" si="551">DI24+DL24</f>
        <v>2623</v>
      </c>
      <c r="DP24" s="101">
        <f t="shared" si="198"/>
        <v>5021</v>
      </c>
      <c r="DQ24" s="397">
        <f t="shared" si="199"/>
        <v>0.52714882391734452</v>
      </c>
      <c r="DR24" s="397">
        <f t="shared" si="200"/>
        <v>0.50442307692307697</v>
      </c>
      <c r="DS24" s="397">
        <f t="shared" si="201"/>
        <v>0.51502718227510513</v>
      </c>
      <c r="DT24" s="101">
        <f t="shared" ref="DT24" si="552">CP24+DE24</f>
        <v>21108</v>
      </c>
      <c r="DU24" s="101">
        <f t="shared" ref="DU24" si="553">CQ24+DF24</f>
        <v>26695</v>
      </c>
      <c r="DV24" s="101">
        <f t="shared" ref="DV24:DV48" si="554">CR24+DG24</f>
        <v>47803</v>
      </c>
      <c r="DW24" s="101">
        <f t="shared" ref="DW24" si="555">CS24+DH24</f>
        <v>15779</v>
      </c>
      <c r="DX24" s="101">
        <f t="shared" ref="DX24" si="556">CT24+DI24</f>
        <v>19758</v>
      </c>
      <c r="DY24" s="101">
        <f t="shared" ref="DY24:DY48" si="557">CU24+DJ24</f>
        <v>35537</v>
      </c>
      <c r="DZ24" s="399"/>
      <c r="EA24" s="399"/>
      <c r="EB24" s="399"/>
      <c r="EC24" s="101">
        <f t="shared" ref="EC24" si="558">CY24+DN24</f>
        <v>15779</v>
      </c>
      <c r="ED24" s="101">
        <f t="shared" ref="ED24" si="559">CZ24+DO24</f>
        <v>19758</v>
      </c>
      <c r="EE24" s="101">
        <f t="shared" si="403"/>
        <v>35537</v>
      </c>
      <c r="EF24" s="397">
        <f t="shared" si="404"/>
        <v>0.74753647906007203</v>
      </c>
      <c r="EG24" s="397">
        <f t="shared" si="405"/>
        <v>0.74013860273459453</v>
      </c>
      <c r="EH24" s="397">
        <f t="shared" si="406"/>
        <v>0.74340522561345523</v>
      </c>
      <c r="EI24" s="101">
        <f t="shared" si="53"/>
        <v>136682</v>
      </c>
      <c r="EJ24" s="101">
        <f t="shared" si="54"/>
        <v>151803</v>
      </c>
      <c r="EK24" s="101">
        <f t="shared" si="55"/>
        <v>288485</v>
      </c>
      <c r="EL24" s="101">
        <v>70869</v>
      </c>
      <c r="EM24" s="101">
        <v>77081</v>
      </c>
      <c r="EN24" s="101">
        <f t="shared" ref="EN24:EN25" si="560">EL24+EM24</f>
        <v>147950</v>
      </c>
      <c r="EO24" s="413">
        <f t="shared" ref="EO24:EO25" si="561">+EL24*100/EI24</f>
        <v>51.849548587231673</v>
      </c>
      <c r="EP24" s="413">
        <f t="shared" ref="EP24:EP25" si="562">+EM24*100/EJ24</f>
        <v>50.776993867051374</v>
      </c>
      <c r="EQ24" s="413">
        <f t="shared" ref="EQ24:EQ25" si="563">+EN24*100/EK24</f>
        <v>51.285162140145935</v>
      </c>
      <c r="ER24" s="101">
        <f t="shared" ref="ER24:ER49" si="564">+CJ24</f>
        <v>6302</v>
      </c>
      <c r="ES24" s="101">
        <f t="shared" ref="ES24:ES49" si="565">+CK24</f>
        <v>6654</v>
      </c>
      <c r="ET24" s="101">
        <f t="shared" ref="ET24:ET49" si="566">+CL24</f>
        <v>12956</v>
      </c>
      <c r="EU24" s="101">
        <v>3011</v>
      </c>
      <c r="EV24" s="101">
        <v>2794</v>
      </c>
      <c r="EW24" s="101">
        <f t="shared" ref="EW24:EW25" si="567">EU24+EV24</f>
        <v>5805</v>
      </c>
      <c r="EX24" s="413">
        <f t="shared" ref="EX24:EX25" si="568">+EU24*100/ER24</f>
        <v>47.778483021263092</v>
      </c>
      <c r="EY24" s="413">
        <f t="shared" ref="EY24:EY25" si="569">+EV24*100/ES24</f>
        <v>41.989780583107908</v>
      </c>
      <c r="EZ24" s="413">
        <f t="shared" ref="EZ24:EZ25" si="570">+EW24*100/ET24</f>
        <v>44.805495523309666</v>
      </c>
      <c r="FA24" s="101">
        <f t="shared" ref="FA24:FA37" si="571">+EC24</f>
        <v>15779</v>
      </c>
      <c r="FB24" s="101">
        <f t="shared" ref="FB24:FB37" si="572">+ED24</f>
        <v>19758</v>
      </c>
      <c r="FC24" s="101">
        <f t="shared" ref="FC24:FC37" si="573">+EE24</f>
        <v>35537</v>
      </c>
      <c r="FD24" s="101">
        <v>8525</v>
      </c>
      <c r="FE24" s="101">
        <v>10790</v>
      </c>
      <c r="FF24" s="101">
        <f t="shared" ref="FF24:FF25" si="574">FD24+FE24</f>
        <v>19315</v>
      </c>
      <c r="FG24" s="413">
        <f t="shared" ref="FG24:FG25" si="575">+FD24*100/FA24</f>
        <v>54.027504911591357</v>
      </c>
      <c r="FH24" s="413">
        <f t="shared" ref="FH24:FH25" si="576">+FE24*100/FB24</f>
        <v>54.610790565846749</v>
      </c>
      <c r="FI24" s="413">
        <f t="shared" ref="FI24:FI25" si="577">+FF24*100/FC24</f>
        <v>54.351802346849759</v>
      </c>
    </row>
    <row r="25" spans="1:171" ht="28.5">
      <c r="A25" s="393">
        <v>18</v>
      </c>
      <c r="B25" s="220" t="s">
        <v>384</v>
      </c>
      <c r="C25" s="221" t="s">
        <v>153</v>
      </c>
      <c r="D25" s="394">
        <v>391836</v>
      </c>
      <c r="E25" s="394">
        <v>374193</v>
      </c>
      <c r="F25" s="394">
        <f t="shared" si="421"/>
        <v>766029</v>
      </c>
      <c r="G25" s="394">
        <v>269184</v>
      </c>
      <c r="H25" s="394">
        <v>294283</v>
      </c>
      <c r="I25" s="394">
        <f t="shared" si="422"/>
        <v>563467</v>
      </c>
      <c r="J25" s="394">
        <v>855</v>
      </c>
      <c r="K25" s="394">
        <v>890</v>
      </c>
      <c r="L25" s="394">
        <f>J25+K25</f>
        <v>1745</v>
      </c>
      <c r="M25" s="396">
        <f t="shared" si="165"/>
        <v>270039</v>
      </c>
      <c r="N25" s="101">
        <f t="shared" si="166"/>
        <v>295173</v>
      </c>
      <c r="O25" s="101">
        <f t="shared" si="167"/>
        <v>565212</v>
      </c>
      <c r="P25" s="397">
        <f t="shared" si="168"/>
        <v>0.68916332343123143</v>
      </c>
      <c r="Q25" s="397">
        <f t="shared" si="169"/>
        <v>0.78882555258917186</v>
      </c>
      <c r="R25" s="397">
        <f t="shared" si="170"/>
        <v>0.73784673948375323</v>
      </c>
      <c r="S25" s="394">
        <v>44371</v>
      </c>
      <c r="T25" s="394">
        <v>18718</v>
      </c>
      <c r="U25" s="394">
        <f t="shared" si="4"/>
        <v>63089</v>
      </c>
      <c r="V25" s="394">
        <v>16322</v>
      </c>
      <c r="W25" s="394">
        <v>7730</v>
      </c>
      <c r="X25" s="394">
        <f t="shared" si="5"/>
        <v>24052</v>
      </c>
      <c r="Y25" s="394">
        <v>7432</v>
      </c>
      <c r="Z25" s="394">
        <v>2746</v>
      </c>
      <c r="AA25" s="394">
        <f t="shared" si="6"/>
        <v>10178</v>
      </c>
      <c r="AB25" s="396">
        <f t="shared" si="171"/>
        <v>23754</v>
      </c>
      <c r="AC25" s="101">
        <f t="shared" si="172"/>
        <v>10476</v>
      </c>
      <c r="AD25" s="101">
        <f t="shared" si="173"/>
        <v>34230</v>
      </c>
      <c r="AE25" s="397">
        <f t="shared" si="174"/>
        <v>0.5353496653219445</v>
      </c>
      <c r="AF25" s="397">
        <f t="shared" si="175"/>
        <v>0.55967517897211239</v>
      </c>
      <c r="AG25" s="397">
        <f t="shared" si="176"/>
        <v>0.54256685000554772</v>
      </c>
      <c r="AH25" s="101">
        <f t="shared" si="80"/>
        <v>436207</v>
      </c>
      <c r="AI25" s="101">
        <f t="shared" si="81"/>
        <v>392911</v>
      </c>
      <c r="AJ25" s="101">
        <f t="shared" si="82"/>
        <v>829118</v>
      </c>
      <c r="AK25" s="101">
        <f t="shared" si="83"/>
        <v>285506</v>
      </c>
      <c r="AL25" s="101">
        <f t="shared" si="84"/>
        <v>302013</v>
      </c>
      <c r="AM25" s="101">
        <f t="shared" si="85"/>
        <v>587519</v>
      </c>
      <c r="AN25" s="101">
        <f t="shared" si="86"/>
        <v>8287</v>
      </c>
      <c r="AO25" s="101">
        <f t="shared" si="87"/>
        <v>3636</v>
      </c>
      <c r="AP25" s="101">
        <f t="shared" si="88"/>
        <v>11923</v>
      </c>
      <c r="AQ25" s="101">
        <f t="shared" si="89"/>
        <v>293793</v>
      </c>
      <c r="AR25" s="101">
        <f t="shared" si="90"/>
        <v>305649</v>
      </c>
      <c r="AS25" s="101">
        <f t="shared" si="91"/>
        <v>599442</v>
      </c>
      <c r="AT25" s="397">
        <f t="shared" si="92"/>
        <v>0.67351738967967045</v>
      </c>
      <c r="AU25" s="397">
        <f t="shared" si="93"/>
        <v>0.77790899211271769</v>
      </c>
      <c r="AV25" s="397">
        <f t="shared" si="94"/>
        <v>0.72298756027489453</v>
      </c>
      <c r="AW25" s="394">
        <v>76531</v>
      </c>
      <c r="AX25" s="394">
        <v>71382</v>
      </c>
      <c r="AY25" s="394">
        <f t="shared" si="15"/>
        <v>147913</v>
      </c>
      <c r="AZ25" s="394">
        <v>49960</v>
      </c>
      <c r="BA25" s="394">
        <v>52214</v>
      </c>
      <c r="BB25" s="394">
        <f t="shared" si="16"/>
        <v>102174</v>
      </c>
      <c r="BC25" s="394">
        <v>147</v>
      </c>
      <c r="BD25" s="394">
        <v>169</v>
      </c>
      <c r="BE25" s="394">
        <f t="shared" ref="BE25:BE30" si="578">BC25+BD25</f>
        <v>316</v>
      </c>
      <c r="BF25" s="396">
        <f t="shared" si="177"/>
        <v>50107</v>
      </c>
      <c r="BG25" s="101">
        <f t="shared" si="178"/>
        <v>52383</v>
      </c>
      <c r="BH25" s="101">
        <f t="shared" si="179"/>
        <v>102490</v>
      </c>
      <c r="BI25" s="397">
        <f t="shared" si="180"/>
        <v>0.65472814937737644</v>
      </c>
      <c r="BJ25" s="397">
        <f t="shared" si="181"/>
        <v>0.73384046398251657</v>
      </c>
      <c r="BK25" s="397">
        <f t="shared" si="182"/>
        <v>0.69290731713912912</v>
      </c>
      <c r="BL25" s="394">
        <v>11047</v>
      </c>
      <c r="BM25" s="394">
        <v>5439</v>
      </c>
      <c r="BN25" s="394">
        <f t="shared" si="24"/>
        <v>16486</v>
      </c>
      <c r="BO25" s="394">
        <v>3808</v>
      </c>
      <c r="BP25" s="394">
        <v>2064</v>
      </c>
      <c r="BQ25" s="394">
        <f t="shared" si="25"/>
        <v>5872</v>
      </c>
      <c r="BR25" s="394">
        <v>1815</v>
      </c>
      <c r="BS25" s="394">
        <v>752</v>
      </c>
      <c r="BT25" s="394">
        <f t="shared" si="26"/>
        <v>2567</v>
      </c>
      <c r="BU25" s="396">
        <f t="shared" si="183"/>
        <v>5623</v>
      </c>
      <c r="BV25" s="101">
        <f t="shared" si="184"/>
        <v>2816</v>
      </c>
      <c r="BW25" s="101">
        <f t="shared" si="185"/>
        <v>8439</v>
      </c>
      <c r="BX25" s="397">
        <f t="shared" si="186"/>
        <v>0.50900697021815877</v>
      </c>
      <c r="BY25" s="397">
        <f t="shared" si="187"/>
        <v>0.51774223202794634</v>
      </c>
      <c r="BZ25" s="397">
        <f t="shared" si="188"/>
        <v>0.51188887540943828</v>
      </c>
      <c r="CA25" s="101">
        <f t="shared" si="108"/>
        <v>87578</v>
      </c>
      <c r="CB25" s="101">
        <f t="shared" si="109"/>
        <v>76821</v>
      </c>
      <c r="CC25" s="101">
        <f t="shared" si="110"/>
        <v>164399</v>
      </c>
      <c r="CD25" s="101">
        <f t="shared" si="111"/>
        <v>53768</v>
      </c>
      <c r="CE25" s="101">
        <f t="shared" si="112"/>
        <v>54278</v>
      </c>
      <c r="CF25" s="101">
        <f t="shared" si="113"/>
        <v>108046</v>
      </c>
      <c r="CG25" s="101">
        <f t="shared" si="114"/>
        <v>1962</v>
      </c>
      <c r="CH25" s="101">
        <f t="shared" si="115"/>
        <v>921</v>
      </c>
      <c r="CI25" s="101">
        <f t="shared" si="116"/>
        <v>2883</v>
      </c>
      <c r="CJ25" s="101">
        <f t="shared" si="117"/>
        <v>55730</v>
      </c>
      <c r="CK25" s="101">
        <f t="shared" si="118"/>
        <v>55199</v>
      </c>
      <c r="CL25" s="101">
        <f t="shared" si="119"/>
        <v>110929</v>
      </c>
      <c r="CM25" s="397">
        <f t="shared" si="120"/>
        <v>0.63634702779236796</v>
      </c>
      <c r="CN25" s="397">
        <f t="shared" si="121"/>
        <v>0.71854050324780983</v>
      </c>
      <c r="CO25" s="397">
        <f t="shared" si="122"/>
        <v>0.67475471261990649</v>
      </c>
      <c r="CP25" s="394">
        <v>28224</v>
      </c>
      <c r="CQ25" s="394">
        <v>26834</v>
      </c>
      <c r="CR25" s="394">
        <f t="shared" si="189"/>
        <v>55058</v>
      </c>
      <c r="CS25" s="394">
        <v>18814</v>
      </c>
      <c r="CT25" s="394">
        <v>20451</v>
      </c>
      <c r="CU25" s="394">
        <f t="shared" si="35"/>
        <v>39265</v>
      </c>
      <c r="CV25" s="394">
        <v>43</v>
      </c>
      <c r="CW25" s="394">
        <v>61</v>
      </c>
      <c r="CX25" s="394">
        <f t="shared" si="392"/>
        <v>104</v>
      </c>
      <c r="CY25" s="396">
        <f t="shared" si="190"/>
        <v>18857</v>
      </c>
      <c r="CZ25" s="101">
        <f t="shared" si="191"/>
        <v>20512</v>
      </c>
      <c r="DA25" s="101">
        <f t="shared" si="192"/>
        <v>39369</v>
      </c>
      <c r="DB25" s="397">
        <f t="shared" si="193"/>
        <v>0.6681193310657596</v>
      </c>
      <c r="DC25" s="397">
        <f t="shared" si="194"/>
        <v>0.76440336886040094</v>
      </c>
      <c r="DD25" s="397">
        <f t="shared" si="195"/>
        <v>0.71504595154201023</v>
      </c>
      <c r="DE25" s="394">
        <v>3572</v>
      </c>
      <c r="DF25" s="394">
        <v>1590</v>
      </c>
      <c r="DG25" s="394">
        <f t="shared" si="43"/>
        <v>5162</v>
      </c>
      <c r="DH25" s="394">
        <v>1392</v>
      </c>
      <c r="DI25" s="394">
        <v>632</v>
      </c>
      <c r="DJ25" s="394">
        <f t="shared" si="44"/>
        <v>2024</v>
      </c>
      <c r="DK25" s="394">
        <v>609</v>
      </c>
      <c r="DL25" s="394">
        <v>251</v>
      </c>
      <c r="DM25" s="394">
        <f t="shared" si="45"/>
        <v>860</v>
      </c>
      <c r="DN25" s="396">
        <f t="shared" si="550"/>
        <v>2001</v>
      </c>
      <c r="DO25" s="101">
        <f t="shared" si="551"/>
        <v>883</v>
      </c>
      <c r="DP25" s="101">
        <f t="shared" si="198"/>
        <v>2884</v>
      </c>
      <c r="DQ25" s="397">
        <f t="shared" si="199"/>
        <v>0.56019036954087342</v>
      </c>
      <c r="DR25" s="397">
        <f t="shared" si="200"/>
        <v>0.55534591194968552</v>
      </c>
      <c r="DS25" s="397">
        <f t="shared" si="201"/>
        <v>0.55869817900038743</v>
      </c>
      <c r="DT25" s="101">
        <f t="shared" ref="DT25:DT48" si="579">CP25+DE25</f>
        <v>31796</v>
      </c>
      <c r="DU25" s="101">
        <f t="shared" ref="DU25:DU48" si="580">CQ25+DF25</f>
        <v>28424</v>
      </c>
      <c r="DV25" s="101">
        <f t="shared" ref="DV25:DV46" si="581">CR25+DG25</f>
        <v>60220</v>
      </c>
      <c r="DW25" s="101">
        <f t="shared" ref="DW25:DW48" si="582">CS25+DH25</f>
        <v>20206</v>
      </c>
      <c r="DX25" s="101">
        <f t="shared" ref="DX25:DX48" si="583">CT25+DI25</f>
        <v>21083</v>
      </c>
      <c r="DY25" s="101">
        <f t="shared" ref="DY25:DY46" si="584">CU25+DJ25</f>
        <v>41289</v>
      </c>
      <c r="DZ25" s="101">
        <f t="shared" ref="DZ25:DZ35" si="585">CV25+DK25</f>
        <v>652</v>
      </c>
      <c r="EA25" s="101">
        <f t="shared" ref="EA25:EA35" si="586">CW25+DL25</f>
        <v>312</v>
      </c>
      <c r="EB25" s="101">
        <f t="shared" ref="EB25:EB35" si="587">CX25+DM25</f>
        <v>964</v>
      </c>
      <c r="EC25" s="101">
        <f t="shared" ref="EC25:EC46" si="588">CY25+DN25</f>
        <v>20858</v>
      </c>
      <c r="ED25" s="101">
        <f t="shared" ref="ED25:ED46" si="589">CZ25+DO25</f>
        <v>21395</v>
      </c>
      <c r="EE25" s="101">
        <f t="shared" ref="EE25:EE46" si="590">DA25+DP25</f>
        <v>42253</v>
      </c>
      <c r="EF25" s="397">
        <f t="shared" si="404"/>
        <v>0.65599446471254241</v>
      </c>
      <c r="EG25" s="397">
        <f t="shared" si="405"/>
        <v>0.75270897832817341</v>
      </c>
      <c r="EH25" s="397">
        <f t="shared" si="406"/>
        <v>0.70164397210229157</v>
      </c>
      <c r="EI25" s="101">
        <f t="shared" si="53"/>
        <v>293793</v>
      </c>
      <c r="EJ25" s="101">
        <f t="shared" si="54"/>
        <v>305649</v>
      </c>
      <c r="EK25" s="101">
        <f t="shared" si="55"/>
        <v>599442</v>
      </c>
      <c r="EL25" s="101">
        <v>201048</v>
      </c>
      <c r="EM25" s="101">
        <v>247707</v>
      </c>
      <c r="EN25" s="101">
        <f t="shared" si="560"/>
        <v>448755</v>
      </c>
      <c r="EO25" s="413">
        <f t="shared" si="561"/>
        <v>68.431855081639114</v>
      </c>
      <c r="EP25" s="413">
        <f t="shared" si="562"/>
        <v>81.042961043549951</v>
      </c>
      <c r="EQ25" s="413">
        <f t="shared" si="563"/>
        <v>74.862121773249115</v>
      </c>
      <c r="ER25" s="101">
        <f t="shared" si="564"/>
        <v>55730</v>
      </c>
      <c r="ES25" s="101">
        <f t="shared" si="565"/>
        <v>55199</v>
      </c>
      <c r="ET25" s="101">
        <f t="shared" si="566"/>
        <v>110929</v>
      </c>
      <c r="EU25" s="101">
        <v>35469</v>
      </c>
      <c r="EV25" s="101">
        <v>41261</v>
      </c>
      <c r="EW25" s="101">
        <f t="shared" si="567"/>
        <v>76730</v>
      </c>
      <c r="EX25" s="413">
        <f t="shared" si="568"/>
        <v>63.644356719899513</v>
      </c>
      <c r="EY25" s="413">
        <f t="shared" si="569"/>
        <v>74.749542564176892</v>
      </c>
      <c r="EZ25" s="413">
        <f t="shared" si="570"/>
        <v>69.170370236818144</v>
      </c>
      <c r="FA25" s="101">
        <f t="shared" si="571"/>
        <v>20858</v>
      </c>
      <c r="FB25" s="101">
        <f t="shared" si="572"/>
        <v>21395</v>
      </c>
      <c r="FC25" s="101">
        <f t="shared" si="573"/>
        <v>42253</v>
      </c>
      <c r="FD25" s="101">
        <v>13441</v>
      </c>
      <c r="FE25" s="101">
        <v>16536</v>
      </c>
      <c r="FF25" s="101">
        <f t="shared" si="574"/>
        <v>29977</v>
      </c>
      <c r="FG25" s="413">
        <f t="shared" si="575"/>
        <v>64.440502445104997</v>
      </c>
      <c r="FH25" s="413">
        <f t="shared" si="576"/>
        <v>77.289086235101664</v>
      </c>
      <c r="FI25" s="413">
        <f t="shared" si="577"/>
        <v>70.946441672780637</v>
      </c>
      <c r="FJ25" s="381"/>
    </row>
    <row r="26" spans="1:171" ht="31.5" customHeight="1">
      <c r="A26" s="393">
        <v>19</v>
      </c>
      <c r="B26" s="220" t="s">
        <v>385</v>
      </c>
      <c r="C26" s="221" t="s">
        <v>286</v>
      </c>
      <c r="D26" s="400">
        <v>215564</v>
      </c>
      <c r="E26" s="400">
        <v>206083</v>
      </c>
      <c r="F26" s="400">
        <f t="shared" ref="F26:F33" si="591">D26+E26</f>
        <v>421647</v>
      </c>
      <c r="G26" s="400">
        <v>212446</v>
      </c>
      <c r="H26" s="400">
        <v>204896</v>
      </c>
      <c r="I26" s="400">
        <f t="shared" ref="I26:I39" si="592">G26+H26</f>
        <v>417342</v>
      </c>
      <c r="J26" s="400">
        <v>2285</v>
      </c>
      <c r="K26" s="400">
        <v>938</v>
      </c>
      <c r="L26" s="394">
        <f>J26+K26</f>
        <v>3223</v>
      </c>
      <c r="M26" s="396">
        <f t="shared" si="165"/>
        <v>214731</v>
      </c>
      <c r="N26" s="101">
        <f t="shared" si="166"/>
        <v>205834</v>
      </c>
      <c r="O26" s="101">
        <f t="shared" si="167"/>
        <v>420565</v>
      </c>
      <c r="P26" s="397">
        <f t="shared" si="168"/>
        <v>0.99613571839453707</v>
      </c>
      <c r="Q26" s="397">
        <f t="shared" si="169"/>
        <v>0.99879174895551792</v>
      </c>
      <c r="R26" s="397">
        <f t="shared" si="170"/>
        <v>0.99743387240985948</v>
      </c>
      <c r="S26" s="419">
        <v>1193</v>
      </c>
      <c r="T26" s="419">
        <v>468</v>
      </c>
      <c r="U26" s="394">
        <f t="shared" si="4"/>
        <v>1661</v>
      </c>
      <c r="V26" s="419">
        <v>1008</v>
      </c>
      <c r="W26" s="419">
        <v>405</v>
      </c>
      <c r="X26" s="394">
        <f t="shared" si="5"/>
        <v>1413</v>
      </c>
      <c r="Y26" s="398"/>
      <c r="Z26" s="398"/>
      <c r="AA26" s="398"/>
      <c r="AB26" s="396">
        <f t="shared" si="171"/>
        <v>1008</v>
      </c>
      <c r="AC26" s="101">
        <f t="shared" si="172"/>
        <v>405</v>
      </c>
      <c r="AD26" s="101">
        <f t="shared" si="173"/>
        <v>1413</v>
      </c>
      <c r="AE26" s="397">
        <f t="shared" ref="AE26" si="593">AB26/S26</f>
        <v>0.84492875104777876</v>
      </c>
      <c r="AF26" s="397">
        <f t="shared" ref="AF26" si="594">AC26/T26</f>
        <v>0.86538461538461542</v>
      </c>
      <c r="AG26" s="397">
        <f t="shared" ref="AG26" si="595">AD26/U26</f>
        <v>0.85069235400361232</v>
      </c>
      <c r="AH26" s="101">
        <f t="shared" si="80"/>
        <v>216757</v>
      </c>
      <c r="AI26" s="101">
        <f t="shared" si="81"/>
        <v>206551</v>
      </c>
      <c r="AJ26" s="101">
        <f t="shared" si="82"/>
        <v>423308</v>
      </c>
      <c r="AK26" s="101">
        <f t="shared" si="83"/>
        <v>213454</v>
      </c>
      <c r="AL26" s="101">
        <f t="shared" si="84"/>
        <v>205301</v>
      </c>
      <c r="AM26" s="101">
        <f t="shared" si="85"/>
        <v>418755</v>
      </c>
      <c r="AN26" s="101">
        <f t="shared" si="86"/>
        <v>2285</v>
      </c>
      <c r="AO26" s="101">
        <f t="shared" si="87"/>
        <v>938</v>
      </c>
      <c r="AP26" s="101">
        <f t="shared" si="88"/>
        <v>3223</v>
      </c>
      <c r="AQ26" s="101">
        <f t="shared" si="89"/>
        <v>215739</v>
      </c>
      <c r="AR26" s="101">
        <f t="shared" si="90"/>
        <v>206239</v>
      </c>
      <c r="AS26" s="101">
        <f t="shared" si="91"/>
        <v>421978</v>
      </c>
      <c r="AT26" s="397">
        <f t="shared" si="92"/>
        <v>0.99530349654221084</v>
      </c>
      <c r="AU26" s="397">
        <f t="shared" si="93"/>
        <v>0.9984894771751287</v>
      </c>
      <c r="AV26" s="397">
        <f t="shared" si="94"/>
        <v>0.99685807969610785</v>
      </c>
      <c r="AW26" s="394">
        <v>20761</v>
      </c>
      <c r="AX26" s="394">
        <v>19999</v>
      </c>
      <c r="AY26" s="394">
        <f t="shared" si="15"/>
        <v>40760</v>
      </c>
      <c r="AZ26" s="394">
        <v>20150</v>
      </c>
      <c r="BA26" s="394">
        <v>19784</v>
      </c>
      <c r="BB26" s="394">
        <f t="shared" si="16"/>
        <v>39934</v>
      </c>
      <c r="BC26" s="394">
        <v>432</v>
      </c>
      <c r="BD26" s="394">
        <v>174</v>
      </c>
      <c r="BE26" s="394">
        <f t="shared" si="578"/>
        <v>606</v>
      </c>
      <c r="BF26" s="396">
        <f t="shared" si="177"/>
        <v>20582</v>
      </c>
      <c r="BG26" s="101">
        <f t="shared" si="178"/>
        <v>19958</v>
      </c>
      <c r="BH26" s="101">
        <f t="shared" si="179"/>
        <v>40540</v>
      </c>
      <c r="BI26" s="397">
        <f t="shared" si="180"/>
        <v>0.99137806464043154</v>
      </c>
      <c r="BJ26" s="397">
        <f t="shared" si="181"/>
        <v>0.99794989749487473</v>
      </c>
      <c r="BK26" s="397">
        <f t="shared" si="182"/>
        <v>0.99460255152109911</v>
      </c>
      <c r="BL26" s="394">
        <v>142</v>
      </c>
      <c r="BM26" s="394">
        <v>52</v>
      </c>
      <c r="BN26" s="394">
        <f t="shared" si="24"/>
        <v>194</v>
      </c>
      <c r="BO26" s="394">
        <v>118</v>
      </c>
      <c r="BP26" s="394">
        <v>50</v>
      </c>
      <c r="BQ26" s="394">
        <f t="shared" si="25"/>
        <v>168</v>
      </c>
      <c r="BR26" s="399"/>
      <c r="BS26" s="399"/>
      <c r="BT26" s="399"/>
      <c r="BU26" s="396">
        <f t="shared" si="183"/>
        <v>118</v>
      </c>
      <c r="BV26" s="101">
        <f t="shared" si="184"/>
        <v>50</v>
      </c>
      <c r="BW26" s="101">
        <f t="shared" si="185"/>
        <v>168</v>
      </c>
      <c r="BX26" s="397">
        <f t="shared" si="186"/>
        <v>0.83098591549295775</v>
      </c>
      <c r="BY26" s="397">
        <f t="shared" si="187"/>
        <v>0.96153846153846156</v>
      </c>
      <c r="BZ26" s="397">
        <f t="shared" si="188"/>
        <v>0.865979381443299</v>
      </c>
      <c r="CA26" s="101">
        <f t="shared" si="108"/>
        <v>20903</v>
      </c>
      <c r="CB26" s="101">
        <f t="shared" si="109"/>
        <v>20051</v>
      </c>
      <c r="CC26" s="101">
        <f t="shared" si="110"/>
        <v>40954</v>
      </c>
      <c r="CD26" s="101">
        <f t="shared" si="111"/>
        <v>20268</v>
      </c>
      <c r="CE26" s="101">
        <f t="shared" si="112"/>
        <v>19834</v>
      </c>
      <c r="CF26" s="101">
        <f t="shared" si="113"/>
        <v>40102</v>
      </c>
      <c r="CG26" s="101">
        <f t="shared" si="114"/>
        <v>432</v>
      </c>
      <c r="CH26" s="101">
        <f t="shared" si="115"/>
        <v>174</v>
      </c>
      <c r="CI26" s="101">
        <f t="shared" si="116"/>
        <v>606</v>
      </c>
      <c r="CJ26" s="101">
        <f t="shared" si="117"/>
        <v>20700</v>
      </c>
      <c r="CK26" s="101">
        <f t="shared" si="118"/>
        <v>20008</v>
      </c>
      <c r="CL26" s="101">
        <f t="shared" si="119"/>
        <v>40708</v>
      </c>
      <c r="CM26" s="397">
        <f t="shared" si="120"/>
        <v>0.9902884753384682</v>
      </c>
      <c r="CN26" s="397">
        <f t="shared" si="121"/>
        <v>0.99785546855518426</v>
      </c>
      <c r="CO26" s="397">
        <f t="shared" si="122"/>
        <v>0.99399326073155247</v>
      </c>
      <c r="CP26" s="394">
        <v>3938</v>
      </c>
      <c r="CQ26" s="394">
        <v>3935</v>
      </c>
      <c r="CR26" s="394">
        <f t="shared" si="189"/>
        <v>7873</v>
      </c>
      <c r="CS26" s="394">
        <v>3556</v>
      </c>
      <c r="CT26" s="394">
        <v>3688</v>
      </c>
      <c r="CU26" s="394">
        <f t="shared" si="35"/>
        <v>7244</v>
      </c>
      <c r="CV26" s="394">
        <v>182</v>
      </c>
      <c r="CW26" s="394">
        <v>137</v>
      </c>
      <c r="CX26" s="394">
        <f t="shared" si="392"/>
        <v>319</v>
      </c>
      <c r="CY26" s="396">
        <f t="shared" si="190"/>
        <v>3738</v>
      </c>
      <c r="CZ26" s="101">
        <f t="shared" si="191"/>
        <v>3825</v>
      </c>
      <c r="DA26" s="101">
        <f t="shared" si="192"/>
        <v>7563</v>
      </c>
      <c r="DB26" s="397">
        <f t="shared" si="193"/>
        <v>0.94921279837480954</v>
      </c>
      <c r="DC26" s="397">
        <f t="shared" si="194"/>
        <v>0.97204574332909788</v>
      </c>
      <c r="DD26" s="397">
        <f t="shared" si="195"/>
        <v>0.96062492061475935</v>
      </c>
      <c r="DE26" s="394">
        <v>35</v>
      </c>
      <c r="DF26" s="394">
        <v>24</v>
      </c>
      <c r="DG26" s="394">
        <f t="shared" si="43"/>
        <v>59</v>
      </c>
      <c r="DH26" s="394">
        <v>25</v>
      </c>
      <c r="DI26" s="394">
        <v>17</v>
      </c>
      <c r="DJ26" s="394">
        <f t="shared" si="44"/>
        <v>42</v>
      </c>
      <c r="DK26" s="399"/>
      <c r="DL26" s="399"/>
      <c r="DM26" s="399"/>
      <c r="DN26" s="396">
        <f t="shared" ref="DN26" si="596">DH26+DK26</f>
        <v>25</v>
      </c>
      <c r="DO26" s="101">
        <f t="shared" ref="DO26" si="597">DI26+DL26</f>
        <v>17</v>
      </c>
      <c r="DP26" s="101">
        <f t="shared" si="198"/>
        <v>42</v>
      </c>
      <c r="DQ26" s="397">
        <f t="shared" si="199"/>
        <v>0.7142857142857143</v>
      </c>
      <c r="DR26" s="397">
        <f t="shared" si="200"/>
        <v>0.70833333333333337</v>
      </c>
      <c r="DS26" s="397">
        <f t="shared" si="201"/>
        <v>0.71186440677966101</v>
      </c>
      <c r="DT26" s="101">
        <f t="shared" si="579"/>
        <v>3973</v>
      </c>
      <c r="DU26" s="101">
        <f t="shared" si="580"/>
        <v>3959</v>
      </c>
      <c r="DV26" s="101">
        <f t="shared" si="581"/>
        <v>7932</v>
      </c>
      <c r="DW26" s="101">
        <f t="shared" si="582"/>
        <v>3581</v>
      </c>
      <c r="DX26" s="101">
        <f t="shared" si="583"/>
        <v>3705</v>
      </c>
      <c r="DY26" s="101">
        <f t="shared" si="584"/>
        <v>7286</v>
      </c>
      <c r="DZ26" s="101">
        <f t="shared" si="585"/>
        <v>182</v>
      </c>
      <c r="EA26" s="101">
        <f t="shared" si="586"/>
        <v>137</v>
      </c>
      <c r="EB26" s="101">
        <f t="shared" si="587"/>
        <v>319</v>
      </c>
      <c r="EC26" s="101">
        <f t="shared" si="588"/>
        <v>3763</v>
      </c>
      <c r="ED26" s="101">
        <f t="shared" si="589"/>
        <v>3842</v>
      </c>
      <c r="EE26" s="101">
        <f t="shared" si="590"/>
        <v>7605</v>
      </c>
      <c r="EF26" s="397">
        <f t="shared" si="404"/>
        <v>0.94714321671281143</v>
      </c>
      <c r="EG26" s="397">
        <f t="shared" si="405"/>
        <v>0.97044708259661527</v>
      </c>
      <c r="EH26" s="397">
        <f t="shared" si="406"/>
        <v>0.95877458396369142</v>
      </c>
      <c r="EI26" s="101">
        <f t="shared" si="53"/>
        <v>215739</v>
      </c>
      <c r="EJ26" s="101">
        <f t="shared" si="54"/>
        <v>206239</v>
      </c>
      <c r="EK26" s="101">
        <f t="shared" si="55"/>
        <v>421978</v>
      </c>
      <c r="EL26" s="101">
        <v>156443</v>
      </c>
      <c r="EM26" s="101">
        <v>181530</v>
      </c>
      <c r="EN26" s="101">
        <f t="shared" ref="EN26:EN29" si="598">EL26+EM26</f>
        <v>337973</v>
      </c>
      <c r="EO26" s="413">
        <f t="shared" ref="EO26:EO29" si="599">+EL26*100/EI26</f>
        <v>72.514937030393213</v>
      </c>
      <c r="EP26" s="413">
        <f t="shared" ref="EP26:EP29" si="600">+EM26*100/EJ26</f>
        <v>88.019239814002205</v>
      </c>
      <c r="EQ26" s="413">
        <f t="shared" ref="EQ26:EQ29" si="601">+EN26*100/EK26</f>
        <v>80.092564067321049</v>
      </c>
      <c r="ER26" s="101">
        <f t="shared" si="564"/>
        <v>20700</v>
      </c>
      <c r="ES26" s="101">
        <f t="shared" si="565"/>
        <v>20008</v>
      </c>
      <c r="ET26" s="101">
        <f t="shared" si="566"/>
        <v>40708</v>
      </c>
      <c r="EU26" s="101">
        <v>11205</v>
      </c>
      <c r="EV26" s="101">
        <v>15152</v>
      </c>
      <c r="EW26" s="101">
        <f t="shared" ref="EW26:EW29" si="602">EU26+EV26</f>
        <v>26357</v>
      </c>
      <c r="EX26" s="413">
        <f t="shared" ref="EX26:EX29" si="603">+EU26*100/ER26</f>
        <v>54.130434782608695</v>
      </c>
      <c r="EY26" s="413">
        <f t="shared" ref="EY26:EY29" si="604">+EV26*100/ES26</f>
        <v>75.729708116753301</v>
      </c>
      <c r="EZ26" s="413">
        <f t="shared" ref="EZ26:EZ29" si="605">+EW26*100/ET26</f>
        <v>64.746487176967676</v>
      </c>
      <c r="FA26" s="101">
        <f t="shared" si="571"/>
        <v>3763</v>
      </c>
      <c r="FB26" s="101">
        <f t="shared" si="572"/>
        <v>3842</v>
      </c>
      <c r="FC26" s="101">
        <f t="shared" si="573"/>
        <v>7605</v>
      </c>
      <c r="FD26" s="101">
        <v>1387</v>
      </c>
      <c r="FE26" s="101">
        <v>1955</v>
      </c>
      <c r="FF26" s="101">
        <f t="shared" ref="FF26:FF29" si="606">FD26+FE26</f>
        <v>3342</v>
      </c>
      <c r="FG26" s="413">
        <f t="shared" ref="FG26:FG29" si="607">+FD26*100/FA26</f>
        <v>36.858889184161576</v>
      </c>
      <c r="FH26" s="413">
        <f t="shared" ref="FH26:FH29" si="608">+FE26*100/FB26</f>
        <v>50.884955752212392</v>
      </c>
      <c r="FI26" s="413">
        <f t="shared" ref="FI26:FI29" si="609">+FF26*100/FC26</f>
        <v>43.944773175542409</v>
      </c>
    </row>
    <row r="27" spans="1:171" s="381" customFormat="1" ht="29.25" customHeight="1">
      <c r="A27" s="393">
        <v>20</v>
      </c>
      <c r="B27" s="235" t="s">
        <v>387</v>
      </c>
      <c r="C27" s="221" t="s">
        <v>351</v>
      </c>
      <c r="D27" s="400">
        <v>468594</v>
      </c>
      <c r="E27" s="400">
        <v>425111</v>
      </c>
      <c r="F27" s="400">
        <f>D27+E27</f>
        <v>893705</v>
      </c>
      <c r="G27" s="400">
        <v>281698</v>
      </c>
      <c r="H27" s="400">
        <v>280068</v>
      </c>
      <c r="I27" s="400">
        <f>G27+H27</f>
        <v>561766</v>
      </c>
      <c r="J27" s="400">
        <v>34823</v>
      </c>
      <c r="K27" s="400">
        <v>31925</v>
      </c>
      <c r="L27" s="394">
        <f>J27+K27</f>
        <v>66748</v>
      </c>
      <c r="M27" s="396">
        <f t="shared" ref="M27" si="610">G27+J27</f>
        <v>316521</v>
      </c>
      <c r="N27" s="101">
        <f t="shared" ref="N27" si="611">H27+K27</f>
        <v>311993</v>
      </c>
      <c r="O27" s="101">
        <f t="shared" ref="O27" si="612">I27+L27</f>
        <v>628514</v>
      </c>
      <c r="P27" s="397">
        <f t="shared" ref="P27" si="613">M27/D27</f>
        <v>0.67546959628164249</v>
      </c>
      <c r="Q27" s="397">
        <f t="shared" ref="Q27" si="614">N27/E27</f>
        <v>0.73390949657854065</v>
      </c>
      <c r="R27" s="397">
        <f t="shared" ref="R27" si="615">O27/F27</f>
        <v>0.70326785684314175</v>
      </c>
      <c r="S27" s="419">
        <v>125801</v>
      </c>
      <c r="T27" s="419">
        <v>78338</v>
      </c>
      <c r="U27" s="394">
        <f t="shared" ref="U27" si="616">S27+T27</f>
        <v>204139</v>
      </c>
      <c r="V27" s="419">
        <v>21387</v>
      </c>
      <c r="W27" s="419">
        <v>13292</v>
      </c>
      <c r="X27" s="394">
        <f t="shared" ref="X27" si="617">V27+W27</f>
        <v>34679</v>
      </c>
      <c r="Y27" s="419">
        <v>8801</v>
      </c>
      <c r="Z27" s="419">
        <v>6127</v>
      </c>
      <c r="AA27" s="394">
        <f t="shared" ref="AA27" si="618">Y27+Z27</f>
        <v>14928</v>
      </c>
      <c r="AB27" s="396">
        <f t="shared" ref="AB27" si="619">V27+Y27</f>
        <v>30188</v>
      </c>
      <c r="AC27" s="101">
        <f t="shared" ref="AC27" si="620">W27+Z27</f>
        <v>19419</v>
      </c>
      <c r="AD27" s="101">
        <f t="shared" ref="AD27" si="621">X27+AA27</f>
        <v>49607</v>
      </c>
      <c r="AE27" s="397">
        <f>AB27/S27</f>
        <v>0.23996629597538971</v>
      </c>
      <c r="AF27" s="397">
        <f>AC27/T27</f>
        <v>0.24788735990196328</v>
      </c>
      <c r="AG27" s="397">
        <f>AD27/U27</f>
        <v>0.24300599101592543</v>
      </c>
      <c r="AH27" s="101">
        <f t="shared" ref="AH27:AS27" si="622">D27+S27</f>
        <v>594395</v>
      </c>
      <c r="AI27" s="101">
        <f t="shared" si="622"/>
        <v>503449</v>
      </c>
      <c r="AJ27" s="101">
        <f t="shared" si="622"/>
        <v>1097844</v>
      </c>
      <c r="AK27" s="101">
        <f t="shared" si="622"/>
        <v>303085</v>
      </c>
      <c r="AL27" s="101">
        <f t="shared" si="622"/>
        <v>293360</v>
      </c>
      <c r="AM27" s="101">
        <f t="shared" si="622"/>
        <v>596445</v>
      </c>
      <c r="AN27" s="101">
        <f t="shared" si="622"/>
        <v>43624</v>
      </c>
      <c r="AO27" s="101">
        <f t="shared" si="622"/>
        <v>38052</v>
      </c>
      <c r="AP27" s="101">
        <f t="shared" si="622"/>
        <v>81676</v>
      </c>
      <c r="AQ27" s="101">
        <f t="shared" si="622"/>
        <v>346709</v>
      </c>
      <c r="AR27" s="101">
        <f t="shared" si="622"/>
        <v>331412</v>
      </c>
      <c r="AS27" s="101">
        <f t="shared" si="622"/>
        <v>678121</v>
      </c>
      <c r="AT27" s="397">
        <f t="shared" ref="AT27:AV28" si="623">AQ27/AH27</f>
        <v>0.58329730229897625</v>
      </c>
      <c r="AU27" s="397">
        <f t="shared" si="623"/>
        <v>0.65828316274339604</v>
      </c>
      <c r="AV27" s="397">
        <f t="shared" si="623"/>
        <v>0.61768429758690668</v>
      </c>
      <c r="AW27" s="394">
        <v>85113</v>
      </c>
      <c r="AX27" s="394">
        <v>70761</v>
      </c>
      <c r="AY27" s="394">
        <f t="shared" ref="AY27" si="624">AW27+AX27</f>
        <v>155874</v>
      </c>
      <c r="AZ27" s="394">
        <v>46896</v>
      </c>
      <c r="BA27" s="394">
        <v>42491</v>
      </c>
      <c r="BB27" s="394">
        <f t="shared" ref="BB27" si="625">AZ27+BA27</f>
        <v>89387</v>
      </c>
      <c r="BC27" s="394">
        <v>6528</v>
      </c>
      <c r="BD27" s="394">
        <v>5861</v>
      </c>
      <c r="BE27" s="394">
        <f t="shared" ref="BE27" si="626">BC27+BD27</f>
        <v>12389</v>
      </c>
      <c r="BF27" s="396">
        <f t="shared" ref="BF27" si="627">AZ27+BC27</f>
        <v>53424</v>
      </c>
      <c r="BG27" s="101">
        <f t="shared" ref="BG27" si="628">BA27+BD27</f>
        <v>48352</v>
      </c>
      <c r="BH27" s="101">
        <f t="shared" ref="BH27" si="629">BB27+BE27</f>
        <v>101776</v>
      </c>
      <c r="BI27" s="397">
        <f t="shared" ref="BI27" si="630">BF27/AW27</f>
        <v>0.62768319763138414</v>
      </c>
      <c r="BJ27" s="397">
        <f t="shared" ref="BJ27" si="631">BG27/AX27</f>
        <v>0.68331425502748688</v>
      </c>
      <c r="BK27" s="397">
        <f t="shared" ref="BK27" si="632">BH27/AY27</f>
        <v>0.65293762911069197</v>
      </c>
      <c r="BL27" s="394">
        <v>26536</v>
      </c>
      <c r="BM27" s="394">
        <v>17288</v>
      </c>
      <c r="BN27" s="394">
        <f t="shared" ref="BN27" si="633">BL27+BM27</f>
        <v>43824</v>
      </c>
      <c r="BO27" s="394">
        <v>3880</v>
      </c>
      <c r="BP27" s="394">
        <v>2584</v>
      </c>
      <c r="BQ27" s="394">
        <f t="shared" ref="BQ27" si="634">BO27+BP27</f>
        <v>6464</v>
      </c>
      <c r="BR27" s="394">
        <v>1727</v>
      </c>
      <c r="BS27" s="394">
        <v>1383</v>
      </c>
      <c r="BT27" s="394">
        <f t="shared" ref="BT27" si="635">BR27+BS27</f>
        <v>3110</v>
      </c>
      <c r="BU27" s="396">
        <f t="shared" ref="BU27" si="636">BO27+BR27</f>
        <v>5607</v>
      </c>
      <c r="BV27" s="101">
        <f t="shared" ref="BV27" si="637">BP27+BS27</f>
        <v>3967</v>
      </c>
      <c r="BW27" s="101">
        <f t="shared" ref="BW27" si="638">BQ27+BT27</f>
        <v>9574</v>
      </c>
      <c r="BX27" s="397">
        <f t="shared" ref="BX27" si="639">BU27/BL27</f>
        <v>0.21129785951160687</v>
      </c>
      <c r="BY27" s="397">
        <f t="shared" ref="BY27" si="640">BV27/BM27</f>
        <v>0.22946552521980565</v>
      </c>
      <c r="BZ27" s="397">
        <f t="shared" ref="BZ27" si="641">BW27/BN27</f>
        <v>0.21846476816356333</v>
      </c>
      <c r="CA27" s="101">
        <f t="shared" ref="CA27:CL27" si="642">AW27+BL27</f>
        <v>111649</v>
      </c>
      <c r="CB27" s="101">
        <f t="shared" si="642"/>
        <v>88049</v>
      </c>
      <c r="CC27" s="101">
        <f t="shared" si="642"/>
        <v>199698</v>
      </c>
      <c r="CD27" s="101">
        <f t="shared" si="642"/>
        <v>50776</v>
      </c>
      <c r="CE27" s="101">
        <f t="shared" si="642"/>
        <v>45075</v>
      </c>
      <c r="CF27" s="101">
        <f t="shared" si="642"/>
        <v>95851</v>
      </c>
      <c r="CG27" s="101">
        <f t="shared" si="642"/>
        <v>8255</v>
      </c>
      <c r="CH27" s="101">
        <f t="shared" si="642"/>
        <v>7244</v>
      </c>
      <c r="CI27" s="101">
        <f t="shared" si="642"/>
        <v>15499</v>
      </c>
      <c r="CJ27" s="101">
        <f t="shared" si="642"/>
        <v>59031</v>
      </c>
      <c r="CK27" s="101">
        <f t="shared" si="642"/>
        <v>52319</v>
      </c>
      <c r="CL27" s="101">
        <f t="shared" si="642"/>
        <v>111350</v>
      </c>
      <c r="CM27" s="397">
        <f t="shared" ref="CM27:CO28" si="643">CJ27/CA27</f>
        <v>0.52871946905032741</v>
      </c>
      <c r="CN27" s="397">
        <f t="shared" si="643"/>
        <v>0.59420322774818568</v>
      </c>
      <c r="CO27" s="397">
        <f t="shared" si="643"/>
        <v>0.55759196386543686</v>
      </c>
      <c r="CP27" s="394">
        <v>72398</v>
      </c>
      <c r="CQ27" s="394">
        <v>76548</v>
      </c>
      <c r="CR27" s="394">
        <f t="shared" ref="CR27" si="644">CP27+CQ27</f>
        <v>148946</v>
      </c>
      <c r="CS27" s="394">
        <v>39468</v>
      </c>
      <c r="CT27" s="394">
        <v>43194</v>
      </c>
      <c r="CU27" s="394">
        <f t="shared" ref="CU27" si="645">CS27+CT27</f>
        <v>82662</v>
      </c>
      <c r="CV27" s="394">
        <v>5649</v>
      </c>
      <c r="CW27" s="394">
        <v>6519</v>
      </c>
      <c r="CX27" s="394">
        <f t="shared" ref="CX27" si="646">CV27+CW27</f>
        <v>12168</v>
      </c>
      <c r="CY27" s="396">
        <f t="shared" ref="CY27" si="647">CS27+CV27</f>
        <v>45117</v>
      </c>
      <c r="CZ27" s="101">
        <f t="shared" ref="CZ27" si="648">CT27+CW27</f>
        <v>49713</v>
      </c>
      <c r="DA27" s="101">
        <f t="shared" ref="DA27" si="649">CU27+CX27</f>
        <v>94830</v>
      </c>
      <c r="DB27" s="397">
        <f t="shared" ref="DB27" si="650">CY27/CP27</f>
        <v>0.62318019834802063</v>
      </c>
      <c r="DC27" s="397">
        <f t="shared" ref="DC27" si="651">CZ27/CQ27</f>
        <v>0.6494356482207243</v>
      </c>
      <c r="DD27" s="397">
        <f t="shared" ref="DD27" si="652">DA27/CR27</f>
        <v>0.63667369382192207</v>
      </c>
      <c r="DE27" s="394">
        <v>28796</v>
      </c>
      <c r="DF27" s="394">
        <v>20051</v>
      </c>
      <c r="DG27" s="394">
        <f t="shared" ref="DG27" si="653">DE27+DF27</f>
        <v>48847</v>
      </c>
      <c r="DH27" s="394">
        <v>4451</v>
      </c>
      <c r="DI27" s="394">
        <v>3150</v>
      </c>
      <c r="DJ27" s="394">
        <f t="shared" ref="DJ27" si="654">DH27+DI27</f>
        <v>7601</v>
      </c>
      <c r="DK27" s="394">
        <v>1891</v>
      </c>
      <c r="DL27" s="394">
        <v>1409</v>
      </c>
      <c r="DM27" s="394">
        <f t="shared" ref="DM27" si="655">DK27+DL27</f>
        <v>3300</v>
      </c>
      <c r="DN27" s="396">
        <f t="shared" ref="DN27" si="656">DH27+DK27</f>
        <v>6342</v>
      </c>
      <c r="DO27" s="101">
        <f t="shared" ref="DO27" si="657">DI27+DL27</f>
        <v>4559</v>
      </c>
      <c r="DP27" s="101">
        <f t="shared" ref="DP27" si="658">DJ27+DM27</f>
        <v>10901</v>
      </c>
      <c r="DQ27" s="397">
        <f t="shared" ref="DQ27" si="659">DN27/DE27</f>
        <v>0.22023892207251006</v>
      </c>
      <c r="DR27" s="397">
        <f t="shared" ref="DR27" si="660">DO27/DF27</f>
        <v>0.22737020597476434</v>
      </c>
      <c r="DS27" s="397">
        <f t="shared" ref="DS27" si="661">DP27/DG27</f>
        <v>0.22316621286875346</v>
      </c>
      <c r="DT27" s="101">
        <f t="shared" ref="DT27:EE27" si="662">CP27+DE27</f>
        <v>101194</v>
      </c>
      <c r="DU27" s="101">
        <f t="shared" si="662"/>
        <v>96599</v>
      </c>
      <c r="DV27" s="101">
        <f t="shared" si="662"/>
        <v>197793</v>
      </c>
      <c r="DW27" s="101">
        <f t="shared" si="662"/>
        <v>43919</v>
      </c>
      <c r="DX27" s="101">
        <f t="shared" si="662"/>
        <v>46344</v>
      </c>
      <c r="DY27" s="101">
        <f t="shared" si="662"/>
        <v>90263</v>
      </c>
      <c r="DZ27" s="101">
        <f t="shared" si="662"/>
        <v>7540</v>
      </c>
      <c r="EA27" s="101">
        <f t="shared" si="662"/>
        <v>7928</v>
      </c>
      <c r="EB27" s="101">
        <f t="shared" si="662"/>
        <v>15468</v>
      </c>
      <c r="EC27" s="101">
        <f t="shared" si="662"/>
        <v>51459</v>
      </c>
      <c r="ED27" s="101">
        <f t="shared" si="662"/>
        <v>54272</v>
      </c>
      <c r="EE27" s="101">
        <f t="shared" si="662"/>
        <v>105731</v>
      </c>
      <c r="EF27" s="397">
        <f t="shared" ref="EF27" si="663">EC27/DT27</f>
        <v>0.50851829159831607</v>
      </c>
      <c r="EG27" s="397">
        <f t="shared" ref="EG27" si="664">ED27/DU27</f>
        <v>0.56182776219215524</v>
      </c>
      <c r="EH27" s="397">
        <f t="shared" ref="EH27" si="665">EE27/DV27</f>
        <v>0.53455380119620011</v>
      </c>
      <c r="EI27" s="101">
        <f t="shared" si="53"/>
        <v>346709</v>
      </c>
      <c r="EJ27" s="101">
        <f t="shared" si="54"/>
        <v>331412</v>
      </c>
      <c r="EK27" s="101">
        <f t="shared" si="55"/>
        <v>678121</v>
      </c>
      <c r="EL27" s="101">
        <v>171937</v>
      </c>
      <c r="EM27" s="101">
        <v>181144</v>
      </c>
      <c r="EN27" s="101">
        <f>EL27+EM27</f>
        <v>353081</v>
      </c>
      <c r="EO27" s="413">
        <f>+EL27*100/EI27</f>
        <v>49.591155695410272</v>
      </c>
      <c r="EP27" s="413">
        <f>+EM27*100/EJ27</f>
        <v>54.658250153887003</v>
      </c>
      <c r="EQ27" s="413">
        <f>+EN27*100/EK27</f>
        <v>52.067551366201606</v>
      </c>
      <c r="ER27" s="101">
        <f t="shared" si="564"/>
        <v>59031</v>
      </c>
      <c r="ES27" s="101">
        <f t="shared" si="565"/>
        <v>52319</v>
      </c>
      <c r="ET27" s="101">
        <f t="shared" si="566"/>
        <v>111350</v>
      </c>
      <c r="EU27" s="101">
        <v>27170</v>
      </c>
      <c r="EV27" s="101">
        <v>25131</v>
      </c>
      <c r="EW27" s="101">
        <f>EU27+EV27</f>
        <v>52301</v>
      </c>
      <c r="EX27" s="413">
        <f>+EU27*100/ER27</f>
        <v>46.026663956226386</v>
      </c>
      <c r="EY27" s="413">
        <f>+EV27*100/ES27</f>
        <v>48.034174965117835</v>
      </c>
      <c r="EZ27" s="413">
        <f>+EW27*100/ET27</f>
        <v>46.969914683430623</v>
      </c>
      <c r="FA27" s="101">
        <f t="shared" si="571"/>
        <v>51459</v>
      </c>
      <c r="FB27" s="101">
        <f t="shared" si="572"/>
        <v>54272</v>
      </c>
      <c r="FC27" s="101">
        <f t="shared" si="573"/>
        <v>105731</v>
      </c>
      <c r="FD27" s="101">
        <v>18138</v>
      </c>
      <c r="FE27" s="101">
        <v>20061</v>
      </c>
      <c r="FF27" s="101">
        <f>FD27+FE27</f>
        <v>38199</v>
      </c>
      <c r="FG27" s="413">
        <f>+FD27*100/FA27</f>
        <v>35.247478575176352</v>
      </c>
      <c r="FH27" s="413">
        <f>+FE27*100/FB27</f>
        <v>36.963811910377359</v>
      </c>
      <c r="FI27" s="413">
        <f>+FF27*100/FC27</f>
        <v>36.128476984044411</v>
      </c>
      <c r="FJ27"/>
      <c r="FK27" t="s">
        <v>344</v>
      </c>
      <c r="FL27"/>
      <c r="FM27"/>
      <c r="FN27"/>
      <c r="FO27"/>
    </row>
    <row r="28" spans="1:171" s="362" customFormat="1" ht="44.25" customHeight="1">
      <c r="A28" s="393">
        <v>21</v>
      </c>
      <c r="B28" s="411"/>
      <c r="C28" s="221" t="s">
        <v>157</v>
      </c>
      <c r="D28" s="394">
        <v>2604</v>
      </c>
      <c r="E28" s="394">
        <v>1015</v>
      </c>
      <c r="F28" s="394">
        <f>D28+E28</f>
        <v>3619</v>
      </c>
      <c r="G28" s="394">
        <v>2535</v>
      </c>
      <c r="H28" s="394">
        <v>987</v>
      </c>
      <c r="I28" s="400">
        <f>G28+H28</f>
        <v>3522</v>
      </c>
      <c r="J28" s="399"/>
      <c r="K28" s="399"/>
      <c r="L28" s="399"/>
      <c r="M28" s="396">
        <f t="shared" ref="M28" si="666">G28+J28</f>
        <v>2535</v>
      </c>
      <c r="N28" s="101">
        <f t="shared" ref="N28" si="667">H28+K28</f>
        <v>987</v>
      </c>
      <c r="O28" s="101">
        <f t="shared" ref="O28" si="668">I28+L28</f>
        <v>3522</v>
      </c>
      <c r="P28" s="397">
        <f t="shared" ref="P28" si="669">M28/D28</f>
        <v>0.97350230414746541</v>
      </c>
      <c r="Q28" s="397">
        <f t="shared" ref="Q28" si="670">N28/E28</f>
        <v>0.97241379310344822</v>
      </c>
      <c r="R28" s="397">
        <f t="shared" ref="R28" si="671">O28/F28</f>
        <v>0.97319701575020723</v>
      </c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101">
        <f t="shared" ref="AH28:AM28" si="672">D28+S28</f>
        <v>2604</v>
      </c>
      <c r="AI28" s="101">
        <f t="shared" si="672"/>
        <v>1015</v>
      </c>
      <c r="AJ28" s="101">
        <f t="shared" si="672"/>
        <v>3619</v>
      </c>
      <c r="AK28" s="101">
        <f t="shared" si="672"/>
        <v>2535</v>
      </c>
      <c r="AL28" s="101">
        <f t="shared" si="672"/>
        <v>987</v>
      </c>
      <c r="AM28" s="101">
        <f t="shared" si="672"/>
        <v>3522</v>
      </c>
      <c r="AN28" s="398"/>
      <c r="AO28" s="398"/>
      <c r="AP28" s="398"/>
      <c r="AQ28" s="101">
        <f>M28+AB28</f>
        <v>2535</v>
      </c>
      <c r="AR28" s="101">
        <f>N28+AC28</f>
        <v>987</v>
      </c>
      <c r="AS28" s="101">
        <f>O28+AD28</f>
        <v>3522</v>
      </c>
      <c r="AT28" s="397">
        <f t="shared" si="623"/>
        <v>0.97350230414746541</v>
      </c>
      <c r="AU28" s="397">
        <f t="shared" si="623"/>
        <v>0.97241379310344822</v>
      </c>
      <c r="AV28" s="397">
        <f t="shared" si="623"/>
        <v>0.97319701575020723</v>
      </c>
      <c r="AW28" s="394">
        <v>222</v>
      </c>
      <c r="AX28" s="394">
        <v>140</v>
      </c>
      <c r="AY28" s="394">
        <f t="shared" ref="AY28" si="673">AW28+AX28</f>
        <v>362</v>
      </c>
      <c r="AZ28" s="394">
        <v>208</v>
      </c>
      <c r="BA28" s="394">
        <v>136</v>
      </c>
      <c r="BB28" s="394">
        <f t="shared" ref="BB28" si="674">AZ28+BA28</f>
        <v>344</v>
      </c>
      <c r="BC28" s="399"/>
      <c r="BD28" s="399"/>
      <c r="BE28" s="399"/>
      <c r="BF28" s="396">
        <f t="shared" ref="BF28" si="675">AZ28+BC28</f>
        <v>208</v>
      </c>
      <c r="BG28" s="101">
        <f t="shared" ref="BG28" si="676">BA28+BD28</f>
        <v>136</v>
      </c>
      <c r="BH28" s="101">
        <f t="shared" ref="BH28" si="677">BB28+BE28</f>
        <v>344</v>
      </c>
      <c r="BI28" s="397">
        <f>BF28/AW28</f>
        <v>0.93693693693693691</v>
      </c>
      <c r="BJ28" s="397">
        <f t="shared" ref="BJ28" si="678">BG28/AX28</f>
        <v>0.97142857142857142</v>
      </c>
      <c r="BK28" s="397">
        <f t="shared" ref="BK28" si="679">BH28/AY28</f>
        <v>0.95027624309392267</v>
      </c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399"/>
      <c r="BW28" s="399"/>
      <c r="BX28" s="399"/>
      <c r="BY28" s="399"/>
      <c r="BZ28" s="399"/>
      <c r="CA28" s="101">
        <f t="shared" ref="CA28:CF28" si="680">AW28+BL28</f>
        <v>222</v>
      </c>
      <c r="CB28" s="101">
        <f t="shared" si="680"/>
        <v>140</v>
      </c>
      <c r="CC28" s="101">
        <f t="shared" si="680"/>
        <v>362</v>
      </c>
      <c r="CD28" s="101">
        <f t="shared" si="680"/>
        <v>208</v>
      </c>
      <c r="CE28" s="101">
        <f t="shared" si="680"/>
        <v>136</v>
      </c>
      <c r="CF28" s="101">
        <f t="shared" si="680"/>
        <v>344</v>
      </c>
      <c r="CG28" s="399"/>
      <c r="CH28" s="399"/>
      <c r="CI28" s="399"/>
      <c r="CJ28" s="101">
        <f>BF28+BU28</f>
        <v>208</v>
      </c>
      <c r="CK28" s="101">
        <f>BG28+BV28</f>
        <v>136</v>
      </c>
      <c r="CL28" s="101">
        <f>BH28+BW28</f>
        <v>344</v>
      </c>
      <c r="CM28" s="397">
        <f t="shared" si="643"/>
        <v>0.93693693693693691</v>
      </c>
      <c r="CN28" s="397">
        <f t="shared" si="643"/>
        <v>0.97142857142857142</v>
      </c>
      <c r="CO28" s="397">
        <f t="shared" si="643"/>
        <v>0.95027624309392267</v>
      </c>
      <c r="CP28" s="394">
        <v>84</v>
      </c>
      <c r="CQ28" s="394">
        <v>100</v>
      </c>
      <c r="CR28" s="394">
        <f t="shared" ref="CR28" si="681">CP28+CQ28</f>
        <v>184</v>
      </c>
      <c r="CS28" s="394">
        <v>83</v>
      </c>
      <c r="CT28" s="394">
        <v>100</v>
      </c>
      <c r="CU28" s="394">
        <f t="shared" ref="CU28" si="682">CS28+CT28</f>
        <v>183</v>
      </c>
      <c r="CV28" s="399"/>
      <c r="CW28" s="399"/>
      <c r="CX28" s="399"/>
      <c r="CY28" s="396">
        <f t="shared" ref="CY28" si="683">CS28+CV28</f>
        <v>83</v>
      </c>
      <c r="CZ28" s="101">
        <f t="shared" ref="CZ28" si="684">CT28+CW28</f>
        <v>100</v>
      </c>
      <c r="DA28" s="101">
        <f t="shared" ref="DA28" si="685">CU28+CX28</f>
        <v>183</v>
      </c>
      <c r="DB28" s="397">
        <f t="shared" ref="DB28" si="686">CY28/CP28</f>
        <v>0.98809523809523814</v>
      </c>
      <c r="DC28" s="397">
        <f t="shared" ref="DC28" si="687">CZ28/CQ28</f>
        <v>1</v>
      </c>
      <c r="DD28" s="397">
        <f t="shared" ref="DD28" si="688">DA28/CR28</f>
        <v>0.99456521739130432</v>
      </c>
      <c r="DE28" s="399"/>
      <c r="DF28" s="399"/>
      <c r="DG28" s="399"/>
      <c r="DH28" s="399"/>
      <c r="DI28" s="399"/>
      <c r="DJ28" s="399"/>
      <c r="DK28" s="399"/>
      <c r="DL28" s="399"/>
      <c r="DM28" s="399"/>
      <c r="DN28" s="399"/>
      <c r="DO28" s="399"/>
      <c r="DP28" s="399"/>
      <c r="DQ28" s="399"/>
      <c r="DR28" s="399"/>
      <c r="DS28" s="399"/>
      <c r="DT28" s="101">
        <f t="shared" ref="DT28:DY28" si="689">CP28+DE28</f>
        <v>84</v>
      </c>
      <c r="DU28" s="101">
        <f t="shared" si="689"/>
        <v>100</v>
      </c>
      <c r="DV28" s="101">
        <f t="shared" si="689"/>
        <v>184</v>
      </c>
      <c r="DW28" s="101">
        <f t="shared" si="689"/>
        <v>83</v>
      </c>
      <c r="DX28" s="101">
        <f t="shared" si="689"/>
        <v>100</v>
      </c>
      <c r="DY28" s="101">
        <f t="shared" si="689"/>
        <v>183</v>
      </c>
      <c r="DZ28" s="399"/>
      <c r="EA28" s="399"/>
      <c r="EB28" s="399"/>
      <c r="EC28" s="101">
        <f>CY28+DN28</f>
        <v>83</v>
      </c>
      <c r="ED28" s="101">
        <f>CZ28+DO28</f>
        <v>100</v>
      </c>
      <c r="EE28" s="101">
        <f>DA28+DP28</f>
        <v>183</v>
      </c>
      <c r="EF28" s="397">
        <f t="shared" ref="EF28" si="690">EC28/DT28</f>
        <v>0.98809523809523814</v>
      </c>
      <c r="EG28" s="397">
        <f>ED28/DU28</f>
        <v>1</v>
      </c>
      <c r="EH28" s="397">
        <f>EE28/DV28</f>
        <v>0.99456521739130432</v>
      </c>
      <c r="EI28" s="101">
        <f t="shared" si="53"/>
        <v>2535</v>
      </c>
      <c r="EJ28" s="101">
        <f t="shared" si="54"/>
        <v>987</v>
      </c>
      <c r="EK28" s="101">
        <f t="shared" si="55"/>
        <v>3522</v>
      </c>
      <c r="EL28" s="101">
        <v>1547</v>
      </c>
      <c r="EM28" s="101">
        <v>593</v>
      </c>
      <c r="EN28" s="101">
        <f t="shared" ref="EN28" si="691">EL28+EM28</f>
        <v>2140</v>
      </c>
      <c r="EO28" s="413">
        <f t="shared" ref="EO28" si="692">+EL28*100/EI28</f>
        <v>61.025641025641029</v>
      </c>
      <c r="EP28" s="413">
        <f t="shared" ref="EP28" si="693">+EM28*100/EJ28</f>
        <v>60.081053698074975</v>
      </c>
      <c r="EQ28" s="413">
        <f t="shared" ref="EQ28" si="694">+EN28*100/EK28</f>
        <v>60.760931289040315</v>
      </c>
      <c r="ER28" s="101">
        <f t="shared" si="564"/>
        <v>208</v>
      </c>
      <c r="ES28" s="101">
        <f t="shared" si="565"/>
        <v>136</v>
      </c>
      <c r="ET28" s="101">
        <f t="shared" si="566"/>
        <v>344</v>
      </c>
      <c r="EU28" s="101">
        <v>101</v>
      </c>
      <c r="EV28" s="101">
        <v>56</v>
      </c>
      <c r="EW28" s="101">
        <f t="shared" ref="EW28" si="695">EU28+EV28</f>
        <v>157</v>
      </c>
      <c r="EX28" s="413">
        <f t="shared" ref="EX28" si="696">+EU28*100/ER28</f>
        <v>48.557692307692307</v>
      </c>
      <c r="EY28" s="413">
        <f t="shared" ref="EY28" si="697">+EV28*100/ES28</f>
        <v>41.176470588235297</v>
      </c>
      <c r="EZ28" s="413">
        <f t="shared" ref="EZ28" si="698">+EW28*100/ET28</f>
        <v>45.639534883720927</v>
      </c>
      <c r="FA28" s="101">
        <f t="shared" si="571"/>
        <v>83</v>
      </c>
      <c r="FB28" s="101">
        <f t="shared" si="572"/>
        <v>100</v>
      </c>
      <c r="FC28" s="101">
        <f t="shared" si="573"/>
        <v>183</v>
      </c>
      <c r="FD28" s="101">
        <v>56</v>
      </c>
      <c r="FE28" s="101">
        <v>54</v>
      </c>
      <c r="FF28" s="101">
        <f>FD28+FE28</f>
        <v>110</v>
      </c>
      <c r="FG28" s="413">
        <f t="shared" ref="FG28" si="699">+FD28*100/FA28</f>
        <v>67.46987951807229</v>
      </c>
      <c r="FH28" s="413">
        <f t="shared" ref="FH28" si="700">+FE28*100/FB28</f>
        <v>54</v>
      </c>
      <c r="FI28" s="413">
        <f t="shared" ref="FI28" si="701">+FF28*100/FC28</f>
        <v>60.10928961748634</v>
      </c>
    </row>
    <row r="29" spans="1:171" ht="42.75">
      <c r="A29" s="393">
        <v>22</v>
      </c>
      <c r="B29" s="220" t="s">
        <v>386</v>
      </c>
      <c r="C29" s="221" t="s">
        <v>350</v>
      </c>
      <c r="D29" s="394">
        <v>937784</v>
      </c>
      <c r="E29" s="394">
        <v>772155</v>
      </c>
      <c r="F29" s="394">
        <f t="shared" si="591"/>
        <v>1709939</v>
      </c>
      <c r="G29" s="394">
        <v>863700</v>
      </c>
      <c r="H29" s="394">
        <v>742213</v>
      </c>
      <c r="I29" s="394">
        <f t="shared" si="592"/>
        <v>1605913</v>
      </c>
      <c r="J29" s="398"/>
      <c r="K29" s="398"/>
      <c r="L29" s="398"/>
      <c r="M29" s="396">
        <f t="shared" si="165"/>
        <v>863700</v>
      </c>
      <c r="N29" s="101">
        <f t="shared" si="166"/>
        <v>742213</v>
      </c>
      <c r="O29" s="101">
        <f t="shared" si="167"/>
        <v>1605913</v>
      </c>
      <c r="P29" s="397">
        <f t="shared" si="168"/>
        <v>0.92100099809764291</v>
      </c>
      <c r="Q29" s="397">
        <f t="shared" si="169"/>
        <v>0.96122281148215061</v>
      </c>
      <c r="R29" s="397">
        <f t="shared" si="170"/>
        <v>0.93916391169509561</v>
      </c>
      <c r="S29" s="394">
        <v>30309</v>
      </c>
      <c r="T29" s="394">
        <v>12001</v>
      </c>
      <c r="U29" s="394">
        <f t="shared" si="4"/>
        <v>42310</v>
      </c>
      <c r="V29" s="394">
        <v>21728</v>
      </c>
      <c r="W29" s="394">
        <v>9477</v>
      </c>
      <c r="X29" s="394">
        <f t="shared" si="5"/>
        <v>31205</v>
      </c>
      <c r="Y29" s="398"/>
      <c r="Z29" s="398"/>
      <c r="AA29" s="398"/>
      <c r="AB29" s="396">
        <f t="shared" si="171"/>
        <v>21728</v>
      </c>
      <c r="AC29" s="101">
        <f t="shared" si="172"/>
        <v>9477</v>
      </c>
      <c r="AD29" s="101">
        <f t="shared" si="173"/>
        <v>31205</v>
      </c>
      <c r="AE29" s="397">
        <f t="shared" si="174"/>
        <v>0.71688277409350354</v>
      </c>
      <c r="AF29" s="397">
        <f t="shared" si="175"/>
        <v>0.78968419298391801</v>
      </c>
      <c r="AG29" s="397">
        <f t="shared" si="176"/>
        <v>0.73753249822736944</v>
      </c>
      <c r="AH29" s="101">
        <f t="shared" si="80"/>
        <v>968093</v>
      </c>
      <c r="AI29" s="101">
        <f t="shared" si="81"/>
        <v>784156</v>
      </c>
      <c r="AJ29" s="101">
        <f t="shared" si="82"/>
        <v>1752249</v>
      </c>
      <c r="AK29" s="101">
        <f t="shared" si="83"/>
        <v>885428</v>
      </c>
      <c r="AL29" s="101">
        <f t="shared" si="84"/>
        <v>751690</v>
      </c>
      <c r="AM29" s="101">
        <f t="shared" si="85"/>
        <v>1637118</v>
      </c>
      <c r="AN29" s="398"/>
      <c r="AO29" s="398"/>
      <c r="AP29" s="398"/>
      <c r="AQ29" s="101">
        <f t="shared" si="89"/>
        <v>885428</v>
      </c>
      <c r="AR29" s="101">
        <f t="shared" si="90"/>
        <v>751690</v>
      </c>
      <c r="AS29" s="101">
        <f t="shared" si="91"/>
        <v>1637118</v>
      </c>
      <c r="AT29" s="397">
        <f t="shared" si="92"/>
        <v>0.91461047647281823</v>
      </c>
      <c r="AU29" s="397">
        <f t="shared" si="93"/>
        <v>0.95859752396206876</v>
      </c>
      <c r="AV29" s="397">
        <f t="shared" si="94"/>
        <v>0.93429529707250514</v>
      </c>
      <c r="AW29" s="394">
        <v>130323</v>
      </c>
      <c r="AX29" s="394">
        <v>109570</v>
      </c>
      <c r="AY29" s="394">
        <f t="shared" si="15"/>
        <v>239893</v>
      </c>
      <c r="AZ29" s="394">
        <v>116182</v>
      </c>
      <c r="BA29" s="394">
        <v>103276</v>
      </c>
      <c r="BB29" s="394">
        <f t="shared" si="16"/>
        <v>219458</v>
      </c>
      <c r="BC29" s="399"/>
      <c r="BD29" s="399"/>
      <c r="BE29" s="399"/>
      <c r="BF29" s="396">
        <f t="shared" si="177"/>
        <v>116182</v>
      </c>
      <c r="BG29" s="101">
        <f t="shared" si="178"/>
        <v>103276</v>
      </c>
      <c r="BH29" s="101">
        <f t="shared" si="179"/>
        <v>219458</v>
      </c>
      <c r="BI29" s="397">
        <f t="shared" si="180"/>
        <v>0.89149267588990433</v>
      </c>
      <c r="BJ29" s="397">
        <f t="shared" si="181"/>
        <v>0.94255726932554529</v>
      </c>
      <c r="BK29" s="397">
        <f t="shared" si="182"/>
        <v>0.9148161888842109</v>
      </c>
      <c r="BL29" s="394">
        <v>3281</v>
      </c>
      <c r="BM29" s="394">
        <v>1644</v>
      </c>
      <c r="BN29" s="394">
        <f t="shared" si="24"/>
        <v>4925</v>
      </c>
      <c r="BO29" s="394">
        <v>2252</v>
      </c>
      <c r="BP29" s="394">
        <v>1234</v>
      </c>
      <c r="BQ29" s="394">
        <f t="shared" si="25"/>
        <v>3486</v>
      </c>
      <c r="BR29" s="399"/>
      <c r="BS29" s="399"/>
      <c r="BT29" s="399"/>
      <c r="BU29" s="396">
        <f t="shared" si="183"/>
        <v>2252</v>
      </c>
      <c r="BV29" s="101">
        <f t="shared" si="184"/>
        <v>1234</v>
      </c>
      <c r="BW29" s="101">
        <f t="shared" si="185"/>
        <v>3486</v>
      </c>
      <c r="BX29" s="397">
        <f t="shared" si="186"/>
        <v>0.68637610484608347</v>
      </c>
      <c r="BY29" s="397">
        <f t="shared" si="187"/>
        <v>0.75060827250608275</v>
      </c>
      <c r="BZ29" s="397">
        <f t="shared" si="188"/>
        <v>0.70781725888324876</v>
      </c>
      <c r="CA29" s="101">
        <f t="shared" si="108"/>
        <v>133604</v>
      </c>
      <c r="CB29" s="101">
        <f t="shared" si="109"/>
        <v>111214</v>
      </c>
      <c r="CC29" s="101">
        <f t="shared" si="110"/>
        <v>244818</v>
      </c>
      <c r="CD29" s="101">
        <f t="shared" si="111"/>
        <v>118434</v>
      </c>
      <c r="CE29" s="101">
        <f t="shared" si="112"/>
        <v>104510</v>
      </c>
      <c r="CF29" s="101">
        <f t="shared" si="113"/>
        <v>222944</v>
      </c>
      <c r="CG29" s="399"/>
      <c r="CH29" s="399"/>
      <c r="CI29" s="399"/>
      <c r="CJ29" s="101">
        <f t="shared" si="117"/>
        <v>118434</v>
      </c>
      <c r="CK29" s="101">
        <f t="shared" si="118"/>
        <v>104510</v>
      </c>
      <c r="CL29" s="101">
        <f t="shared" si="119"/>
        <v>222944</v>
      </c>
      <c r="CM29" s="397">
        <f t="shared" si="120"/>
        <v>0.88645549534445078</v>
      </c>
      <c r="CN29" s="397">
        <f t="shared" si="121"/>
        <v>0.93971981944719185</v>
      </c>
      <c r="CO29" s="397">
        <f t="shared" si="122"/>
        <v>0.91065199454288492</v>
      </c>
      <c r="CP29" s="394">
        <v>88231</v>
      </c>
      <c r="CQ29" s="394">
        <v>72426</v>
      </c>
      <c r="CR29" s="394">
        <f t="shared" si="189"/>
        <v>160657</v>
      </c>
      <c r="CS29" s="394">
        <v>77724</v>
      </c>
      <c r="CT29" s="394">
        <v>66984</v>
      </c>
      <c r="CU29" s="394">
        <f t="shared" si="35"/>
        <v>144708</v>
      </c>
      <c r="CV29" s="399"/>
      <c r="CW29" s="399"/>
      <c r="CX29" s="399"/>
      <c r="CY29" s="396">
        <f t="shared" si="190"/>
        <v>77724</v>
      </c>
      <c r="CZ29" s="101">
        <f t="shared" si="191"/>
        <v>66984</v>
      </c>
      <c r="DA29" s="101">
        <f t="shared" si="192"/>
        <v>144708</v>
      </c>
      <c r="DB29" s="397">
        <f t="shared" si="193"/>
        <v>0.88091487119039791</v>
      </c>
      <c r="DC29" s="397">
        <f t="shared" si="194"/>
        <v>0.92486123767707729</v>
      </c>
      <c r="DD29" s="397">
        <f t="shared" si="195"/>
        <v>0.90072639225181594</v>
      </c>
      <c r="DE29" s="394">
        <v>954</v>
      </c>
      <c r="DF29" s="394">
        <v>603</v>
      </c>
      <c r="DG29" s="394">
        <f t="shared" si="43"/>
        <v>1557</v>
      </c>
      <c r="DH29" s="394">
        <v>702</v>
      </c>
      <c r="DI29" s="394">
        <v>499</v>
      </c>
      <c r="DJ29" s="394">
        <f t="shared" si="44"/>
        <v>1201</v>
      </c>
      <c r="DK29" s="399"/>
      <c r="DL29" s="399"/>
      <c r="DM29" s="399"/>
      <c r="DN29" s="396">
        <f t="shared" ref="DN29" si="702">DH29+DK29</f>
        <v>702</v>
      </c>
      <c r="DO29" s="101">
        <f t="shared" ref="DO29" si="703">DI29+DL29</f>
        <v>499</v>
      </c>
      <c r="DP29" s="101">
        <f t="shared" ref="DP29" si="704">DJ29+DM29</f>
        <v>1201</v>
      </c>
      <c r="DQ29" s="397">
        <f t="shared" si="199"/>
        <v>0.73584905660377353</v>
      </c>
      <c r="DR29" s="397">
        <f t="shared" si="200"/>
        <v>0.82752902155887231</v>
      </c>
      <c r="DS29" s="397">
        <f t="shared" si="201"/>
        <v>0.77135517019910083</v>
      </c>
      <c r="DT29" s="101">
        <f t="shared" si="579"/>
        <v>89185</v>
      </c>
      <c r="DU29" s="101">
        <f t="shared" si="580"/>
        <v>73029</v>
      </c>
      <c r="DV29" s="101">
        <f t="shared" si="581"/>
        <v>162214</v>
      </c>
      <c r="DW29" s="101">
        <f t="shared" si="582"/>
        <v>78426</v>
      </c>
      <c r="DX29" s="101">
        <f t="shared" si="583"/>
        <v>67483</v>
      </c>
      <c r="DY29" s="101">
        <f t="shared" si="584"/>
        <v>145909</v>
      </c>
      <c r="DZ29" s="399"/>
      <c r="EA29" s="399"/>
      <c r="EB29" s="399"/>
      <c r="EC29" s="101">
        <f t="shared" si="588"/>
        <v>78426</v>
      </c>
      <c r="ED29" s="101">
        <f t="shared" si="589"/>
        <v>67483</v>
      </c>
      <c r="EE29" s="101">
        <f t="shared" si="590"/>
        <v>145909</v>
      </c>
      <c r="EF29" s="397">
        <f t="shared" si="404"/>
        <v>0.87936312160116614</v>
      </c>
      <c r="EG29" s="397">
        <f t="shared" si="405"/>
        <v>0.92405756617234247</v>
      </c>
      <c r="EH29" s="397">
        <f t="shared" si="406"/>
        <v>0.89948463141282509</v>
      </c>
      <c r="EI29" s="101">
        <f t="shared" si="53"/>
        <v>885428</v>
      </c>
      <c r="EJ29" s="101">
        <f t="shared" si="54"/>
        <v>751690</v>
      </c>
      <c r="EK29" s="101">
        <f t="shared" si="55"/>
        <v>1637118</v>
      </c>
      <c r="EL29" s="101">
        <v>538181</v>
      </c>
      <c r="EM29" s="101">
        <v>559062</v>
      </c>
      <c r="EN29" s="101">
        <f t="shared" si="598"/>
        <v>1097243</v>
      </c>
      <c r="EO29" s="413">
        <f t="shared" si="599"/>
        <v>60.782017284296408</v>
      </c>
      <c r="EP29" s="413">
        <f t="shared" si="600"/>
        <v>74.37401056286501</v>
      </c>
      <c r="EQ29" s="413">
        <f t="shared" si="601"/>
        <v>67.022841359022379</v>
      </c>
      <c r="ER29" s="101">
        <f t="shared" si="564"/>
        <v>118434</v>
      </c>
      <c r="ES29" s="101">
        <f t="shared" si="565"/>
        <v>104510</v>
      </c>
      <c r="ET29" s="101">
        <f t="shared" si="566"/>
        <v>222944</v>
      </c>
      <c r="EU29" s="101">
        <v>63268</v>
      </c>
      <c r="EV29" s="101">
        <v>72585</v>
      </c>
      <c r="EW29" s="101">
        <f t="shared" si="602"/>
        <v>135853</v>
      </c>
      <c r="EX29" s="413">
        <f t="shared" si="603"/>
        <v>53.420470473006063</v>
      </c>
      <c r="EY29" s="413">
        <f t="shared" si="604"/>
        <v>69.452683953688648</v>
      </c>
      <c r="EZ29" s="413">
        <f t="shared" si="605"/>
        <v>60.935930099038323</v>
      </c>
      <c r="FA29" s="101">
        <f t="shared" si="571"/>
        <v>78426</v>
      </c>
      <c r="FB29" s="101">
        <f t="shared" si="572"/>
        <v>67483</v>
      </c>
      <c r="FC29" s="101">
        <f t="shared" si="573"/>
        <v>145909</v>
      </c>
      <c r="FD29" s="101">
        <v>37290</v>
      </c>
      <c r="FE29" s="101">
        <v>38862</v>
      </c>
      <c r="FF29" s="101">
        <f t="shared" si="606"/>
        <v>76152</v>
      </c>
      <c r="FG29" s="413">
        <f t="shared" si="607"/>
        <v>47.548007038482133</v>
      </c>
      <c r="FH29" s="413">
        <f t="shared" si="608"/>
        <v>57.587836936709984</v>
      </c>
      <c r="FI29" s="413">
        <f t="shared" si="609"/>
        <v>52.191434387186533</v>
      </c>
    </row>
    <row r="30" spans="1:171" ht="28.5">
      <c r="A30" s="393">
        <v>23</v>
      </c>
      <c r="B30" s="220" t="s">
        <v>388</v>
      </c>
      <c r="C30" s="221" t="s">
        <v>141</v>
      </c>
      <c r="D30" s="394">
        <v>19039</v>
      </c>
      <c r="E30" s="394">
        <v>19625</v>
      </c>
      <c r="F30" s="394">
        <f t="shared" si="591"/>
        <v>38664</v>
      </c>
      <c r="G30" s="394">
        <v>12752</v>
      </c>
      <c r="H30" s="394">
        <v>12333</v>
      </c>
      <c r="I30" s="394">
        <f t="shared" si="592"/>
        <v>25085</v>
      </c>
      <c r="J30" s="394">
        <v>2438</v>
      </c>
      <c r="K30" s="394">
        <v>2902</v>
      </c>
      <c r="L30" s="394">
        <f>J30+K30</f>
        <v>5340</v>
      </c>
      <c r="M30" s="396">
        <f t="shared" si="165"/>
        <v>15190</v>
      </c>
      <c r="N30" s="101">
        <f t="shared" si="166"/>
        <v>15235</v>
      </c>
      <c r="O30" s="101">
        <f t="shared" si="167"/>
        <v>30425</v>
      </c>
      <c r="P30" s="397">
        <f t="shared" si="168"/>
        <v>0.79783602079941174</v>
      </c>
      <c r="Q30" s="397">
        <f t="shared" si="169"/>
        <v>0.77630573248407642</v>
      </c>
      <c r="R30" s="397">
        <f t="shared" si="170"/>
        <v>0.78690771777363955</v>
      </c>
      <c r="S30" s="399"/>
      <c r="T30" s="399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101">
        <f t="shared" si="80"/>
        <v>19039</v>
      </c>
      <c r="AI30" s="101">
        <f t="shared" si="81"/>
        <v>19625</v>
      </c>
      <c r="AJ30" s="101">
        <f t="shared" si="82"/>
        <v>38664</v>
      </c>
      <c r="AK30" s="101">
        <f t="shared" si="83"/>
        <v>12752</v>
      </c>
      <c r="AL30" s="101">
        <f t="shared" si="84"/>
        <v>12333</v>
      </c>
      <c r="AM30" s="101">
        <f t="shared" si="85"/>
        <v>25085</v>
      </c>
      <c r="AN30" s="101">
        <f t="shared" si="86"/>
        <v>2438</v>
      </c>
      <c r="AO30" s="101">
        <f t="shared" si="87"/>
        <v>2902</v>
      </c>
      <c r="AP30" s="101">
        <f t="shared" si="88"/>
        <v>5340</v>
      </c>
      <c r="AQ30" s="101">
        <f t="shared" si="89"/>
        <v>15190</v>
      </c>
      <c r="AR30" s="101">
        <f t="shared" si="90"/>
        <v>15235</v>
      </c>
      <c r="AS30" s="101">
        <f t="shared" si="91"/>
        <v>30425</v>
      </c>
      <c r="AT30" s="397">
        <f t="shared" si="92"/>
        <v>0.79783602079941174</v>
      </c>
      <c r="AU30" s="397">
        <f t="shared" si="93"/>
        <v>0.77630573248407642</v>
      </c>
      <c r="AV30" s="397">
        <f t="shared" si="94"/>
        <v>0.78690771777363955</v>
      </c>
      <c r="AW30" s="394">
        <v>928</v>
      </c>
      <c r="AX30" s="394">
        <v>983</v>
      </c>
      <c r="AY30" s="394">
        <f t="shared" si="15"/>
        <v>1911</v>
      </c>
      <c r="AZ30" s="394">
        <v>703</v>
      </c>
      <c r="BA30" s="394">
        <v>697</v>
      </c>
      <c r="BB30" s="394">
        <f t="shared" si="16"/>
        <v>1400</v>
      </c>
      <c r="BC30" s="394">
        <v>97</v>
      </c>
      <c r="BD30" s="394">
        <v>120</v>
      </c>
      <c r="BE30" s="394">
        <f t="shared" si="578"/>
        <v>217</v>
      </c>
      <c r="BF30" s="396">
        <f t="shared" si="177"/>
        <v>800</v>
      </c>
      <c r="BG30" s="101">
        <f t="shared" si="178"/>
        <v>817</v>
      </c>
      <c r="BH30" s="101">
        <f t="shared" si="179"/>
        <v>1617</v>
      </c>
      <c r="BI30" s="397">
        <f t="shared" si="180"/>
        <v>0.86206896551724133</v>
      </c>
      <c r="BJ30" s="397">
        <f t="shared" si="181"/>
        <v>0.83112919633774163</v>
      </c>
      <c r="BK30" s="397">
        <f t="shared" si="182"/>
        <v>0.84615384615384615</v>
      </c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399"/>
      <c r="BW30" s="399"/>
      <c r="BX30" s="399"/>
      <c r="BY30" s="399"/>
      <c r="BZ30" s="399"/>
      <c r="CA30" s="101">
        <f t="shared" si="108"/>
        <v>928</v>
      </c>
      <c r="CB30" s="101">
        <f t="shared" si="109"/>
        <v>983</v>
      </c>
      <c r="CC30" s="101">
        <f t="shared" si="110"/>
        <v>1911</v>
      </c>
      <c r="CD30" s="101">
        <f t="shared" si="111"/>
        <v>703</v>
      </c>
      <c r="CE30" s="101">
        <f t="shared" si="112"/>
        <v>697</v>
      </c>
      <c r="CF30" s="101">
        <f t="shared" si="113"/>
        <v>1400</v>
      </c>
      <c r="CG30" s="101">
        <f t="shared" si="114"/>
        <v>97</v>
      </c>
      <c r="CH30" s="101">
        <f t="shared" si="115"/>
        <v>120</v>
      </c>
      <c r="CI30" s="101">
        <f t="shared" si="116"/>
        <v>217</v>
      </c>
      <c r="CJ30" s="101">
        <f t="shared" si="117"/>
        <v>800</v>
      </c>
      <c r="CK30" s="101">
        <f t="shared" si="118"/>
        <v>817</v>
      </c>
      <c r="CL30" s="101">
        <f t="shared" si="119"/>
        <v>1617</v>
      </c>
      <c r="CM30" s="397">
        <f t="shared" si="120"/>
        <v>0.86206896551724133</v>
      </c>
      <c r="CN30" s="397">
        <f t="shared" si="121"/>
        <v>0.83112919633774163</v>
      </c>
      <c r="CO30" s="397">
        <f t="shared" si="122"/>
        <v>0.84615384615384615</v>
      </c>
      <c r="CP30" s="394">
        <v>7082</v>
      </c>
      <c r="CQ30" s="394">
        <v>7549</v>
      </c>
      <c r="CR30" s="394">
        <f t="shared" si="189"/>
        <v>14631</v>
      </c>
      <c r="CS30" s="394">
        <v>4681</v>
      </c>
      <c r="CT30" s="394">
        <v>4606</v>
      </c>
      <c r="CU30" s="394">
        <f t="shared" si="35"/>
        <v>9287</v>
      </c>
      <c r="CV30" s="394">
        <v>1044</v>
      </c>
      <c r="CW30" s="394">
        <v>1262</v>
      </c>
      <c r="CX30" s="394">
        <f t="shared" si="392"/>
        <v>2306</v>
      </c>
      <c r="CY30" s="396">
        <f t="shared" si="190"/>
        <v>5725</v>
      </c>
      <c r="CZ30" s="101">
        <f t="shared" si="191"/>
        <v>5868</v>
      </c>
      <c r="DA30" s="101">
        <f t="shared" si="192"/>
        <v>11593</v>
      </c>
      <c r="DB30" s="397">
        <f t="shared" si="193"/>
        <v>0.80838746116916127</v>
      </c>
      <c r="DC30" s="397">
        <f t="shared" si="194"/>
        <v>0.77732149953636243</v>
      </c>
      <c r="DD30" s="397">
        <f t="shared" si="195"/>
        <v>0.79235869045178042</v>
      </c>
      <c r="DE30" s="420"/>
      <c r="DF30" s="420"/>
      <c r="DG30" s="420"/>
      <c r="DH30" s="420"/>
      <c r="DI30" s="420"/>
      <c r="DJ30" s="420"/>
      <c r="DK30" s="420"/>
      <c r="DL30" s="420"/>
      <c r="DM30" s="420"/>
      <c r="DN30" s="420"/>
      <c r="DO30" s="420"/>
      <c r="DP30" s="420"/>
      <c r="DQ30" s="420"/>
      <c r="DR30" s="420"/>
      <c r="DS30" s="420"/>
      <c r="DT30" s="101">
        <f t="shared" si="579"/>
        <v>7082</v>
      </c>
      <c r="DU30" s="101">
        <f t="shared" si="580"/>
        <v>7549</v>
      </c>
      <c r="DV30" s="101">
        <f t="shared" si="581"/>
        <v>14631</v>
      </c>
      <c r="DW30" s="101">
        <f t="shared" si="582"/>
        <v>4681</v>
      </c>
      <c r="DX30" s="101">
        <f t="shared" si="583"/>
        <v>4606</v>
      </c>
      <c r="DY30" s="101">
        <f t="shared" si="584"/>
        <v>9287</v>
      </c>
      <c r="DZ30" s="101">
        <f t="shared" si="585"/>
        <v>1044</v>
      </c>
      <c r="EA30" s="101">
        <f t="shared" si="586"/>
        <v>1262</v>
      </c>
      <c r="EB30" s="101">
        <f t="shared" si="587"/>
        <v>2306</v>
      </c>
      <c r="EC30" s="101">
        <f t="shared" si="588"/>
        <v>5725</v>
      </c>
      <c r="ED30" s="101">
        <f t="shared" si="589"/>
        <v>5868</v>
      </c>
      <c r="EE30" s="101">
        <f t="shared" si="590"/>
        <v>11593</v>
      </c>
      <c r="EF30" s="397">
        <f t="shared" si="404"/>
        <v>0.80838746116916127</v>
      </c>
      <c r="EG30" s="397">
        <f t="shared" si="405"/>
        <v>0.77732149953636243</v>
      </c>
      <c r="EH30" s="397">
        <f t="shared" si="406"/>
        <v>0.79235869045178042</v>
      </c>
      <c r="EI30" s="101">
        <f t="shared" si="53"/>
        <v>15190</v>
      </c>
      <c r="EJ30" s="101">
        <f t="shared" si="54"/>
        <v>15235</v>
      </c>
      <c r="EK30" s="101">
        <f t="shared" si="55"/>
        <v>30425</v>
      </c>
      <c r="EL30" s="101">
        <v>5807</v>
      </c>
      <c r="EM30" s="101">
        <v>6237</v>
      </c>
      <c r="EN30" s="101">
        <f t="shared" ref="EN30" si="705">EL30+EM30</f>
        <v>12044</v>
      </c>
      <c r="EO30" s="413">
        <f t="shared" ref="EO30" si="706">+EL30*100/EI30</f>
        <v>38.229098090849241</v>
      </c>
      <c r="EP30" s="413">
        <f t="shared" ref="EP30" si="707">+EM30*100/EJ30</f>
        <v>40.938628158844764</v>
      </c>
      <c r="EQ30" s="413">
        <f t="shared" ref="EQ30" si="708">+EN30*100/EK30</f>
        <v>39.585866885784718</v>
      </c>
      <c r="ER30" s="101">
        <f t="shared" si="564"/>
        <v>800</v>
      </c>
      <c r="ES30" s="101">
        <f t="shared" si="565"/>
        <v>817</v>
      </c>
      <c r="ET30" s="101">
        <f t="shared" si="566"/>
        <v>1617</v>
      </c>
      <c r="EU30" s="101">
        <v>369</v>
      </c>
      <c r="EV30" s="101">
        <v>386</v>
      </c>
      <c r="EW30" s="101">
        <f t="shared" ref="EW30" si="709">EU30+EV30</f>
        <v>755</v>
      </c>
      <c r="EX30" s="413">
        <f t="shared" ref="EX30" si="710">+EU30*100/ER30</f>
        <v>46.125</v>
      </c>
      <c r="EY30" s="413">
        <f t="shared" ref="EY30" si="711">+EV30*100/ES30</f>
        <v>47.246022031823749</v>
      </c>
      <c r="EZ30" s="413">
        <f t="shared" ref="EZ30" si="712">+EW30*100/ET30</f>
        <v>46.691403834260974</v>
      </c>
      <c r="FA30" s="101">
        <f t="shared" si="571"/>
        <v>5725</v>
      </c>
      <c r="FB30" s="101">
        <f t="shared" si="572"/>
        <v>5868</v>
      </c>
      <c r="FC30" s="101">
        <f t="shared" si="573"/>
        <v>11593</v>
      </c>
      <c r="FD30" s="101">
        <v>1937</v>
      </c>
      <c r="FE30" s="101">
        <v>2119</v>
      </c>
      <c r="FF30" s="101">
        <f t="shared" ref="FF30" si="713">FD30+FE30</f>
        <v>4056</v>
      </c>
      <c r="FG30" s="413">
        <f t="shared" ref="FG30" si="714">+FD30*100/FA30</f>
        <v>33.834061135371179</v>
      </c>
      <c r="FH30" s="413">
        <f t="shared" ref="FH30" si="715">+FE30*100/FB30</f>
        <v>36.111111111111114</v>
      </c>
      <c r="FI30" s="413">
        <f t="shared" ref="FI30" si="716">+FF30*100/FC30</f>
        <v>34.986629862848268</v>
      </c>
    </row>
    <row r="31" spans="1:171" ht="28.5">
      <c r="A31" s="393">
        <v>24</v>
      </c>
      <c r="B31" s="220" t="s">
        <v>389</v>
      </c>
      <c r="C31" s="221" t="s">
        <v>158</v>
      </c>
      <c r="D31" s="400">
        <v>15375</v>
      </c>
      <c r="E31" s="400">
        <v>19804</v>
      </c>
      <c r="F31" s="400">
        <f t="shared" si="591"/>
        <v>35179</v>
      </c>
      <c r="G31" s="400">
        <v>9279</v>
      </c>
      <c r="H31" s="400">
        <v>11792</v>
      </c>
      <c r="I31" s="400">
        <f t="shared" si="592"/>
        <v>21071</v>
      </c>
      <c r="J31" s="398"/>
      <c r="K31" s="398"/>
      <c r="L31" s="398"/>
      <c r="M31" s="396">
        <f t="shared" si="165"/>
        <v>9279</v>
      </c>
      <c r="N31" s="101">
        <f t="shared" si="166"/>
        <v>11792</v>
      </c>
      <c r="O31" s="101">
        <f t="shared" si="167"/>
        <v>21071</v>
      </c>
      <c r="P31" s="397">
        <f t="shared" si="168"/>
        <v>0.6035121951219512</v>
      </c>
      <c r="Q31" s="397">
        <f t="shared" si="169"/>
        <v>0.59543526560290849</v>
      </c>
      <c r="R31" s="397">
        <f t="shared" si="170"/>
        <v>0.59896529179339952</v>
      </c>
      <c r="S31" s="419">
        <v>6883</v>
      </c>
      <c r="T31" s="419">
        <v>8015</v>
      </c>
      <c r="U31" s="394">
        <f t="shared" si="4"/>
        <v>14898</v>
      </c>
      <c r="V31" s="419">
        <v>1717</v>
      </c>
      <c r="W31" s="419">
        <v>2413</v>
      </c>
      <c r="X31" s="394">
        <f t="shared" si="5"/>
        <v>4130</v>
      </c>
      <c r="Y31" s="399"/>
      <c r="Z31" s="399"/>
      <c r="AA31" s="399"/>
      <c r="AB31" s="396">
        <f t="shared" si="171"/>
        <v>1717</v>
      </c>
      <c r="AC31" s="101">
        <f t="shared" si="172"/>
        <v>2413</v>
      </c>
      <c r="AD31" s="101">
        <f t="shared" si="173"/>
        <v>4130</v>
      </c>
      <c r="AE31" s="397">
        <f t="shared" ref="AE31" si="717">AB31/S31</f>
        <v>0.2494551794275752</v>
      </c>
      <c r="AF31" s="397">
        <f t="shared" ref="AF31" si="718">AC31/T31</f>
        <v>0.30106051154086089</v>
      </c>
      <c r="AG31" s="397">
        <f t="shared" ref="AG31" si="719">AD31/U31</f>
        <v>0.27721841857967511</v>
      </c>
      <c r="AH31" s="101">
        <f t="shared" si="80"/>
        <v>22258</v>
      </c>
      <c r="AI31" s="101">
        <f t="shared" si="81"/>
        <v>27819</v>
      </c>
      <c r="AJ31" s="101">
        <f t="shared" si="82"/>
        <v>50077</v>
      </c>
      <c r="AK31" s="101">
        <f t="shared" si="83"/>
        <v>10996</v>
      </c>
      <c r="AL31" s="101">
        <f t="shared" si="84"/>
        <v>14205</v>
      </c>
      <c r="AM31" s="101">
        <f t="shared" si="85"/>
        <v>25201</v>
      </c>
      <c r="AN31" s="398"/>
      <c r="AO31" s="398"/>
      <c r="AP31" s="398"/>
      <c r="AQ31" s="101">
        <f t="shared" si="89"/>
        <v>10996</v>
      </c>
      <c r="AR31" s="101">
        <f t="shared" si="90"/>
        <v>14205</v>
      </c>
      <c r="AS31" s="101">
        <f t="shared" si="91"/>
        <v>25201</v>
      </c>
      <c r="AT31" s="397">
        <f t="shared" si="92"/>
        <v>0.49402462036121841</v>
      </c>
      <c r="AU31" s="397">
        <f t="shared" si="93"/>
        <v>0.51062223660088424</v>
      </c>
      <c r="AV31" s="397">
        <f t="shared" si="94"/>
        <v>0.50324500269584838</v>
      </c>
      <c r="AW31" s="394">
        <v>113</v>
      </c>
      <c r="AX31" s="394">
        <v>103</v>
      </c>
      <c r="AY31" s="394">
        <f t="shared" si="15"/>
        <v>216</v>
      </c>
      <c r="AZ31" s="394">
        <v>87</v>
      </c>
      <c r="BA31" s="394">
        <v>66</v>
      </c>
      <c r="BB31" s="394">
        <f t="shared" si="16"/>
        <v>153</v>
      </c>
      <c r="BC31" s="399"/>
      <c r="BD31" s="399"/>
      <c r="BE31" s="399"/>
      <c r="BF31" s="396">
        <f t="shared" si="177"/>
        <v>87</v>
      </c>
      <c r="BG31" s="101">
        <f t="shared" si="178"/>
        <v>66</v>
      </c>
      <c r="BH31" s="101">
        <f t="shared" si="179"/>
        <v>153</v>
      </c>
      <c r="BI31" s="397">
        <f t="shared" si="180"/>
        <v>0.76991150442477874</v>
      </c>
      <c r="BJ31" s="397">
        <f t="shared" si="181"/>
        <v>0.64077669902912626</v>
      </c>
      <c r="BK31" s="397">
        <f t="shared" si="182"/>
        <v>0.70833333333333337</v>
      </c>
      <c r="BL31" s="394">
        <v>20</v>
      </c>
      <c r="BM31" s="394">
        <v>20</v>
      </c>
      <c r="BN31" s="394">
        <f t="shared" si="24"/>
        <v>40</v>
      </c>
      <c r="BO31" s="394">
        <v>5</v>
      </c>
      <c r="BP31" s="394">
        <v>10</v>
      </c>
      <c r="BQ31" s="394">
        <f t="shared" si="25"/>
        <v>15</v>
      </c>
      <c r="BR31" s="399"/>
      <c r="BS31" s="399"/>
      <c r="BT31" s="399"/>
      <c r="BU31" s="396">
        <f t="shared" si="183"/>
        <v>5</v>
      </c>
      <c r="BV31" s="101">
        <f t="shared" si="184"/>
        <v>10</v>
      </c>
      <c r="BW31" s="101">
        <f t="shared" si="185"/>
        <v>15</v>
      </c>
      <c r="BX31" s="397">
        <f t="shared" si="186"/>
        <v>0.25</v>
      </c>
      <c r="BY31" s="397">
        <f t="shared" si="187"/>
        <v>0.5</v>
      </c>
      <c r="BZ31" s="397">
        <f t="shared" si="188"/>
        <v>0.375</v>
      </c>
      <c r="CA31" s="101">
        <f t="shared" si="108"/>
        <v>133</v>
      </c>
      <c r="CB31" s="101">
        <f t="shared" si="109"/>
        <v>123</v>
      </c>
      <c r="CC31" s="101">
        <f t="shared" si="110"/>
        <v>256</v>
      </c>
      <c r="CD31" s="101">
        <f t="shared" si="111"/>
        <v>92</v>
      </c>
      <c r="CE31" s="101">
        <f t="shared" si="112"/>
        <v>76</v>
      </c>
      <c r="CF31" s="101">
        <f t="shared" si="113"/>
        <v>168</v>
      </c>
      <c r="CG31" s="399"/>
      <c r="CH31" s="399"/>
      <c r="CI31" s="399"/>
      <c r="CJ31" s="101">
        <f t="shared" si="117"/>
        <v>92</v>
      </c>
      <c r="CK31" s="101">
        <f t="shared" si="118"/>
        <v>76</v>
      </c>
      <c r="CL31" s="101">
        <f t="shared" si="119"/>
        <v>168</v>
      </c>
      <c r="CM31" s="397">
        <f t="shared" si="120"/>
        <v>0.69172932330827064</v>
      </c>
      <c r="CN31" s="397">
        <f t="shared" si="121"/>
        <v>0.61788617886178865</v>
      </c>
      <c r="CO31" s="397">
        <f t="shared" si="122"/>
        <v>0.65625</v>
      </c>
      <c r="CP31" s="394">
        <v>13722</v>
      </c>
      <c r="CQ31" s="394">
        <v>18219</v>
      </c>
      <c r="CR31" s="394">
        <f t="shared" si="189"/>
        <v>31941</v>
      </c>
      <c r="CS31" s="394">
        <v>8146</v>
      </c>
      <c r="CT31" s="394">
        <v>10741</v>
      </c>
      <c r="CU31" s="394">
        <f t="shared" si="35"/>
        <v>18887</v>
      </c>
      <c r="CV31" s="417"/>
      <c r="CW31" s="417"/>
      <c r="CX31" s="417"/>
      <c r="CY31" s="396">
        <f t="shared" si="190"/>
        <v>8146</v>
      </c>
      <c r="CZ31" s="101">
        <f t="shared" si="191"/>
        <v>10741</v>
      </c>
      <c r="DA31" s="101">
        <f t="shared" si="192"/>
        <v>18887</v>
      </c>
      <c r="DB31" s="397">
        <f t="shared" si="193"/>
        <v>0.59364524121848128</v>
      </c>
      <c r="DC31" s="397">
        <f t="shared" si="194"/>
        <v>0.58954937153521048</v>
      </c>
      <c r="DD31" s="397">
        <f t="shared" si="195"/>
        <v>0.59130897592436049</v>
      </c>
      <c r="DE31" s="394">
        <v>6690</v>
      </c>
      <c r="DF31" s="394">
        <v>7796</v>
      </c>
      <c r="DG31" s="394">
        <f t="shared" si="43"/>
        <v>14486</v>
      </c>
      <c r="DH31" s="394">
        <v>1625</v>
      </c>
      <c r="DI31" s="394">
        <v>2320</v>
      </c>
      <c r="DJ31" s="394">
        <f t="shared" si="44"/>
        <v>3945</v>
      </c>
      <c r="DK31" s="420"/>
      <c r="DL31" s="420"/>
      <c r="DM31" s="420"/>
      <c r="DN31" s="396">
        <f t="shared" ref="DN31" si="720">DH31+DK31</f>
        <v>1625</v>
      </c>
      <c r="DO31" s="101">
        <f t="shared" ref="DO31" si="721">DI31+DL31</f>
        <v>2320</v>
      </c>
      <c r="DP31" s="101">
        <f t="shared" si="198"/>
        <v>3945</v>
      </c>
      <c r="DQ31" s="397">
        <f t="shared" si="199"/>
        <v>0.2428998505231689</v>
      </c>
      <c r="DR31" s="397">
        <f t="shared" si="200"/>
        <v>0.29758850692662903</v>
      </c>
      <c r="DS31" s="397">
        <f t="shared" si="201"/>
        <v>0.27233190666850754</v>
      </c>
      <c r="DT31" s="101">
        <f t="shared" si="579"/>
        <v>20412</v>
      </c>
      <c r="DU31" s="101">
        <f t="shared" si="580"/>
        <v>26015</v>
      </c>
      <c r="DV31" s="101">
        <f t="shared" si="581"/>
        <v>46427</v>
      </c>
      <c r="DW31" s="101">
        <f t="shared" si="582"/>
        <v>9771</v>
      </c>
      <c r="DX31" s="101">
        <f t="shared" si="583"/>
        <v>13061</v>
      </c>
      <c r="DY31" s="101">
        <f t="shared" si="584"/>
        <v>22832</v>
      </c>
      <c r="DZ31" s="399"/>
      <c r="EA31" s="399"/>
      <c r="EB31" s="399"/>
      <c r="EC31" s="101">
        <f t="shared" si="588"/>
        <v>9771</v>
      </c>
      <c r="ED31" s="101">
        <f t="shared" si="589"/>
        <v>13061</v>
      </c>
      <c r="EE31" s="101">
        <f t="shared" si="590"/>
        <v>22832</v>
      </c>
      <c r="EF31" s="397">
        <f t="shared" si="404"/>
        <v>0.47868900646678425</v>
      </c>
      <c r="EG31" s="397">
        <f t="shared" si="405"/>
        <v>0.50205650586200268</v>
      </c>
      <c r="EH31" s="397">
        <f t="shared" si="406"/>
        <v>0.49178279880242098</v>
      </c>
      <c r="EI31" s="101">
        <f t="shared" si="53"/>
        <v>10996</v>
      </c>
      <c r="EJ31" s="101">
        <f t="shared" si="54"/>
        <v>14205</v>
      </c>
      <c r="EK31" s="101">
        <f t="shared" si="55"/>
        <v>25201</v>
      </c>
      <c r="EL31" s="101">
        <v>1720</v>
      </c>
      <c r="EM31" s="101">
        <v>2327</v>
      </c>
      <c r="EN31" s="101">
        <f t="shared" ref="EN31" si="722">EL31+EM31</f>
        <v>4047</v>
      </c>
      <c r="EO31" s="413">
        <f t="shared" ref="EO31" si="723">+EL31*100/EI31</f>
        <v>15.642051655147327</v>
      </c>
      <c r="EP31" s="413">
        <f t="shared" ref="EP31" si="724">+EM31*100/EJ31</f>
        <v>16.381555790214712</v>
      </c>
      <c r="EQ31" s="413">
        <f t="shared" ref="EQ31" si="725">+EN31*100/EK31</f>
        <v>16.058886552120949</v>
      </c>
      <c r="ER31" s="101">
        <f t="shared" si="564"/>
        <v>92</v>
      </c>
      <c r="ES31" s="101">
        <f t="shared" si="565"/>
        <v>76</v>
      </c>
      <c r="ET31" s="101">
        <f t="shared" si="566"/>
        <v>168</v>
      </c>
      <c r="EU31" s="101">
        <v>15</v>
      </c>
      <c r="EV31" s="101">
        <v>19</v>
      </c>
      <c r="EW31" s="101">
        <f t="shared" ref="EW31" si="726">EU31+EV31</f>
        <v>34</v>
      </c>
      <c r="EX31" s="413">
        <f t="shared" ref="EX31" si="727">+EU31*100/ER31</f>
        <v>16.304347826086957</v>
      </c>
      <c r="EY31" s="413">
        <f t="shared" ref="EY31" si="728">+EV31*100/ES31</f>
        <v>25</v>
      </c>
      <c r="EZ31" s="413">
        <f t="shared" ref="EZ31" si="729">+EW31*100/ET31</f>
        <v>20.238095238095237</v>
      </c>
      <c r="FA31" s="101">
        <f t="shared" si="571"/>
        <v>9771</v>
      </c>
      <c r="FB31" s="101">
        <f t="shared" si="572"/>
        <v>13061</v>
      </c>
      <c r="FC31" s="101">
        <f t="shared" si="573"/>
        <v>22832</v>
      </c>
      <c r="FD31" s="101">
        <v>1433</v>
      </c>
      <c r="FE31" s="101">
        <v>2045</v>
      </c>
      <c r="FF31" s="101">
        <f t="shared" ref="FF31" si="730">FD31+FE31</f>
        <v>3478</v>
      </c>
      <c r="FG31" s="413">
        <f t="shared" ref="FG31" si="731">+FD31*100/FA31</f>
        <v>14.665847917306314</v>
      </c>
      <c r="FH31" s="413">
        <f t="shared" ref="FH31" si="732">+FE31*100/FB31</f>
        <v>15.657300359849934</v>
      </c>
      <c r="FI31" s="413">
        <f t="shared" ref="FI31" si="733">+FF31*100/FC31</f>
        <v>15.233006306937632</v>
      </c>
    </row>
    <row r="32" spans="1:171" ht="28.5">
      <c r="A32" s="393">
        <v>25</v>
      </c>
      <c r="B32" s="220" t="s">
        <v>390</v>
      </c>
      <c r="C32" s="221" t="s">
        <v>159</v>
      </c>
      <c r="D32" s="400">
        <v>8235</v>
      </c>
      <c r="E32" s="400">
        <v>9477</v>
      </c>
      <c r="F32" s="400">
        <f t="shared" si="591"/>
        <v>17712</v>
      </c>
      <c r="G32" s="400">
        <v>5827</v>
      </c>
      <c r="H32" s="400">
        <v>6399</v>
      </c>
      <c r="I32" s="400">
        <f t="shared" si="592"/>
        <v>12226</v>
      </c>
      <c r="J32" s="400">
        <v>29</v>
      </c>
      <c r="K32" s="400">
        <v>33</v>
      </c>
      <c r="L32" s="394">
        <f>J32+K32</f>
        <v>62</v>
      </c>
      <c r="M32" s="396">
        <f t="shared" ref="M32" si="734">G32+J32</f>
        <v>5856</v>
      </c>
      <c r="N32" s="101">
        <f t="shared" ref="N32" si="735">H32+K32</f>
        <v>6432</v>
      </c>
      <c r="O32" s="101">
        <f t="shared" ref="O32" si="736">I32+L32</f>
        <v>12288</v>
      </c>
      <c r="P32" s="397">
        <f t="shared" ref="P32" si="737">M32/D32</f>
        <v>0.71111111111111114</v>
      </c>
      <c r="Q32" s="397">
        <f t="shared" ref="Q32" si="738">N32/E32</f>
        <v>0.67869578980690093</v>
      </c>
      <c r="R32" s="397">
        <f t="shared" ref="R32" si="739">O32/F32</f>
        <v>0.69376693766937669</v>
      </c>
      <c r="S32" s="419">
        <v>187</v>
      </c>
      <c r="T32" s="419">
        <v>137</v>
      </c>
      <c r="U32" s="394">
        <f t="shared" ref="U32" si="740">S32+T32</f>
        <v>324</v>
      </c>
      <c r="V32" s="419">
        <v>63</v>
      </c>
      <c r="W32" s="419">
        <v>42</v>
      </c>
      <c r="X32" s="394">
        <f t="shared" ref="X32" si="741">V32+W32</f>
        <v>105</v>
      </c>
      <c r="Y32" s="399"/>
      <c r="Z32" s="399"/>
      <c r="AA32" s="399"/>
      <c r="AB32" s="396">
        <f t="shared" ref="AB32" si="742">V32+Y32</f>
        <v>63</v>
      </c>
      <c r="AC32" s="101">
        <f t="shared" ref="AC32" si="743">W32+Z32</f>
        <v>42</v>
      </c>
      <c r="AD32" s="101">
        <f t="shared" ref="AD32" si="744">X32+AA32</f>
        <v>105</v>
      </c>
      <c r="AE32" s="397">
        <f t="shared" ref="AE32" si="745">AB32/S32</f>
        <v>0.33689839572192515</v>
      </c>
      <c r="AF32" s="397">
        <f t="shared" ref="AF32" si="746">AC32/T32</f>
        <v>0.30656934306569344</v>
      </c>
      <c r="AG32" s="397">
        <f t="shared" ref="AG32" si="747">AD32/U32</f>
        <v>0.32407407407407407</v>
      </c>
      <c r="AH32" s="101">
        <f t="shared" si="80"/>
        <v>8422</v>
      </c>
      <c r="AI32" s="101">
        <f t="shared" si="81"/>
        <v>9614</v>
      </c>
      <c r="AJ32" s="101">
        <f t="shared" si="82"/>
        <v>18036</v>
      </c>
      <c r="AK32" s="101">
        <f t="shared" si="83"/>
        <v>5890</v>
      </c>
      <c r="AL32" s="101">
        <f t="shared" si="84"/>
        <v>6441</v>
      </c>
      <c r="AM32" s="101">
        <f t="shared" si="85"/>
        <v>12331</v>
      </c>
      <c r="AN32" s="101">
        <f t="shared" si="86"/>
        <v>29</v>
      </c>
      <c r="AO32" s="101">
        <f t="shared" si="87"/>
        <v>33</v>
      </c>
      <c r="AP32" s="101">
        <f t="shared" si="88"/>
        <v>62</v>
      </c>
      <c r="AQ32" s="101">
        <f t="shared" si="89"/>
        <v>5919</v>
      </c>
      <c r="AR32" s="101">
        <f t="shared" si="90"/>
        <v>6474</v>
      </c>
      <c r="AS32" s="101">
        <f t="shared" si="91"/>
        <v>12393</v>
      </c>
      <c r="AT32" s="397">
        <f t="shared" si="92"/>
        <v>0.70280218475421519</v>
      </c>
      <c r="AU32" s="397">
        <f t="shared" si="93"/>
        <v>0.67339296858747655</v>
      </c>
      <c r="AV32" s="397">
        <f t="shared" si="94"/>
        <v>0.68712574850299402</v>
      </c>
      <c r="AW32" s="394">
        <v>16</v>
      </c>
      <c r="AX32" s="394">
        <v>25</v>
      </c>
      <c r="AY32" s="394">
        <f t="shared" ref="AY32" si="748">AW32+AX32</f>
        <v>41</v>
      </c>
      <c r="AZ32" s="394">
        <v>11</v>
      </c>
      <c r="BA32" s="394">
        <v>20</v>
      </c>
      <c r="BB32" s="394">
        <f t="shared" ref="BB32" si="749">AZ32+BA32</f>
        <v>31</v>
      </c>
      <c r="BC32" s="399"/>
      <c r="BD32" s="399"/>
      <c r="BE32" s="399"/>
      <c r="BF32" s="396">
        <f t="shared" ref="BF32" si="750">AZ32+BC32</f>
        <v>11</v>
      </c>
      <c r="BG32" s="101">
        <f t="shared" ref="BG32" si="751">BA32+BD32</f>
        <v>20</v>
      </c>
      <c r="BH32" s="101">
        <f t="shared" ref="BH32" si="752">BB32+BE32</f>
        <v>31</v>
      </c>
      <c r="BI32" s="397">
        <f t="shared" ref="BI32" si="753">BF32/AW32</f>
        <v>0.6875</v>
      </c>
      <c r="BJ32" s="397">
        <f t="shared" ref="BJ32" si="754">BG32/AX32</f>
        <v>0.8</v>
      </c>
      <c r="BK32" s="397">
        <f t="shared" ref="BK32" si="755">BH32/AY32</f>
        <v>0.75609756097560976</v>
      </c>
      <c r="BL32" s="394">
        <v>4</v>
      </c>
      <c r="BM32" s="394">
        <v>6</v>
      </c>
      <c r="BN32" s="394">
        <f t="shared" ref="BN32" si="756">BL32+BM32</f>
        <v>10</v>
      </c>
      <c r="BO32" s="394">
        <v>1</v>
      </c>
      <c r="BP32" s="394">
        <v>3</v>
      </c>
      <c r="BQ32" s="394">
        <f t="shared" ref="BQ32" si="757">BO32+BP32</f>
        <v>4</v>
      </c>
      <c r="BR32" s="399"/>
      <c r="BS32" s="399"/>
      <c r="BT32" s="399"/>
      <c r="BU32" s="396">
        <f t="shared" ref="BU32" si="758">BO32+BR32</f>
        <v>1</v>
      </c>
      <c r="BV32" s="101">
        <f t="shared" ref="BV32" si="759">BP32+BS32</f>
        <v>3</v>
      </c>
      <c r="BW32" s="101">
        <f t="shared" ref="BW32" si="760">BQ32+BT32</f>
        <v>4</v>
      </c>
      <c r="BX32" s="397">
        <f t="shared" ref="BX32" si="761">BU32/BL32</f>
        <v>0.25</v>
      </c>
      <c r="BY32" s="397">
        <f t="shared" ref="BY32" si="762">BV32/BM32</f>
        <v>0.5</v>
      </c>
      <c r="BZ32" s="397">
        <f t="shared" ref="BZ32" si="763">BW32/BN32</f>
        <v>0.4</v>
      </c>
      <c r="CA32" s="101">
        <f t="shared" si="108"/>
        <v>20</v>
      </c>
      <c r="CB32" s="101">
        <f t="shared" si="109"/>
        <v>31</v>
      </c>
      <c r="CC32" s="101">
        <f t="shared" si="110"/>
        <v>51</v>
      </c>
      <c r="CD32" s="101">
        <f t="shared" si="111"/>
        <v>12</v>
      </c>
      <c r="CE32" s="101">
        <f t="shared" si="112"/>
        <v>23</v>
      </c>
      <c r="CF32" s="101">
        <f t="shared" si="113"/>
        <v>35</v>
      </c>
      <c r="CG32" s="399"/>
      <c r="CH32" s="399"/>
      <c r="CI32" s="399"/>
      <c r="CJ32" s="101">
        <f t="shared" si="117"/>
        <v>12</v>
      </c>
      <c r="CK32" s="101">
        <f t="shared" si="118"/>
        <v>23</v>
      </c>
      <c r="CL32" s="101">
        <f t="shared" si="119"/>
        <v>35</v>
      </c>
      <c r="CM32" s="397">
        <f t="shared" si="120"/>
        <v>0.6</v>
      </c>
      <c r="CN32" s="397">
        <f t="shared" si="121"/>
        <v>0.74193548387096775</v>
      </c>
      <c r="CO32" s="397">
        <f t="shared" si="122"/>
        <v>0.68627450980392157</v>
      </c>
      <c r="CP32" s="394">
        <v>8131</v>
      </c>
      <c r="CQ32" s="394">
        <v>9379</v>
      </c>
      <c r="CR32" s="394">
        <f t="shared" ref="CR32" si="764">CP32+CQ32</f>
        <v>17510</v>
      </c>
      <c r="CS32" s="394">
        <v>5738</v>
      </c>
      <c r="CT32" s="394">
        <v>6317</v>
      </c>
      <c r="CU32" s="394">
        <f t="shared" ref="CU32" si="765">CS32+CT32</f>
        <v>12055</v>
      </c>
      <c r="CV32" s="394">
        <v>29</v>
      </c>
      <c r="CW32" s="394">
        <v>32</v>
      </c>
      <c r="CX32" s="394">
        <f t="shared" ref="CX32" si="766">CV32+CW32</f>
        <v>61</v>
      </c>
      <c r="CY32" s="396">
        <f t="shared" ref="CY32" si="767">CS32+CV32</f>
        <v>5767</v>
      </c>
      <c r="CZ32" s="101">
        <f t="shared" ref="CZ32" si="768">CT32+CW32</f>
        <v>6349</v>
      </c>
      <c r="DA32" s="101">
        <f t="shared" ref="DA32" si="769">CU32+CX32</f>
        <v>12116</v>
      </c>
      <c r="DB32" s="397">
        <f t="shared" ref="DB32" si="770">CY32/CP32</f>
        <v>0.70926085352355184</v>
      </c>
      <c r="DC32" s="397">
        <f t="shared" ref="DC32" si="771">CZ32/CQ32</f>
        <v>0.67693783985499523</v>
      </c>
      <c r="DD32" s="397">
        <f t="shared" ref="DD32" si="772">DA32/CR32</f>
        <v>0.69194745859508855</v>
      </c>
      <c r="DE32" s="394">
        <v>185</v>
      </c>
      <c r="DF32" s="394">
        <v>133</v>
      </c>
      <c r="DG32" s="394">
        <f t="shared" ref="DG32" si="773">DE32+DF32</f>
        <v>318</v>
      </c>
      <c r="DH32" s="394">
        <v>61</v>
      </c>
      <c r="DI32" s="394">
        <v>38</v>
      </c>
      <c r="DJ32" s="394">
        <f t="shared" ref="DJ32" si="774">DH32+DI32</f>
        <v>99</v>
      </c>
      <c r="DK32" s="420"/>
      <c r="DL32" s="420"/>
      <c r="DM32" s="420"/>
      <c r="DN32" s="396">
        <f t="shared" ref="DN32:DN33" si="775">DH32+DK32</f>
        <v>61</v>
      </c>
      <c r="DO32" s="101">
        <f t="shared" ref="DO32:DO33" si="776">DI32+DL32</f>
        <v>38</v>
      </c>
      <c r="DP32" s="101">
        <f t="shared" ref="DP32:DP33" si="777">DJ32+DM32</f>
        <v>99</v>
      </c>
      <c r="DQ32" s="397">
        <f t="shared" ref="DQ32" si="778">DN32/DE32</f>
        <v>0.32972972972972975</v>
      </c>
      <c r="DR32" s="397">
        <f t="shared" ref="DR32" si="779">DO32/DF32</f>
        <v>0.2857142857142857</v>
      </c>
      <c r="DS32" s="397">
        <f t="shared" ref="DS32" si="780">DP32/DG32</f>
        <v>0.31132075471698112</v>
      </c>
      <c r="DT32" s="101">
        <f t="shared" si="579"/>
        <v>8316</v>
      </c>
      <c r="DU32" s="101">
        <f t="shared" si="580"/>
        <v>9512</v>
      </c>
      <c r="DV32" s="101">
        <f t="shared" si="581"/>
        <v>17828</v>
      </c>
      <c r="DW32" s="101">
        <f t="shared" si="582"/>
        <v>5799</v>
      </c>
      <c r="DX32" s="101">
        <f t="shared" si="583"/>
        <v>6355</v>
      </c>
      <c r="DY32" s="101">
        <f t="shared" si="584"/>
        <v>12154</v>
      </c>
      <c r="DZ32" s="101">
        <f t="shared" si="585"/>
        <v>29</v>
      </c>
      <c r="EA32" s="101">
        <f t="shared" si="586"/>
        <v>32</v>
      </c>
      <c r="EB32" s="101">
        <f t="shared" si="587"/>
        <v>61</v>
      </c>
      <c r="EC32" s="101">
        <f t="shared" si="588"/>
        <v>5828</v>
      </c>
      <c r="ED32" s="101">
        <f t="shared" si="589"/>
        <v>6387</v>
      </c>
      <c r="EE32" s="101">
        <f t="shared" si="590"/>
        <v>12215</v>
      </c>
      <c r="EF32" s="397">
        <f t="shared" ref="EF32" si="781">EC32/DT32</f>
        <v>0.70081770081770078</v>
      </c>
      <c r="EG32" s="397">
        <f t="shared" ref="EG32" si="782">ED32/DU32</f>
        <v>0.67146761984861225</v>
      </c>
      <c r="EH32" s="397">
        <f t="shared" ref="EH32" si="783">EE32/DV32</f>
        <v>0.68515817814673552</v>
      </c>
      <c r="EI32" s="101">
        <f t="shared" si="53"/>
        <v>5919</v>
      </c>
      <c r="EJ32" s="101">
        <f t="shared" si="54"/>
        <v>6474</v>
      </c>
      <c r="EK32" s="101">
        <f t="shared" si="55"/>
        <v>12393</v>
      </c>
      <c r="EL32" s="101">
        <v>1668</v>
      </c>
      <c r="EM32" s="101">
        <v>2047</v>
      </c>
      <c r="EN32" s="101">
        <f t="shared" ref="EN32:EN33" si="784">EL32+EM32</f>
        <v>3715</v>
      </c>
      <c r="EO32" s="413">
        <f t="shared" ref="EO32:EO33" si="785">+EL32*100/EI32</f>
        <v>28.180435884439937</v>
      </c>
      <c r="EP32" s="413">
        <f t="shared" ref="EP32:EP33" si="786">+EM32*100/EJ32</f>
        <v>31.6187828236021</v>
      </c>
      <c r="EQ32" s="413">
        <f t="shared" ref="EQ32:EQ33" si="787">+EN32*100/EK32</f>
        <v>29.976599693375292</v>
      </c>
      <c r="ER32" s="101">
        <f t="shared" si="564"/>
        <v>12</v>
      </c>
      <c r="ES32" s="101">
        <f t="shared" si="565"/>
        <v>23</v>
      </c>
      <c r="ET32" s="101">
        <f t="shared" si="566"/>
        <v>35</v>
      </c>
      <c r="EU32" s="101">
        <v>4</v>
      </c>
      <c r="EV32" s="101">
        <v>10</v>
      </c>
      <c r="EW32" s="101">
        <f t="shared" ref="EW32:EW33" si="788">EU32+EV32</f>
        <v>14</v>
      </c>
      <c r="EX32" s="413">
        <f t="shared" ref="EX32:EX33" si="789">+EU32*100/ER32</f>
        <v>33.333333333333336</v>
      </c>
      <c r="EY32" s="413">
        <f t="shared" ref="EY32:EY33" si="790">+EV32*100/ES32</f>
        <v>43.478260869565219</v>
      </c>
      <c r="EZ32" s="413">
        <f t="shared" ref="EZ32:EZ33" si="791">+EW32*100/ET32</f>
        <v>40</v>
      </c>
      <c r="FA32" s="101">
        <f t="shared" si="571"/>
        <v>5828</v>
      </c>
      <c r="FB32" s="101">
        <f t="shared" si="572"/>
        <v>6387</v>
      </c>
      <c r="FC32" s="101">
        <f t="shared" si="573"/>
        <v>12215</v>
      </c>
      <c r="FD32" s="101">
        <v>1623</v>
      </c>
      <c r="FE32" s="101">
        <v>2003</v>
      </c>
      <c r="FF32" s="101">
        <f t="shared" ref="FF32:FF33" si="792">FD32+FE32</f>
        <v>3626</v>
      </c>
      <c r="FG32" s="413">
        <f t="shared" ref="FG32:FG33" si="793">+FD32*100/FA32</f>
        <v>27.848318462594371</v>
      </c>
      <c r="FH32" s="413">
        <f t="shared" ref="FH32:FH33" si="794">+FE32*100/FB32</f>
        <v>31.360576170346015</v>
      </c>
      <c r="FI32" s="413">
        <f t="shared" ref="FI32:FI33" si="795">+FF32*100/FC32</f>
        <v>29.684813753581661</v>
      </c>
    </row>
    <row r="33" spans="1:171" ht="28.5">
      <c r="A33" s="393">
        <v>26</v>
      </c>
      <c r="B33" s="220" t="s">
        <v>391</v>
      </c>
      <c r="C33" s="221" t="s">
        <v>160</v>
      </c>
      <c r="D33" s="394">
        <v>8999</v>
      </c>
      <c r="E33" s="394">
        <v>10417</v>
      </c>
      <c r="F33" s="394">
        <f t="shared" si="591"/>
        <v>19416</v>
      </c>
      <c r="G33" s="394">
        <v>6885</v>
      </c>
      <c r="H33" s="394">
        <v>8112</v>
      </c>
      <c r="I33" s="394">
        <f t="shared" si="592"/>
        <v>14997</v>
      </c>
      <c r="J33" s="398"/>
      <c r="K33" s="398"/>
      <c r="L33" s="398"/>
      <c r="M33" s="396">
        <f t="shared" si="165"/>
        <v>6885</v>
      </c>
      <c r="N33" s="101">
        <f t="shared" si="166"/>
        <v>8112</v>
      </c>
      <c r="O33" s="101">
        <f t="shared" si="167"/>
        <v>14997</v>
      </c>
      <c r="P33" s="397">
        <f t="shared" si="168"/>
        <v>0.76508500944549396</v>
      </c>
      <c r="Q33" s="397">
        <f t="shared" si="169"/>
        <v>0.77872708073341657</v>
      </c>
      <c r="R33" s="397">
        <f t="shared" si="170"/>
        <v>0.77240420271940669</v>
      </c>
      <c r="S33" s="394">
        <v>1444</v>
      </c>
      <c r="T33" s="394">
        <v>1532</v>
      </c>
      <c r="U33" s="394">
        <f t="shared" si="4"/>
        <v>2976</v>
      </c>
      <c r="V33" s="394">
        <v>325</v>
      </c>
      <c r="W33" s="394">
        <v>358</v>
      </c>
      <c r="X33" s="394">
        <f t="shared" si="5"/>
        <v>683</v>
      </c>
      <c r="Y33" s="399"/>
      <c r="Z33" s="399"/>
      <c r="AA33" s="399"/>
      <c r="AB33" s="396">
        <f t="shared" si="171"/>
        <v>325</v>
      </c>
      <c r="AC33" s="101">
        <f t="shared" si="172"/>
        <v>358</v>
      </c>
      <c r="AD33" s="101">
        <f t="shared" si="173"/>
        <v>683</v>
      </c>
      <c r="AE33" s="397">
        <f t="shared" si="174"/>
        <v>0.22506925207756232</v>
      </c>
      <c r="AF33" s="397">
        <f t="shared" si="175"/>
        <v>0.23368146214099217</v>
      </c>
      <c r="AG33" s="397">
        <f t="shared" si="176"/>
        <v>0.229502688172043</v>
      </c>
      <c r="AH33" s="101">
        <f t="shared" si="80"/>
        <v>10443</v>
      </c>
      <c r="AI33" s="101">
        <f t="shared" si="81"/>
        <v>11949</v>
      </c>
      <c r="AJ33" s="101">
        <f t="shared" si="82"/>
        <v>22392</v>
      </c>
      <c r="AK33" s="101">
        <f t="shared" si="83"/>
        <v>7210</v>
      </c>
      <c r="AL33" s="101">
        <f t="shared" si="84"/>
        <v>8470</v>
      </c>
      <c r="AM33" s="101">
        <f t="shared" si="85"/>
        <v>15680</v>
      </c>
      <c r="AN33" s="398"/>
      <c r="AO33" s="398"/>
      <c r="AP33" s="398"/>
      <c r="AQ33" s="101">
        <f t="shared" si="89"/>
        <v>7210</v>
      </c>
      <c r="AR33" s="101">
        <f t="shared" si="90"/>
        <v>8470</v>
      </c>
      <c r="AS33" s="101">
        <f t="shared" si="91"/>
        <v>15680</v>
      </c>
      <c r="AT33" s="397">
        <f t="shared" si="92"/>
        <v>0.69041463181078233</v>
      </c>
      <c r="AU33" s="397">
        <f t="shared" si="93"/>
        <v>0.70884592852958406</v>
      </c>
      <c r="AV33" s="397">
        <f t="shared" si="94"/>
        <v>0.70025008931761346</v>
      </c>
      <c r="AW33" s="394">
        <v>131</v>
      </c>
      <c r="AX33" s="394">
        <v>100</v>
      </c>
      <c r="AY33" s="394">
        <f t="shared" si="15"/>
        <v>231</v>
      </c>
      <c r="AZ33" s="394">
        <v>105</v>
      </c>
      <c r="BA33" s="394">
        <v>81</v>
      </c>
      <c r="BB33" s="394">
        <f t="shared" si="16"/>
        <v>186</v>
      </c>
      <c r="BC33" s="399"/>
      <c r="BD33" s="399"/>
      <c r="BE33" s="399"/>
      <c r="BF33" s="396">
        <f t="shared" si="177"/>
        <v>105</v>
      </c>
      <c r="BG33" s="101">
        <f t="shared" si="178"/>
        <v>81</v>
      </c>
      <c r="BH33" s="101">
        <f t="shared" si="179"/>
        <v>186</v>
      </c>
      <c r="BI33" s="397">
        <f t="shared" si="180"/>
        <v>0.80152671755725191</v>
      </c>
      <c r="BJ33" s="397">
        <f t="shared" si="181"/>
        <v>0.81</v>
      </c>
      <c r="BK33" s="397">
        <f t="shared" si="182"/>
        <v>0.80519480519480524</v>
      </c>
      <c r="BL33" s="394">
        <v>15</v>
      </c>
      <c r="BM33" s="394">
        <v>21</v>
      </c>
      <c r="BN33" s="394">
        <f t="shared" si="24"/>
        <v>36</v>
      </c>
      <c r="BO33" s="394">
        <v>4</v>
      </c>
      <c r="BP33" s="394">
        <v>6</v>
      </c>
      <c r="BQ33" s="394">
        <f t="shared" si="25"/>
        <v>10</v>
      </c>
      <c r="BR33" s="399"/>
      <c r="BS33" s="399"/>
      <c r="BT33" s="399"/>
      <c r="BU33" s="396">
        <f t="shared" si="183"/>
        <v>4</v>
      </c>
      <c r="BV33" s="101">
        <f t="shared" si="184"/>
        <v>6</v>
      </c>
      <c r="BW33" s="101">
        <f t="shared" si="185"/>
        <v>10</v>
      </c>
      <c r="BX33" s="397">
        <f t="shared" si="186"/>
        <v>0.26666666666666666</v>
      </c>
      <c r="BY33" s="397">
        <f t="shared" si="187"/>
        <v>0.2857142857142857</v>
      </c>
      <c r="BZ33" s="397">
        <f t="shared" si="188"/>
        <v>0.27777777777777779</v>
      </c>
      <c r="CA33" s="101">
        <f t="shared" si="108"/>
        <v>146</v>
      </c>
      <c r="CB33" s="101">
        <f t="shared" si="109"/>
        <v>121</v>
      </c>
      <c r="CC33" s="101">
        <f t="shared" si="110"/>
        <v>267</v>
      </c>
      <c r="CD33" s="101">
        <f t="shared" si="111"/>
        <v>109</v>
      </c>
      <c r="CE33" s="101">
        <f t="shared" si="112"/>
        <v>87</v>
      </c>
      <c r="CF33" s="101">
        <f t="shared" si="113"/>
        <v>196</v>
      </c>
      <c r="CG33" s="399"/>
      <c r="CH33" s="399"/>
      <c r="CI33" s="399"/>
      <c r="CJ33" s="101">
        <f t="shared" si="117"/>
        <v>109</v>
      </c>
      <c r="CK33" s="101">
        <f t="shared" si="118"/>
        <v>87</v>
      </c>
      <c r="CL33" s="101">
        <f t="shared" si="119"/>
        <v>196</v>
      </c>
      <c r="CM33" s="397">
        <f t="shared" si="120"/>
        <v>0.74657534246575341</v>
      </c>
      <c r="CN33" s="397">
        <f t="shared" si="121"/>
        <v>0.71900826446280997</v>
      </c>
      <c r="CO33" s="397">
        <f t="shared" si="122"/>
        <v>0.73408239700374533</v>
      </c>
      <c r="CP33" s="394">
        <v>7973</v>
      </c>
      <c r="CQ33" s="394">
        <v>9429</v>
      </c>
      <c r="CR33" s="394">
        <f t="shared" si="189"/>
        <v>17402</v>
      </c>
      <c r="CS33" s="394">
        <v>6033</v>
      </c>
      <c r="CT33" s="394">
        <v>7283</v>
      </c>
      <c r="CU33" s="394">
        <f t="shared" si="35"/>
        <v>13316</v>
      </c>
      <c r="CV33" s="417"/>
      <c r="CW33" s="417"/>
      <c r="CX33" s="417"/>
      <c r="CY33" s="396">
        <f t="shared" si="190"/>
        <v>6033</v>
      </c>
      <c r="CZ33" s="101">
        <f t="shared" si="191"/>
        <v>7283</v>
      </c>
      <c r="DA33" s="101">
        <f t="shared" si="192"/>
        <v>13316</v>
      </c>
      <c r="DB33" s="397">
        <f t="shared" si="193"/>
        <v>0.75667879091935286</v>
      </c>
      <c r="DC33" s="397">
        <f t="shared" si="194"/>
        <v>0.7724042846537279</v>
      </c>
      <c r="DD33" s="397">
        <f t="shared" si="195"/>
        <v>0.76519940236754391</v>
      </c>
      <c r="DE33" s="394">
        <v>1346</v>
      </c>
      <c r="DF33" s="394">
        <v>1418</v>
      </c>
      <c r="DG33" s="394">
        <f t="shared" si="43"/>
        <v>2764</v>
      </c>
      <c r="DH33" s="394">
        <v>305</v>
      </c>
      <c r="DI33" s="394">
        <v>325</v>
      </c>
      <c r="DJ33" s="394">
        <f t="shared" si="44"/>
        <v>630</v>
      </c>
      <c r="DK33" s="420"/>
      <c r="DL33" s="420"/>
      <c r="DM33" s="420"/>
      <c r="DN33" s="396">
        <f t="shared" si="775"/>
        <v>305</v>
      </c>
      <c r="DO33" s="101">
        <f t="shared" si="776"/>
        <v>325</v>
      </c>
      <c r="DP33" s="101">
        <f t="shared" si="777"/>
        <v>630</v>
      </c>
      <c r="DQ33" s="397">
        <f t="shared" si="199"/>
        <v>0.22659732540861813</v>
      </c>
      <c r="DR33" s="397">
        <f t="shared" si="200"/>
        <v>0.22919605077574048</v>
      </c>
      <c r="DS33" s="397">
        <f t="shared" si="201"/>
        <v>0.22793053545586106</v>
      </c>
      <c r="DT33" s="101">
        <f t="shared" si="579"/>
        <v>9319</v>
      </c>
      <c r="DU33" s="101">
        <f t="shared" si="580"/>
        <v>10847</v>
      </c>
      <c r="DV33" s="101">
        <f t="shared" si="581"/>
        <v>20166</v>
      </c>
      <c r="DW33" s="101">
        <f t="shared" si="582"/>
        <v>6338</v>
      </c>
      <c r="DX33" s="101">
        <f t="shared" si="583"/>
        <v>7608</v>
      </c>
      <c r="DY33" s="101">
        <f t="shared" si="584"/>
        <v>13946</v>
      </c>
      <c r="DZ33" s="399"/>
      <c r="EA33" s="399"/>
      <c r="EB33" s="399"/>
      <c r="EC33" s="101">
        <f t="shared" si="588"/>
        <v>6338</v>
      </c>
      <c r="ED33" s="101">
        <f t="shared" si="589"/>
        <v>7608</v>
      </c>
      <c r="EE33" s="101">
        <f t="shared" si="590"/>
        <v>13946</v>
      </c>
      <c r="EF33" s="397">
        <f t="shared" si="404"/>
        <v>0.68011589226311842</v>
      </c>
      <c r="EG33" s="397">
        <f t="shared" si="405"/>
        <v>0.70139208997879599</v>
      </c>
      <c r="EH33" s="397">
        <f t="shared" si="406"/>
        <v>0.69156005157195277</v>
      </c>
      <c r="EI33" s="101">
        <f t="shared" si="53"/>
        <v>7210</v>
      </c>
      <c r="EJ33" s="101">
        <f t="shared" si="54"/>
        <v>8470</v>
      </c>
      <c r="EK33" s="101">
        <f t="shared" si="55"/>
        <v>15680</v>
      </c>
      <c r="EL33" s="101">
        <v>2777</v>
      </c>
      <c r="EM33" s="101">
        <v>3995</v>
      </c>
      <c r="EN33" s="101">
        <f t="shared" si="784"/>
        <v>6772</v>
      </c>
      <c r="EO33" s="413">
        <f t="shared" si="785"/>
        <v>38.515950069348129</v>
      </c>
      <c r="EP33" s="413">
        <f t="shared" si="786"/>
        <v>47.166469893742622</v>
      </c>
      <c r="EQ33" s="413">
        <f t="shared" si="787"/>
        <v>43.188775510204081</v>
      </c>
      <c r="ER33" s="101">
        <f t="shared" si="564"/>
        <v>109</v>
      </c>
      <c r="ES33" s="101">
        <f t="shared" si="565"/>
        <v>87</v>
      </c>
      <c r="ET33" s="101">
        <f t="shared" si="566"/>
        <v>196</v>
      </c>
      <c r="EU33" s="101">
        <v>51</v>
      </c>
      <c r="EV33" s="101">
        <v>47</v>
      </c>
      <c r="EW33" s="101">
        <f t="shared" si="788"/>
        <v>98</v>
      </c>
      <c r="EX33" s="413">
        <f t="shared" si="789"/>
        <v>46.788990825688074</v>
      </c>
      <c r="EY33" s="413">
        <f t="shared" si="790"/>
        <v>54.022988505747129</v>
      </c>
      <c r="EZ33" s="413">
        <f t="shared" si="791"/>
        <v>50</v>
      </c>
      <c r="FA33" s="101">
        <f t="shared" si="571"/>
        <v>6338</v>
      </c>
      <c r="FB33" s="101">
        <f t="shared" si="572"/>
        <v>7608</v>
      </c>
      <c r="FC33" s="101">
        <f t="shared" si="573"/>
        <v>13946</v>
      </c>
      <c r="FD33" s="101">
        <v>2334</v>
      </c>
      <c r="FE33" s="101">
        <v>3503</v>
      </c>
      <c r="FF33" s="101">
        <f t="shared" si="792"/>
        <v>5837</v>
      </c>
      <c r="FG33" s="413">
        <f t="shared" si="793"/>
        <v>36.825497002208898</v>
      </c>
      <c r="FH33" s="413">
        <f t="shared" si="794"/>
        <v>46.043638275499475</v>
      </c>
      <c r="FI33" s="413">
        <f t="shared" si="795"/>
        <v>41.854295138390938</v>
      </c>
    </row>
    <row r="34" spans="1:171" s="362" customFormat="1" ht="28.5">
      <c r="A34" s="393">
        <v>27</v>
      </c>
      <c r="B34" s="220" t="s">
        <v>399</v>
      </c>
      <c r="C34" s="221" t="s">
        <v>355</v>
      </c>
      <c r="D34" s="394">
        <v>585</v>
      </c>
      <c r="E34" s="394">
        <v>359</v>
      </c>
      <c r="F34" s="394">
        <f t="shared" ref="F34" si="796">D34+E34</f>
        <v>944</v>
      </c>
      <c r="G34" s="394">
        <v>585</v>
      </c>
      <c r="H34" s="394">
        <v>359</v>
      </c>
      <c r="I34" s="400">
        <f>G34+H34</f>
        <v>944</v>
      </c>
      <c r="J34" s="399"/>
      <c r="K34" s="399"/>
      <c r="L34" s="399"/>
      <c r="M34" s="396">
        <f>G34+J34</f>
        <v>585</v>
      </c>
      <c r="N34" s="101">
        <f>H34+K34</f>
        <v>359</v>
      </c>
      <c r="O34" s="101">
        <f>I34+L34</f>
        <v>944</v>
      </c>
      <c r="P34" s="397">
        <f>M34/D34</f>
        <v>1</v>
      </c>
      <c r="Q34" s="397">
        <f>N34/E34</f>
        <v>1</v>
      </c>
      <c r="R34" s="397">
        <f>O34/F34</f>
        <v>1</v>
      </c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101">
        <f t="shared" ref="AH34:AM34" si="797">D34+S34</f>
        <v>585</v>
      </c>
      <c r="AI34" s="101">
        <f t="shared" si="797"/>
        <v>359</v>
      </c>
      <c r="AJ34" s="101">
        <f t="shared" si="797"/>
        <v>944</v>
      </c>
      <c r="AK34" s="101">
        <f t="shared" si="797"/>
        <v>585</v>
      </c>
      <c r="AL34" s="101">
        <f t="shared" si="797"/>
        <v>359</v>
      </c>
      <c r="AM34" s="101">
        <f t="shared" si="797"/>
        <v>944</v>
      </c>
      <c r="AN34" s="398"/>
      <c r="AO34" s="398"/>
      <c r="AP34" s="398"/>
      <c r="AQ34" s="101">
        <f>M34+AB34</f>
        <v>585</v>
      </c>
      <c r="AR34" s="101">
        <f>N34+AC34</f>
        <v>359</v>
      </c>
      <c r="AS34" s="101">
        <f>O34+AD34</f>
        <v>944</v>
      </c>
      <c r="AT34" s="397">
        <f>AQ34/AH34</f>
        <v>1</v>
      </c>
      <c r="AU34" s="397">
        <f>AR34/AI34</f>
        <v>1</v>
      </c>
      <c r="AV34" s="397">
        <f>AS34/AJ34</f>
        <v>1</v>
      </c>
      <c r="AW34" s="394">
        <v>106</v>
      </c>
      <c r="AX34" s="394">
        <v>94</v>
      </c>
      <c r="AY34" s="394">
        <f>AW34+AX34</f>
        <v>200</v>
      </c>
      <c r="AZ34" s="394">
        <v>106</v>
      </c>
      <c r="BA34" s="394">
        <v>94</v>
      </c>
      <c r="BB34" s="394">
        <f>AZ34+BA34</f>
        <v>200</v>
      </c>
      <c r="BC34" s="399"/>
      <c r="BD34" s="399"/>
      <c r="BE34" s="399"/>
      <c r="BF34" s="396">
        <f>AZ34+BC34</f>
        <v>106</v>
      </c>
      <c r="BG34" s="101">
        <f>BA34+BD34</f>
        <v>94</v>
      </c>
      <c r="BH34" s="101">
        <f>BB34+BE34</f>
        <v>200</v>
      </c>
      <c r="BI34" s="397">
        <f>BF34/AW34</f>
        <v>1</v>
      </c>
      <c r="BJ34" s="397">
        <f>BG34/AX34</f>
        <v>1</v>
      </c>
      <c r="BK34" s="397">
        <f>BH34/AY34</f>
        <v>1</v>
      </c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399"/>
      <c r="BW34" s="399"/>
      <c r="BX34" s="399"/>
      <c r="BY34" s="399"/>
      <c r="BZ34" s="399"/>
      <c r="CA34" s="101">
        <f t="shared" ref="CA34:CF34" si="798">AW34+BL34</f>
        <v>106</v>
      </c>
      <c r="CB34" s="101">
        <f t="shared" si="798"/>
        <v>94</v>
      </c>
      <c r="CC34" s="101">
        <f t="shared" si="798"/>
        <v>200</v>
      </c>
      <c r="CD34" s="101">
        <f t="shared" si="798"/>
        <v>106</v>
      </c>
      <c r="CE34" s="101">
        <f t="shared" si="798"/>
        <v>94</v>
      </c>
      <c r="CF34" s="101">
        <f t="shared" si="798"/>
        <v>200</v>
      </c>
      <c r="CG34" s="399"/>
      <c r="CH34" s="399"/>
      <c r="CI34" s="399"/>
      <c r="CJ34" s="101">
        <f>BF34+BU34</f>
        <v>106</v>
      </c>
      <c r="CK34" s="101">
        <f>BG34+BV34</f>
        <v>94</v>
      </c>
      <c r="CL34" s="101">
        <f>BH34+BW34</f>
        <v>200</v>
      </c>
      <c r="CM34" s="397">
        <f>CJ34/CA34</f>
        <v>1</v>
      </c>
      <c r="CN34" s="397">
        <f>CK34/CB34</f>
        <v>1</v>
      </c>
      <c r="CO34" s="397">
        <f>CL34/CC34</f>
        <v>1</v>
      </c>
      <c r="CP34" s="394">
        <v>4</v>
      </c>
      <c r="CQ34" s="394">
        <v>10</v>
      </c>
      <c r="CR34" s="394">
        <f>CP34+CQ34</f>
        <v>14</v>
      </c>
      <c r="CS34" s="394">
        <v>4</v>
      </c>
      <c r="CT34" s="394">
        <v>10</v>
      </c>
      <c r="CU34" s="394">
        <f>CS34+CT34</f>
        <v>14</v>
      </c>
      <c r="CV34" s="399"/>
      <c r="CW34" s="399"/>
      <c r="CX34" s="399"/>
      <c r="CY34" s="396">
        <f>CS34+CV34</f>
        <v>4</v>
      </c>
      <c r="CZ34" s="101">
        <f>CT34+CW34</f>
        <v>10</v>
      </c>
      <c r="DA34" s="101">
        <f>CU34+CX34</f>
        <v>14</v>
      </c>
      <c r="DB34" s="397">
        <f>CY34/CP34</f>
        <v>1</v>
      </c>
      <c r="DC34" s="397">
        <f>CZ34/CQ34</f>
        <v>1</v>
      </c>
      <c r="DD34" s="397">
        <f>DA34/CR34</f>
        <v>1</v>
      </c>
      <c r="DE34" s="399"/>
      <c r="DF34" s="399"/>
      <c r="DG34" s="399"/>
      <c r="DH34" s="399"/>
      <c r="DI34" s="399"/>
      <c r="DJ34" s="399"/>
      <c r="DK34" s="399"/>
      <c r="DL34" s="399"/>
      <c r="DM34" s="399"/>
      <c r="DN34" s="399"/>
      <c r="DO34" s="399"/>
      <c r="DP34" s="399"/>
      <c r="DQ34" s="399"/>
      <c r="DR34" s="399"/>
      <c r="DS34" s="399"/>
      <c r="DT34" s="101">
        <f t="shared" ref="DT34" si="799">CP34+DE34</f>
        <v>4</v>
      </c>
      <c r="DU34" s="101">
        <f t="shared" ref="DU34" si="800">CQ34+DF34</f>
        <v>10</v>
      </c>
      <c r="DV34" s="101">
        <f t="shared" ref="DV34" si="801">CR34+DG34</f>
        <v>14</v>
      </c>
      <c r="DW34" s="101">
        <f t="shared" ref="DW34" si="802">CS34+DH34</f>
        <v>4</v>
      </c>
      <c r="DX34" s="101">
        <f t="shared" ref="DX34" si="803">CT34+DI34</f>
        <v>10</v>
      </c>
      <c r="DY34" s="101">
        <f t="shared" ref="DY34" si="804">CU34+DJ34</f>
        <v>14</v>
      </c>
      <c r="DZ34" s="399"/>
      <c r="EA34" s="399"/>
      <c r="EB34" s="399"/>
      <c r="EC34" s="101">
        <f>CY34+DN34</f>
        <v>4</v>
      </c>
      <c r="ED34" s="101">
        <f t="shared" ref="ED34" si="805">CZ34+DO34</f>
        <v>10</v>
      </c>
      <c r="EE34" s="101">
        <f t="shared" ref="EE34" si="806">DA34+DP34</f>
        <v>14</v>
      </c>
      <c r="EF34" s="397">
        <f>EC34/DT34</f>
        <v>1</v>
      </c>
      <c r="EG34" s="397">
        <f t="shared" ref="EG34" si="807">ED34/DU34</f>
        <v>1</v>
      </c>
      <c r="EH34" s="397">
        <f t="shared" ref="EH34" si="808">EE34/DV34</f>
        <v>1</v>
      </c>
      <c r="EI34" s="101">
        <f t="shared" si="53"/>
        <v>585</v>
      </c>
      <c r="EJ34" s="101">
        <f t="shared" si="54"/>
        <v>359</v>
      </c>
      <c r="EK34" s="101">
        <f t="shared" si="55"/>
        <v>944</v>
      </c>
      <c r="EL34" s="101">
        <v>419</v>
      </c>
      <c r="EM34" s="101">
        <v>241</v>
      </c>
      <c r="EN34" s="101">
        <f t="shared" ref="EN34" si="809">EL34+EM34</f>
        <v>660</v>
      </c>
      <c r="EO34" s="413">
        <f t="shared" ref="EO34" si="810">+EL34*100/EI34</f>
        <v>71.623931623931625</v>
      </c>
      <c r="EP34" s="413">
        <f t="shared" ref="EP34" si="811">+EM34*100/EJ34</f>
        <v>67.130919220055716</v>
      </c>
      <c r="EQ34" s="413">
        <f t="shared" ref="EQ34" si="812">+EN34*100/EK34</f>
        <v>69.915254237288138</v>
      </c>
      <c r="ER34" s="101">
        <f t="shared" si="564"/>
        <v>106</v>
      </c>
      <c r="ES34" s="101">
        <f t="shared" si="565"/>
        <v>94</v>
      </c>
      <c r="ET34" s="101">
        <f t="shared" si="566"/>
        <v>200</v>
      </c>
      <c r="EU34" s="101">
        <v>49</v>
      </c>
      <c r="EV34" s="101">
        <v>47</v>
      </c>
      <c r="EW34" s="101">
        <f t="shared" ref="EW34" si="813">EU34+EV34</f>
        <v>96</v>
      </c>
      <c r="EX34" s="413">
        <f t="shared" ref="EX34" si="814">+EU34*100/ER34</f>
        <v>46.226415094339622</v>
      </c>
      <c r="EY34" s="413">
        <f t="shared" ref="EY34" si="815">+EV34*100/ES34</f>
        <v>50</v>
      </c>
      <c r="EZ34" s="413">
        <f t="shared" ref="EZ34" si="816">+EW34*100/ET34</f>
        <v>48</v>
      </c>
      <c r="FA34" s="101">
        <f t="shared" si="571"/>
        <v>4</v>
      </c>
      <c r="FB34" s="101">
        <f t="shared" si="572"/>
        <v>10</v>
      </c>
      <c r="FC34" s="101">
        <f t="shared" si="573"/>
        <v>14</v>
      </c>
      <c r="FD34" s="101">
        <v>2</v>
      </c>
      <c r="FE34" s="101">
        <v>5</v>
      </c>
      <c r="FF34" s="101">
        <f t="shared" ref="FF34" si="817">FD34+FE34</f>
        <v>7</v>
      </c>
      <c r="FG34" s="413">
        <f t="shared" ref="FG34" si="818">+FD34*100/FA34</f>
        <v>50</v>
      </c>
      <c r="FH34" s="413">
        <f t="shared" ref="FH34" si="819">+FE34*100/FB34</f>
        <v>50</v>
      </c>
      <c r="FI34" s="413">
        <f t="shared" ref="FI34" si="820">+FF34*100/FC34</f>
        <v>50</v>
      </c>
    </row>
    <row r="35" spans="1:171" ht="28.5">
      <c r="A35" s="393">
        <v>28</v>
      </c>
      <c r="B35" s="220" t="s">
        <v>392</v>
      </c>
      <c r="C35" s="221" t="s">
        <v>142</v>
      </c>
      <c r="D35" s="394">
        <v>248286</v>
      </c>
      <c r="E35" s="394">
        <v>263391</v>
      </c>
      <c r="F35" s="394">
        <f t="shared" ref="F35:F36" si="821">D35+E35</f>
        <v>511677</v>
      </c>
      <c r="G35" s="394">
        <v>192501</v>
      </c>
      <c r="H35" s="394">
        <v>215367</v>
      </c>
      <c r="I35" s="400">
        <f t="shared" si="592"/>
        <v>407868</v>
      </c>
      <c r="J35" s="400">
        <v>7821</v>
      </c>
      <c r="K35" s="400">
        <v>5080</v>
      </c>
      <c r="L35" s="400">
        <f>J35+K35</f>
        <v>12901</v>
      </c>
      <c r="M35" s="396">
        <f t="shared" si="165"/>
        <v>200322</v>
      </c>
      <c r="N35" s="101">
        <f t="shared" si="166"/>
        <v>220447</v>
      </c>
      <c r="O35" s="101">
        <f t="shared" si="167"/>
        <v>420769</v>
      </c>
      <c r="P35" s="397">
        <f t="shared" si="168"/>
        <v>0.80681955486817625</v>
      </c>
      <c r="Q35" s="397">
        <f t="shared" si="169"/>
        <v>0.83695722329160827</v>
      </c>
      <c r="R35" s="397">
        <f t="shared" si="170"/>
        <v>0.82233322975236334</v>
      </c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101">
        <f t="shared" si="80"/>
        <v>248286</v>
      </c>
      <c r="AI35" s="101">
        <f t="shared" si="81"/>
        <v>263391</v>
      </c>
      <c r="AJ35" s="101">
        <f t="shared" si="82"/>
        <v>511677</v>
      </c>
      <c r="AK35" s="101">
        <f t="shared" si="83"/>
        <v>192501</v>
      </c>
      <c r="AL35" s="101">
        <f t="shared" si="84"/>
        <v>215367</v>
      </c>
      <c r="AM35" s="101">
        <f t="shared" si="85"/>
        <v>407868</v>
      </c>
      <c r="AN35" s="101">
        <f t="shared" si="86"/>
        <v>7821</v>
      </c>
      <c r="AO35" s="101">
        <f t="shared" si="87"/>
        <v>5080</v>
      </c>
      <c r="AP35" s="101">
        <f t="shared" si="88"/>
        <v>12901</v>
      </c>
      <c r="AQ35" s="101">
        <f t="shared" si="89"/>
        <v>200322</v>
      </c>
      <c r="AR35" s="101">
        <f t="shared" si="90"/>
        <v>220447</v>
      </c>
      <c r="AS35" s="101">
        <f t="shared" si="91"/>
        <v>420769</v>
      </c>
      <c r="AT35" s="397">
        <f t="shared" si="92"/>
        <v>0.80681955486817625</v>
      </c>
      <c r="AU35" s="397">
        <f t="shared" si="93"/>
        <v>0.83695722329160827</v>
      </c>
      <c r="AV35" s="397">
        <f t="shared" si="94"/>
        <v>0.82233322975236334</v>
      </c>
      <c r="AW35" s="394">
        <v>53419</v>
      </c>
      <c r="AX35" s="394">
        <v>61295</v>
      </c>
      <c r="AY35" s="394">
        <f t="shared" si="15"/>
        <v>114714</v>
      </c>
      <c r="AZ35" s="394">
        <v>38970</v>
      </c>
      <c r="BA35" s="394">
        <v>47737</v>
      </c>
      <c r="BB35" s="394">
        <f t="shared" si="16"/>
        <v>86707</v>
      </c>
      <c r="BC35" s="394">
        <v>1819</v>
      </c>
      <c r="BD35" s="394">
        <v>1210</v>
      </c>
      <c r="BE35" s="394">
        <f t="shared" ref="BE35" si="822">BC35+BD35</f>
        <v>3029</v>
      </c>
      <c r="BF35" s="396">
        <f t="shared" si="177"/>
        <v>40789</v>
      </c>
      <c r="BG35" s="101">
        <f t="shared" si="178"/>
        <v>48947</v>
      </c>
      <c r="BH35" s="101">
        <f t="shared" si="179"/>
        <v>89736</v>
      </c>
      <c r="BI35" s="397">
        <f t="shared" si="180"/>
        <v>0.76356727007244618</v>
      </c>
      <c r="BJ35" s="397">
        <f t="shared" si="181"/>
        <v>0.79854800554694505</v>
      </c>
      <c r="BK35" s="397">
        <f t="shared" si="182"/>
        <v>0.78225848632250639</v>
      </c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399"/>
      <c r="BW35" s="399"/>
      <c r="BX35" s="399"/>
      <c r="BY35" s="399"/>
      <c r="BZ35" s="399"/>
      <c r="CA35" s="101">
        <f t="shared" si="108"/>
        <v>53419</v>
      </c>
      <c r="CB35" s="101">
        <f t="shared" si="109"/>
        <v>61295</v>
      </c>
      <c r="CC35" s="101">
        <f t="shared" si="110"/>
        <v>114714</v>
      </c>
      <c r="CD35" s="101">
        <f t="shared" si="111"/>
        <v>38970</v>
      </c>
      <c r="CE35" s="101">
        <f t="shared" si="112"/>
        <v>47737</v>
      </c>
      <c r="CF35" s="101">
        <f t="shared" si="113"/>
        <v>86707</v>
      </c>
      <c r="CG35" s="101">
        <f t="shared" ref="CG35" si="823">BC35+BR35</f>
        <v>1819</v>
      </c>
      <c r="CH35" s="101">
        <f t="shared" ref="CH35" si="824">BD35+BS35</f>
        <v>1210</v>
      </c>
      <c r="CI35" s="101">
        <f t="shared" ref="CI35" si="825">BE35+BT35</f>
        <v>3029</v>
      </c>
      <c r="CJ35" s="101">
        <f t="shared" si="117"/>
        <v>40789</v>
      </c>
      <c r="CK35" s="101">
        <f t="shared" si="118"/>
        <v>48947</v>
      </c>
      <c r="CL35" s="101">
        <f t="shared" si="119"/>
        <v>89736</v>
      </c>
      <c r="CM35" s="397">
        <f t="shared" si="120"/>
        <v>0.76356727007244618</v>
      </c>
      <c r="CN35" s="397">
        <f t="shared" si="121"/>
        <v>0.79854800554694505</v>
      </c>
      <c r="CO35" s="397">
        <f t="shared" si="122"/>
        <v>0.78225848632250639</v>
      </c>
      <c r="CP35" s="394">
        <v>45425</v>
      </c>
      <c r="CQ35" s="394">
        <v>50203</v>
      </c>
      <c r="CR35" s="394">
        <f t="shared" si="189"/>
        <v>95628</v>
      </c>
      <c r="CS35" s="394">
        <v>31371</v>
      </c>
      <c r="CT35" s="394">
        <v>36758</v>
      </c>
      <c r="CU35" s="394">
        <f t="shared" si="35"/>
        <v>68129</v>
      </c>
      <c r="CV35" s="394">
        <v>1797</v>
      </c>
      <c r="CW35" s="394">
        <v>1500</v>
      </c>
      <c r="CX35" s="394">
        <f t="shared" si="392"/>
        <v>3297</v>
      </c>
      <c r="CY35" s="396">
        <f t="shared" si="190"/>
        <v>33168</v>
      </c>
      <c r="CZ35" s="101">
        <f t="shared" si="191"/>
        <v>38258</v>
      </c>
      <c r="DA35" s="101">
        <f t="shared" si="192"/>
        <v>71426</v>
      </c>
      <c r="DB35" s="397">
        <f t="shared" si="193"/>
        <v>0.73017061089708313</v>
      </c>
      <c r="DC35" s="397">
        <f t="shared" si="194"/>
        <v>0.7620660119913153</v>
      </c>
      <c r="DD35" s="397">
        <f t="shared" si="195"/>
        <v>0.74691512945999083</v>
      </c>
      <c r="DE35" s="399"/>
      <c r="DF35" s="399"/>
      <c r="DG35" s="399"/>
      <c r="DH35" s="399"/>
      <c r="DI35" s="399"/>
      <c r="DJ35" s="399"/>
      <c r="DK35" s="399"/>
      <c r="DL35" s="399"/>
      <c r="DM35" s="399"/>
      <c r="DN35" s="399"/>
      <c r="DO35" s="399"/>
      <c r="DP35" s="399"/>
      <c r="DQ35" s="399"/>
      <c r="DR35" s="399"/>
      <c r="DS35" s="399"/>
      <c r="DT35" s="101">
        <f t="shared" si="579"/>
        <v>45425</v>
      </c>
      <c r="DU35" s="101">
        <f t="shared" si="580"/>
        <v>50203</v>
      </c>
      <c r="DV35" s="101">
        <f t="shared" si="581"/>
        <v>95628</v>
      </c>
      <c r="DW35" s="101">
        <f t="shared" si="582"/>
        <v>31371</v>
      </c>
      <c r="DX35" s="101">
        <f t="shared" si="583"/>
        <v>36758</v>
      </c>
      <c r="DY35" s="101">
        <f t="shared" si="584"/>
        <v>68129</v>
      </c>
      <c r="DZ35" s="101">
        <f t="shared" si="585"/>
        <v>1797</v>
      </c>
      <c r="EA35" s="101">
        <f t="shared" si="586"/>
        <v>1500</v>
      </c>
      <c r="EB35" s="101">
        <f t="shared" si="587"/>
        <v>3297</v>
      </c>
      <c r="EC35" s="101">
        <f t="shared" si="588"/>
        <v>33168</v>
      </c>
      <c r="ED35" s="101">
        <f t="shared" si="589"/>
        <v>38258</v>
      </c>
      <c r="EE35" s="101">
        <f t="shared" si="590"/>
        <v>71426</v>
      </c>
      <c r="EF35" s="397">
        <f t="shared" si="404"/>
        <v>0.73017061089708313</v>
      </c>
      <c r="EG35" s="397">
        <f t="shared" si="405"/>
        <v>0.7620660119913153</v>
      </c>
      <c r="EH35" s="397">
        <f t="shared" si="406"/>
        <v>0.74691512945999083</v>
      </c>
      <c r="EI35" s="101">
        <f t="shared" si="53"/>
        <v>200322</v>
      </c>
      <c r="EJ35" s="101">
        <f t="shared" si="54"/>
        <v>220447</v>
      </c>
      <c r="EK35" s="101">
        <f t="shared" si="55"/>
        <v>420769</v>
      </c>
      <c r="EL35" s="101">
        <v>27874</v>
      </c>
      <c r="EM35" s="101">
        <v>31256</v>
      </c>
      <c r="EN35" s="101">
        <f t="shared" ref="EN35:EN36" si="826">EL35+EM35</f>
        <v>59130</v>
      </c>
      <c r="EO35" s="413">
        <f t="shared" ref="EO35:EO36" si="827">+EL35*100/EI35</f>
        <v>13.914597498028174</v>
      </c>
      <c r="EP35" s="413">
        <f t="shared" ref="EP35:EP36" si="828">+EM35*100/EJ35</f>
        <v>14.178464664976161</v>
      </c>
      <c r="EQ35" s="413">
        <f t="shared" ref="EQ35:EQ36" si="829">+EN35*100/EK35</f>
        <v>14.052841345251196</v>
      </c>
      <c r="ER35" s="101">
        <f t="shared" si="564"/>
        <v>40789</v>
      </c>
      <c r="ES35" s="101">
        <f t="shared" si="565"/>
        <v>48947</v>
      </c>
      <c r="ET35" s="101">
        <f t="shared" si="566"/>
        <v>89736</v>
      </c>
      <c r="EU35" s="101">
        <v>1954</v>
      </c>
      <c r="EV35" s="101">
        <v>2016</v>
      </c>
      <c r="EW35" s="101">
        <f t="shared" ref="EW35:EW36" si="830">EU35+EV35</f>
        <v>3970</v>
      </c>
      <c r="EX35" s="413">
        <f t="shared" ref="EX35:EX36" si="831">+EU35*100/ER35</f>
        <v>4.7905072446002599</v>
      </c>
      <c r="EY35" s="413">
        <f t="shared" ref="EY35:EY36" si="832">+EV35*100/ES35</f>
        <v>4.1187406786932801</v>
      </c>
      <c r="EZ35" s="413">
        <f t="shared" ref="EZ35:EZ36" si="833">+EW35*100/ET35</f>
        <v>4.4240884371935456</v>
      </c>
      <c r="FA35" s="101">
        <f t="shared" si="571"/>
        <v>33168</v>
      </c>
      <c r="FB35" s="101">
        <f t="shared" si="572"/>
        <v>38258</v>
      </c>
      <c r="FC35" s="101">
        <f t="shared" si="573"/>
        <v>71426</v>
      </c>
      <c r="FD35" s="101">
        <v>2578</v>
      </c>
      <c r="FE35" s="101">
        <v>2930</v>
      </c>
      <c r="FF35" s="101">
        <f t="shared" ref="FF35" si="834">FD35+FE35</f>
        <v>5508</v>
      </c>
      <c r="FG35" s="413">
        <f t="shared" ref="FG35" si="835">+FD35*100/FA35</f>
        <v>7.77255185721177</v>
      </c>
      <c r="FH35" s="413">
        <f t="shared" ref="FH35" si="836">+FE35*100/FB35</f>
        <v>7.6585289351246795</v>
      </c>
      <c r="FI35" s="413">
        <f t="shared" ref="FI35" si="837">+FF35*100/FC35</f>
        <v>7.7114776131940745</v>
      </c>
      <c r="FJ35" s="390"/>
      <c r="FK35" s="390"/>
      <c r="FL35" s="390"/>
      <c r="FM35" s="390"/>
      <c r="FN35" s="390"/>
      <c r="FO35" s="390"/>
    </row>
    <row r="36" spans="1:171" ht="23.25" customHeight="1">
      <c r="A36" s="393">
        <v>29</v>
      </c>
      <c r="B36" s="220" t="s">
        <v>393</v>
      </c>
      <c r="C36" s="221" t="s">
        <v>162</v>
      </c>
      <c r="D36" s="394">
        <v>186642</v>
      </c>
      <c r="E36" s="394">
        <v>153123</v>
      </c>
      <c r="F36" s="394">
        <f t="shared" si="821"/>
        <v>339765</v>
      </c>
      <c r="G36" s="394">
        <v>185230</v>
      </c>
      <c r="H36" s="394">
        <v>152306</v>
      </c>
      <c r="I36" s="394">
        <f t="shared" si="592"/>
        <v>337536</v>
      </c>
      <c r="J36" s="398"/>
      <c r="K36" s="398"/>
      <c r="L36" s="398"/>
      <c r="M36" s="396">
        <f t="shared" si="165"/>
        <v>185230</v>
      </c>
      <c r="N36" s="101">
        <f t="shared" si="166"/>
        <v>152306</v>
      </c>
      <c r="O36" s="101">
        <f t="shared" si="167"/>
        <v>337536</v>
      </c>
      <c r="P36" s="397">
        <f t="shared" si="168"/>
        <v>0.99243471458728472</v>
      </c>
      <c r="Q36" s="397">
        <f t="shared" si="169"/>
        <v>0.99466442010671163</v>
      </c>
      <c r="R36" s="397">
        <f t="shared" si="170"/>
        <v>0.99343958324135795</v>
      </c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101">
        <f t="shared" si="80"/>
        <v>186642</v>
      </c>
      <c r="AI36" s="101">
        <f t="shared" si="81"/>
        <v>153123</v>
      </c>
      <c r="AJ36" s="101">
        <f t="shared" si="82"/>
        <v>339765</v>
      </c>
      <c r="AK36" s="101">
        <f t="shared" si="83"/>
        <v>185230</v>
      </c>
      <c r="AL36" s="101">
        <f t="shared" si="84"/>
        <v>152306</v>
      </c>
      <c r="AM36" s="101">
        <f t="shared" si="85"/>
        <v>337536</v>
      </c>
      <c r="AN36" s="398"/>
      <c r="AO36" s="398"/>
      <c r="AP36" s="398"/>
      <c r="AQ36" s="101">
        <f t="shared" si="89"/>
        <v>185230</v>
      </c>
      <c r="AR36" s="101">
        <f t="shared" si="90"/>
        <v>152306</v>
      </c>
      <c r="AS36" s="101">
        <f t="shared" si="91"/>
        <v>337536</v>
      </c>
      <c r="AT36" s="397">
        <f t="shared" si="92"/>
        <v>0.99243471458728472</v>
      </c>
      <c r="AU36" s="397">
        <f t="shared" si="93"/>
        <v>0.99466442010671163</v>
      </c>
      <c r="AV36" s="397">
        <f t="shared" si="94"/>
        <v>0.99343958324135795</v>
      </c>
      <c r="AW36" s="394">
        <v>75706</v>
      </c>
      <c r="AX36" s="394">
        <v>70326</v>
      </c>
      <c r="AY36" s="394">
        <f t="shared" si="15"/>
        <v>146032</v>
      </c>
      <c r="AZ36" s="394">
        <v>75001</v>
      </c>
      <c r="BA36" s="394">
        <v>69894</v>
      </c>
      <c r="BB36" s="394">
        <f t="shared" si="16"/>
        <v>144895</v>
      </c>
      <c r="BC36" s="399"/>
      <c r="BD36" s="399"/>
      <c r="BE36" s="399"/>
      <c r="BF36" s="396">
        <f t="shared" si="177"/>
        <v>75001</v>
      </c>
      <c r="BG36" s="101">
        <f t="shared" si="178"/>
        <v>69894</v>
      </c>
      <c r="BH36" s="101">
        <f t="shared" si="179"/>
        <v>144895</v>
      </c>
      <c r="BI36" s="397">
        <f t="shared" si="180"/>
        <v>0.99068766015903631</v>
      </c>
      <c r="BJ36" s="397">
        <f t="shared" si="181"/>
        <v>0.99385717942155105</v>
      </c>
      <c r="BK36" s="397">
        <f t="shared" si="182"/>
        <v>0.99221403527993868</v>
      </c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  <c r="BW36" s="399"/>
      <c r="BX36" s="399"/>
      <c r="BY36" s="399"/>
      <c r="BZ36" s="399"/>
      <c r="CA36" s="101">
        <f t="shared" si="108"/>
        <v>75706</v>
      </c>
      <c r="CB36" s="101">
        <f t="shared" si="109"/>
        <v>70326</v>
      </c>
      <c r="CC36" s="101">
        <f t="shared" si="110"/>
        <v>146032</v>
      </c>
      <c r="CD36" s="101">
        <f t="shared" si="111"/>
        <v>75001</v>
      </c>
      <c r="CE36" s="101">
        <f t="shared" si="112"/>
        <v>69894</v>
      </c>
      <c r="CF36" s="101">
        <f t="shared" si="113"/>
        <v>144895</v>
      </c>
      <c r="CG36" s="399"/>
      <c r="CH36" s="399"/>
      <c r="CI36" s="399"/>
      <c r="CJ36" s="101">
        <f t="shared" si="117"/>
        <v>75001</v>
      </c>
      <c r="CK36" s="101">
        <f t="shared" si="118"/>
        <v>69894</v>
      </c>
      <c r="CL36" s="101">
        <f t="shared" si="119"/>
        <v>144895</v>
      </c>
      <c r="CM36" s="397">
        <f t="shared" si="120"/>
        <v>0.99068766015903631</v>
      </c>
      <c r="CN36" s="397">
        <f t="shared" si="121"/>
        <v>0.99385717942155105</v>
      </c>
      <c r="CO36" s="397">
        <f t="shared" si="122"/>
        <v>0.99221403527993868</v>
      </c>
      <c r="CP36" s="394">
        <v>59</v>
      </c>
      <c r="CQ36" s="394">
        <v>44</v>
      </c>
      <c r="CR36" s="394">
        <f t="shared" si="189"/>
        <v>103</v>
      </c>
      <c r="CS36" s="394">
        <v>59</v>
      </c>
      <c r="CT36" s="394">
        <v>44</v>
      </c>
      <c r="CU36" s="394">
        <f t="shared" si="35"/>
        <v>103</v>
      </c>
      <c r="CV36" s="417"/>
      <c r="CW36" s="417"/>
      <c r="CX36" s="417"/>
      <c r="CY36" s="396">
        <f t="shared" si="190"/>
        <v>59</v>
      </c>
      <c r="CZ36" s="101">
        <f t="shared" si="191"/>
        <v>44</v>
      </c>
      <c r="DA36" s="101">
        <f t="shared" si="192"/>
        <v>103</v>
      </c>
      <c r="DB36" s="397">
        <f t="shared" si="193"/>
        <v>1</v>
      </c>
      <c r="DC36" s="397">
        <f t="shared" si="194"/>
        <v>1</v>
      </c>
      <c r="DD36" s="397">
        <f t="shared" si="195"/>
        <v>1</v>
      </c>
      <c r="DE36" s="399"/>
      <c r="DF36" s="399"/>
      <c r="DG36" s="399"/>
      <c r="DH36" s="399"/>
      <c r="DI36" s="399"/>
      <c r="DJ36" s="399"/>
      <c r="DK36" s="399"/>
      <c r="DL36" s="399"/>
      <c r="DM36" s="399"/>
      <c r="DN36" s="399"/>
      <c r="DO36" s="399"/>
      <c r="DP36" s="399"/>
      <c r="DQ36" s="399"/>
      <c r="DR36" s="399"/>
      <c r="DS36" s="399"/>
      <c r="DT36" s="101">
        <f t="shared" si="579"/>
        <v>59</v>
      </c>
      <c r="DU36" s="101">
        <f t="shared" si="580"/>
        <v>44</v>
      </c>
      <c r="DV36" s="101">
        <f t="shared" si="581"/>
        <v>103</v>
      </c>
      <c r="DW36" s="101">
        <f t="shared" si="582"/>
        <v>59</v>
      </c>
      <c r="DX36" s="101">
        <f t="shared" si="583"/>
        <v>44</v>
      </c>
      <c r="DY36" s="101">
        <f t="shared" si="584"/>
        <v>103</v>
      </c>
      <c r="DZ36" s="399"/>
      <c r="EA36" s="399"/>
      <c r="EB36" s="399"/>
      <c r="EC36" s="101">
        <f t="shared" si="588"/>
        <v>59</v>
      </c>
      <c r="ED36" s="101">
        <f t="shared" si="589"/>
        <v>44</v>
      </c>
      <c r="EE36" s="101">
        <f t="shared" si="590"/>
        <v>103</v>
      </c>
      <c r="EF36" s="397">
        <f t="shared" si="404"/>
        <v>1</v>
      </c>
      <c r="EG36" s="397">
        <f t="shared" si="405"/>
        <v>1</v>
      </c>
      <c r="EH36" s="397">
        <f t="shared" si="406"/>
        <v>1</v>
      </c>
      <c r="EI36" s="101">
        <f t="shared" si="53"/>
        <v>185230</v>
      </c>
      <c r="EJ36" s="101">
        <f t="shared" si="54"/>
        <v>152306</v>
      </c>
      <c r="EK36" s="101">
        <f t="shared" si="55"/>
        <v>337536</v>
      </c>
      <c r="EL36" s="101">
        <v>1132</v>
      </c>
      <c r="EM36" s="101">
        <v>1195</v>
      </c>
      <c r="EN36" s="101">
        <f t="shared" si="826"/>
        <v>2327</v>
      </c>
      <c r="EO36" s="413">
        <f t="shared" si="827"/>
        <v>0.61113210603034063</v>
      </c>
      <c r="EP36" s="413">
        <f t="shared" si="828"/>
        <v>0.78460467742570872</v>
      </c>
      <c r="EQ36" s="413">
        <f t="shared" si="829"/>
        <v>0.68940794463405386</v>
      </c>
      <c r="ER36" s="101">
        <f t="shared" si="564"/>
        <v>75001</v>
      </c>
      <c r="ES36" s="101">
        <f t="shared" si="565"/>
        <v>69894</v>
      </c>
      <c r="ET36" s="101">
        <f t="shared" si="566"/>
        <v>144895</v>
      </c>
      <c r="EU36" s="101">
        <v>438</v>
      </c>
      <c r="EV36" s="101">
        <v>455</v>
      </c>
      <c r="EW36" s="101">
        <f t="shared" si="830"/>
        <v>893</v>
      </c>
      <c r="EX36" s="413">
        <f t="shared" si="831"/>
        <v>0.58399221343715413</v>
      </c>
      <c r="EY36" s="413">
        <f t="shared" si="832"/>
        <v>0.65098577846453198</v>
      </c>
      <c r="EZ36" s="413">
        <f t="shared" si="833"/>
        <v>0.61630836122709554</v>
      </c>
      <c r="FA36" s="101">
        <f t="shared" si="571"/>
        <v>59</v>
      </c>
      <c r="FB36" s="101">
        <f t="shared" si="572"/>
        <v>44</v>
      </c>
      <c r="FC36" s="101">
        <f t="shared" si="573"/>
        <v>103</v>
      </c>
      <c r="FD36" s="414"/>
      <c r="FE36" s="414"/>
      <c r="FF36" s="414"/>
      <c r="FG36" s="414"/>
      <c r="FH36" s="414"/>
      <c r="FI36" s="414"/>
      <c r="FJ36" s="390"/>
      <c r="FK36" s="390"/>
      <c r="FL36" s="390"/>
      <c r="FM36" s="390"/>
      <c r="FN36" s="390"/>
      <c r="FO36" s="390"/>
    </row>
    <row r="37" spans="1:171" ht="28.5">
      <c r="A37" s="393">
        <v>30</v>
      </c>
      <c r="B37" s="298" t="s">
        <v>373</v>
      </c>
      <c r="C37" s="221" t="s">
        <v>212</v>
      </c>
      <c r="D37" s="394">
        <v>631948</v>
      </c>
      <c r="E37" s="394">
        <v>517123</v>
      </c>
      <c r="F37" s="394">
        <f>D37+E37</f>
        <v>1149071</v>
      </c>
      <c r="G37" s="394">
        <v>509016</v>
      </c>
      <c r="H37" s="394">
        <v>424679</v>
      </c>
      <c r="I37" s="400">
        <f>G37+H37</f>
        <v>933695</v>
      </c>
      <c r="J37" s="394">
        <v>27355</v>
      </c>
      <c r="K37" s="394">
        <v>24961</v>
      </c>
      <c r="L37" s="394">
        <f>J37+K37</f>
        <v>52316</v>
      </c>
      <c r="M37" s="396">
        <f t="shared" ref="M37:O38" si="838">G37+J37</f>
        <v>536371</v>
      </c>
      <c r="N37" s="101">
        <f t="shared" si="838"/>
        <v>449640</v>
      </c>
      <c r="O37" s="101">
        <f t="shared" si="838"/>
        <v>986011</v>
      </c>
      <c r="P37" s="397">
        <f t="shared" ref="P37:R38" si="839">M37/D37</f>
        <v>0.84875812566856768</v>
      </c>
      <c r="Q37" s="397">
        <f t="shared" si="839"/>
        <v>0.86950300025332461</v>
      </c>
      <c r="R37" s="397">
        <f t="shared" si="839"/>
        <v>0.85809406033221625</v>
      </c>
      <c r="S37" s="394">
        <v>1534</v>
      </c>
      <c r="T37" s="394">
        <v>1213</v>
      </c>
      <c r="U37" s="394">
        <f>S37+T37</f>
        <v>2747</v>
      </c>
      <c r="V37" s="394">
        <v>247</v>
      </c>
      <c r="W37" s="394">
        <v>218</v>
      </c>
      <c r="X37" s="394">
        <f>V37+W37</f>
        <v>465</v>
      </c>
      <c r="Y37" s="394">
        <v>32</v>
      </c>
      <c r="Z37" s="394">
        <v>34</v>
      </c>
      <c r="AA37" s="394">
        <f>Y37+Z37</f>
        <v>66</v>
      </c>
      <c r="AB37" s="396">
        <f>V37+Y37</f>
        <v>279</v>
      </c>
      <c r="AC37" s="101">
        <f>W37+Z37</f>
        <v>252</v>
      </c>
      <c r="AD37" s="101">
        <f>X37+AA37</f>
        <v>531</v>
      </c>
      <c r="AE37" s="397">
        <f>AB37/S37</f>
        <v>0.18187744458930899</v>
      </c>
      <c r="AF37" s="397">
        <f>AC37/T37</f>
        <v>0.20774938169826876</v>
      </c>
      <c r="AG37" s="397">
        <f>AD37/U37</f>
        <v>0.19330178376410631</v>
      </c>
      <c r="AH37" s="101">
        <f t="shared" ref="AH37:AS37" si="840">D37+S37</f>
        <v>633482</v>
      </c>
      <c r="AI37" s="101">
        <f t="shared" si="840"/>
        <v>518336</v>
      </c>
      <c r="AJ37" s="101">
        <f t="shared" si="840"/>
        <v>1151818</v>
      </c>
      <c r="AK37" s="101">
        <f t="shared" si="840"/>
        <v>509263</v>
      </c>
      <c r="AL37" s="101">
        <f t="shared" si="840"/>
        <v>424897</v>
      </c>
      <c r="AM37" s="101">
        <f t="shared" si="840"/>
        <v>934160</v>
      </c>
      <c r="AN37" s="101">
        <f t="shared" si="840"/>
        <v>27387</v>
      </c>
      <c r="AO37" s="101">
        <f t="shared" si="840"/>
        <v>24995</v>
      </c>
      <c r="AP37" s="101">
        <f t="shared" si="840"/>
        <v>52382</v>
      </c>
      <c r="AQ37" s="101">
        <f t="shared" si="840"/>
        <v>536650</v>
      </c>
      <c r="AR37" s="101">
        <f t="shared" si="840"/>
        <v>449892</v>
      </c>
      <c r="AS37" s="101">
        <f t="shared" si="840"/>
        <v>986542</v>
      </c>
      <c r="AT37" s="397">
        <f t="shared" ref="AT37:AV38" si="841">AQ37/AH37</f>
        <v>0.84714324953195197</v>
      </c>
      <c r="AU37" s="397">
        <f t="shared" si="841"/>
        <v>0.86795437708359058</v>
      </c>
      <c r="AV37" s="397">
        <f t="shared" si="841"/>
        <v>0.85650858034863142</v>
      </c>
      <c r="AW37" s="394">
        <v>121248</v>
      </c>
      <c r="AX37" s="394">
        <v>101633</v>
      </c>
      <c r="AY37" s="394">
        <f>AW37+AX37</f>
        <v>222881</v>
      </c>
      <c r="AZ37" s="394">
        <v>93847</v>
      </c>
      <c r="BA37" s="394">
        <v>79172</v>
      </c>
      <c r="BB37" s="394">
        <f>AZ37+BA37</f>
        <v>173019</v>
      </c>
      <c r="BC37" s="394">
        <v>6027</v>
      </c>
      <c r="BD37" s="394">
        <v>5878</v>
      </c>
      <c r="BE37" s="394">
        <f>BC37+BD37</f>
        <v>11905</v>
      </c>
      <c r="BF37" s="396">
        <f t="shared" ref="BF37:BH38" si="842">AZ37+BC37</f>
        <v>99874</v>
      </c>
      <c r="BG37" s="101">
        <f t="shared" si="842"/>
        <v>85050</v>
      </c>
      <c r="BH37" s="101">
        <f t="shared" si="842"/>
        <v>184924</v>
      </c>
      <c r="BI37" s="397">
        <f t="shared" ref="BI37:BK38" si="843">BF37/AW37</f>
        <v>0.82371667986276065</v>
      </c>
      <c r="BJ37" s="397">
        <f t="shared" si="843"/>
        <v>0.8368344927336594</v>
      </c>
      <c r="BK37" s="397">
        <f t="shared" si="843"/>
        <v>0.82969835921410973</v>
      </c>
      <c r="BL37" s="394">
        <v>298</v>
      </c>
      <c r="BM37" s="394">
        <v>256</v>
      </c>
      <c r="BN37" s="394">
        <f>BL37+BM37</f>
        <v>554</v>
      </c>
      <c r="BO37" s="394">
        <v>32</v>
      </c>
      <c r="BP37" s="394">
        <v>25</v>
      </c>
      <c r="BQ37" s="394">
        <f>BO37+BP37</f>
        <v>57</v>
      </c>
      <c r="BR37" s="394">
        <v>7</v>
      </c>
      <c r="BS37" s="394">
        <v>7</v>
      </c>
      <c r="BT37" s="394">
        <f>BR37+BS37</f>
        <v>14</v>
      </c>
      <c r="BU37" s="396">
        <f>BO37+BR37</f>
        <v>39</v>
      </c>
      <c r="BV37" s="101">
        <f>BP37+BS37</f>
        <v>32</v>
      </c>
      <c r="BW37" s="101">
        <f>BQ37+BT37</f>
        <v>71</v>
      </c>
      <c r="BX37" s="397">
        <f>BU37/BL37</f>
        <v>0.13087248322147652</v>
      </c>
      <c r="BY37" s="397">
        <f>BV37/BM37</f>
        <v>0.125</v>
      </c>
      <c r="BZ37" s="397">
        <f>BW37/BN37</f>
        <v>0.12815884476534295</v>
      </c>
      <c r="CA37" s="101">
        <f t="shared" ref="CA37:CL37" si="844">AW37+BL37</f>
        <v>121546</v>
      </c>
      <c r="CB37" s="101">
        <f t="shared" si="844"/>
        <v>101889</v>
      </c>
      <c r="CC37" s="101">
        <f t="shared" si="844"/>
        <v>223435</v>
      </c>
      <c r="CD37" s="101">
        <f t="shared" si="844"/>
        <v>93879</v>
      </c>
      <c r="CE37" s="101">
        <f t="shared" si="844"/>
        <v>79197</v>
      </c>
      <c r="CF37" s="101">
        <f t="shared" si="844"/>
        <v>173076</v>
      </c>
      <c r="CG37" s="101">
        <f t="shared" si="844"/>
        <v>6034</v>
      </c>
      <c r="CH37" s="101">
        <f t="shared" si="844"/>
        <v>5885</v>
      </c>
      <c r="CI37" s="101">
        <f t="shared" si="844"/>
        <v>11919</v>
      </c>
      <c r="CJ37" s="101">
        <f t="shared" si="844"/>
        <v>99913</v>
      </c>
      <c r="CK37" s="101">
        <f t="shared" si="844"/>
        <v>85082</v>
      </c>
      <c r="CL37" s="101">
        <f t="shared" si="844"/>
        <v>184995</v>
      </c>
      <c r="CM37" s="397">
        <f t="shared" ref="CM37:CO38" si="845">CJ37/CA37</f>
        <v>0.82201800141510206</v>
      </c>
      <c r="CN37" s="397">
        <f t="shared" si="845"/>
        <v>0.8350459814111435</v>
      </c>
      <c r="CO37" s="397">
        <f t="shared" si="845"/>
        <v>0.82795891422561374</v>
      </c>
      <c r="CP37" s="394">
        <v>80347</v>
      </c>
      <c r="CQ37" s="394">
        <v>74115</v>
      </c>
      <c r="CR37" s="394">
        <f>CP37+CQ37</f>
        <v>154462</v>
      </c>
      <c r="CS37" s="394">
        <v>60776</v>
      </c>
      <c r="CT37" s="394">
        <v>56053</v>
      </c>
      <c r="CU37" s="394">
        <f>CS37+CT37</f>
        <v>116829</v>
      </c>
      <c r="CV37" s="394">
        <v>4260</v>
      </c>
      <c r="CW37" s="394">
        <v>4281</v>
      </c>
      <c r="CX37" s="394">
        <f>CV37+CW37</f>
        <v>8541</v>
      </c>
      <c r="CY37" s="396">
        <f>CS37+CV37</f>
        <v>65036</v>
      </c>
      <c r="CZ37" s="101">
        <f>CT37+CW37</f>
        <v>60334</v>
      </c>
      <c r="DA37" s="101">
        <f>CU37+CX37</f>
        <v>125370</v>
      </c>
      <c r="DB37" s="397">
        <f>CY37/CP37</f>
        <v>0.80943905808555394</v>
      </c>
      <c r="DC37" s="397">
        <f>CZ37/CQ37</f>
        <v>0.81405923227416854</v>
      </c>
      <c r="DD37" s="397">
        <f>DA37/CR37</f>
        <v>0.81165594126710772</v>
      </c>
      <c r="DE37" s="394">
        <v>88</v>
      </c>
      <c r="DF37" s="394">
        <v>58</v>
      </c>
      <c r="DG37" s="394">
        <f>DE37+DF37</f>
        <v>146</v>
      </c>
      <c r="DH37" s="394">
        <v>10</v>
      </c>
      <c r="DI37" s="394">
        <v>5</v>
      </c>
      <c r="DJ37" s="394">
        <f>DH37+DI37</f>
        <v>15</v>
      </c>
      <c r="DK37" s="394">
        <v>3</v>
      </c>
      <c r="DL37" s="394">
        <v>1</v>
      </c>
      <c r="DM37" s="394">
        <f>DK37+DL37</f>
        <v>4</v>
      </c>
      <c r="DN37" s="396">
        <f t="shared" ref="DN37" si="846">DH37+DK37</f>
        <v>13</v>
      </c>
      <c r="DO37" s="101">
        <f t="shared" ref="DO37" si="847">DI37+DL37</f>
        <v>6</v>
      </c>
      <c r="DP37" s="101">
        <f>DJ37+DM37</f>
        <v>19</v>
      </c>
      <c r="DQ37" s="397">
        <f>DN37/DE37</f>
        <v>0.14772727272727273</v>
      </c>
      <c r="DR37" s="397">
        <f>DO37/DF37</f>
        <v>0.10344827586206896</v>
      </c>
      <c r="DS37" s="397">
        <f>DP37/DG37</f>
        <v>0.13013698630136986</v>
      </c>
      <c r="DT37" s="101">
        <f t="shared" ref="DT37:EE37" si="848">CP37+DE37</f>
        <v>80435</v>
      </c>
      <c r="DU37" s="101">
        <f t="shared" si="848"/>
        <v>74173</v>
      </c>
      <c r="DV37" s="101">
        <f t="shared" si="848"/>
        <v>154608</v>
      </c>
      <c r="DW37" s="101">
        <f t="shared" si="848"/>
        <v>60786</v>
      </c>
      <c r="DX37" s="101">
        <f t="shared" si="848"/>
        <v>56058</v>
      </c>
      <c r="DY37" s="101">
        <f t="shared" si="848"/>
        <v>116844</v>
      </c>
      <c r="DZ37" s="101">
        <f t="shared" si="848"/>
        <v>4263</v>
      </c>
      <c r="EA37" s="101">
        <f t="shared" si="848"/>
        <v>4282</v>
      </c>
      <c r="EB37" s="101">
        <f t="shared" si="848"/>
        <v>8545</v>
      </c>
      <c r="EC37" s="101">
        <f t="shared" si="848"/>
        <v>65049</v>
      </c>
      <c r="ED37" s="101">
        <f t="shared" si="848"/>
        <v>60340</v>
      </c>
      <c r="EE37" s="101">
        <f t="shared" si="848"/>
        <v>125389</v>
      </c>
      <c r="EF37" s="397">
        <f>EC37/DT37</f>
        <v>0.80871511158077947</v>
      </c>
      <c r="EG37" s="397">
        <f>ED37/DU37</f>
        <v>0.81350356598762352</v>
      </c>
      <c r="EH37" s="397">
        <f>EE37/DV37</f>
        <v>0.81101236675980548</v>
      </c>
      <c r="EI37" s="101">
        <f t="shared" si="53"/>
        <v>536650</v>
      </c>
      <c r="EJ37" s="101">
        <f t="shared" si="54"/>
        <v>449892</v>
      </c>
      <c r="EK37" s="101">
        <f t="shared" si="55"/>
        <v>986542</v>
      </c>
      <c r="EL37" s="101">
        <v>188663</v>
      </c>
      <c r="EM37" s="101">
        <v>175064</v>
      </c>
      <c r="EN37" s="101">
        <f>EL37+EM37</f>
        <v>363727</v>
      </c>
      <c r="EO37" s="413">
        <f t="shared" ref="EO37" si="849">+EL37*100/EI37</f>
        <v>35.155688064846736</v>
      </c>
      <c r="EP37" s="413">
        <f t="shared" ref="EP37" si="850">+EM37*100/EJ37</f>
        <v>38.912450099134901</v>
      </c>
      <c r="EQ37" s="413">
        <f t="shared" ref="EQ37" si="851">+EN37*100/EK37</f>
        <v>36.868881405961432</v>
      </c>
      <c r="ER37" s="101">
        <f t="shared" si="564"/>
        <v>99913</v>
      </c>
      <c r="ES37" s="101">
        <f t="shared" si="565"/>
        <v>85082</v>
      </c>
      <c r="ET37" s="101">
        <f t="shared" si="566"/>
        <v>184995</v>
      </c>
      <c r="EU37" s="101">
        <v>29177</v>
      </c>
      <c r="EV37" s="101">
        <v>25928</v>
      </c>
      <c r="EW37" s="101">
        <f>EU37+EV37</f>
        <v>55105</v>
      </c>
      <c r="EX37" s="413">
        <f t="shared" ref="EX37" si="852">+EU37*100/ER37</f>
        <v>29.202406093301171</v>
      </c>
      <c r="EY37" s="413">
        <f t="shared" ref="EY37" si="853">+EV37*100/ES37</f>
        <v>30.474130838485227</v>
      </c>
      <c r="EZ37" s="413">
        <f t="shared" ref="EZ37" si="854">+EW37*100/ET37</f>
        <v>29.787291548420228</v>
      </c>
      <c r="FA37" s="101">
        <f t="shared" si="571"/>
        <v>65049</v>
      </c>
      <c r="FB37" s="101">
        <f t="shared" si="572"/>
        <v>60340</v>
      </c>
      <c r="FC37" s="101">
        <f t="shared" si="573"/>
        <v>125389</v>
      </c>
      <c r="FD37" s="101">
        <v>15266</v>
      </c>
      <c r="FE37" s="101">
        <v>14305</v>
      </c>
      <c r="FF37" s="101">
        <f>FD37+FE37</f>
        <v>29571</v>
      </c>
      <c r="FG37" s="413">
        <f t="shared" ref="FG37" si="855">+FD37*100/FA37</f>
        <v>23.468462236160434</v>
      </c>
      <c r="FH37" s="413">
        <f t="shared" ref="FH37" si="856">+FE37*100/FB37</f>
        <v>23.707325157441165</v>
      </c>
      <c r="FI37" s="413">
        <f t="shared" ref="FI37" si="857">+FF37*100/FC37</f>
        <v>23.583408432956638</v>
      </c>
      <c r="FJ37" s="362"/>
      <c r="FK37" s="362"/>
      <c r="FL37" s="362"/>
      <c r="FM37" s="362"/>
      <c r="FN37" s="362"/>
      <c r="FO37" s="362"/>
    </row>
    <row r="38" spans="1:171" s="391" customFormat="1" ht="30" customHeight="1">
      <c r="A38" s="393">
        <v>31</v>
      </c>
      <c r="B38" s="412"/>
      <c r="C38" s="221" t="s">
        <v>136</v>
      </c>
      <c r="D38" s="394">
        <v>17</v>
      </c>
      <c r="E38" s="394">
        <v>362</v>
      </c>
      <c r="F38" s="394">
        <f>D38+E38</f>
        <v>379</v>
      </c>
      <c r="G38" s="394">
        <v>17</v>
      </c>
      <c r="H38" s="394">
        <v>362</v>
      </c>
      <c r="I38" s="394">
        <f>G38+H38</f>
        <v>379</v>
      </c>
      <c r="J38" s="399"/>
      <c r="K38" s="399"/>
      <c r="L38" s="399"/>
      <c r="M38" s="396">
        <f t="shared" si="838"/>
        <v>17</v>
      </c>
      <c r="N38" s="101">
        <f t="shared" si="838"/>
        <v>362</v>
      </c>
      <c r="O38" s="101">
        <f t="shared" si="838"/>
        <v>379</v>
      </c>
      <c r="P38" s="397">
        <f t="shared" si="839"/>
        <v>1</v>
      </c>
      <c r="Q38" s="397">
        <f t="shared" si="839"/>
        <v>1</v>
      </c>
      <c r="R38" s="397">
        <f t="shared" si="839"/>
        <v>1</v>
      </c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101">
        <f t="shared" ref="AH38:AM38" si="858">D38+S38</f>
        <v>17</v>
      </c>
      <c r="AI38" s="101">
        <f t="shared" si="858"/>
        <v>362</v>
      </c>
      <c r="AJ38" s="101">
        <f t="shared" si="858"/>
        <v>379</v>
      </c>
      <c r="AK38" s="101">
        <f t="shared" si="858"/>
        <v>17</v>
      </c>
      <c r="AL38" s="101">
        <f t="shared" si="858"/>
        <v>362</v>
      </c>
      <c r="AM38" s="101">
        <f t="shared" si="858"/>
        <v>379</v>
      </c>
      <c r="AN38" s="398"/>
      <c r="AO38" s="398"/>
      <c r="AP38" s="398"/>
      <c r="AQ38" s="101">
        <f>M38+AB38</f>
        <v>17</v>
      </c>
      <c r="AR38" s="101">
        <f>N38+AC38</f>
        <v>362</v>
      </c>
      <c r="AS38" s="101">
        <f>O38+AD38</f>
        <v>379</v>
      </c>
      <c r="AT38" s="397">
        <f t="shared" si="841"/>
        <v>1</v>
      </c>
      <c r="AU38" s="397">
        <f t="shared" si="841"/>
        <v>1</v>
      </c>
      <c r="AV38" s="397">
        <f t="shared" si="841"/>
        <v>1</v>
      </c>
      <c r="AW38" s="394">
        <v>3</v>
      </c>
      <c r="AX38" s="394">
        <v>11</v>
      </c>
      <c r="AY38" s="394">
        <f>AW38+AX38</f>
        <v>14</v>
      </c>
      <c r="AZ38" s="394">
        <v>3</v>
      </c>
      <c r="BA38" s="394">
        <v>11</v>
      </c>
      <c r="BB38" s="394">
        <f>AZ38+BA38</f>
        <v>14</v>
      </c>
      <c r="BC38" s="399"/>
      <c r="BD38" s="399"/>
      <c r="BE38" s="399"/>
      <c r="BF38" s="396">
        <f t="shared" si="842"/>
        <v>3</v>
      </c>
      <c r="BG38" s="101">
        <f t="shared" si="842"/>
        <v>11</v>
      </c>
      <c r="BH38" s="101">
        <f t="shared" si="842"/>
        <v>14</v>
      </c>
      <c r="BI38" s="397">
        <f t="shared" si="843"/>
        <v>1</v>
      </c>
      <c r="BJ38" s="397">
        <f t="shared" si="843"/>
        <v>1</v>
      </c>
      <c r="BK38" s="397">
        <f t="shared" si="843"/>
        <v>1</v>
      </c>
      <c r="BL38" s="399"/>
      <c r="BM38" s="399"/>
      <c r="BN38" s="399"/>
      <c r="BO38" s="399"/>
      <c r="BP38" s="399"/>
      <c r="BQ38" s="399"/>
      <c r="BR38" s="399"/>
      <c r="BS38" s="399"/>
      <c r="BT38" s="399"/>
      <c r="BU38" s="399"/>
      <c r="BV38" s="399"/>
      <c r="BW38" s="399"/>
      <c r="BX38" s="399"/>
      <c r="BY38" s="399"/>
      <c r="BZ38" s="399"/>
      <c r="CA38" s="101">
        <f t="shared" ref="CA38:CF38" si="859">AW38+BL38</f>
        <v>3</v>
      </c>
      <c r="CB38" s="101">
        <f t="shared" si="859"/>
        <v>11</v>
      </c>
      <c r="CC38" s="101">
        <f t="shared" si="859"/>
        <v>14</v>
      </c>
      <c r="CD38" s="101">
        <f t="shared" si="859"/>
        <v>3</v>
      </c>
      <c r="CE38" s="101">
        <f t="shared" si="859"/>
        <v>11</v>
      </c>
      <c r="CF38" s="101">
        <f t="shared" si="859"/>
        <v>14</v>
      </c>
      <c r="CG38" s="399"/>
      <c r="CH38" s="399"/>
      <c r="CI38" s="399"/>
      <c r="CJ38" s="101">
        <f>BF38+BU38</f>
        <v>3</v>
      </c>
      <c r="CK38" s="101">
        <f>BG38+BV38</f>
        <v>11</v>
      </c>
      <c r="CL38" s="101">
        <f>BH38+BW38</f>
        <v>14</v>
      </c>
      <c r="CM38" s="397">
        <f t="shared" si="845"/>
        <v>1</v>
      </c>
      <c r="CN38" s="397">
        <f t="shared" si="845"/>
        <v>1</v>
      </c>
      <c r="CO38" s="397">
        <f t="shared" si="845"/>
        <v>1</v>
      </c>
      <c r="CP38" s="399"/>
      <c r="CQ38" s="394">
        <v>12</v>
      </c>
      <c r="CR38" s="394">
        <f>CP38+CQ38</f>
        <v>12</v>
      </c>
      <c r="CS38" s="399"/>
      <c r="CT38" s="394">
        <v>12</v>
      </c>
      <c r="CU38" s="394">
        <f>CS38+CT38</f>
        <v>12</v>
      </c>
      <c r="CV38" s="399"/>
      <c r="CW38" s="399"/>
      <c r="CX38" s="399"/>
      <c r="CY38" s="399"/>
      <c r="CZ38" s="101">
        <f>CT38+CW38</f>
        <v>12</v>
      </c>
      <c r="DA38" s="101">
        <f>CU38+CX38</f>
        <v>12</v>
      </c>
      <c r="DB38" s="399"/>
      <c r="DC38" s="397">
        <f t="shared" ref="DC38" si="860">CZ38/CQ38</f>
        <v>1</v>
      </c>
      <c r="DD38" s="397">
        <f t="shared" ref="DD38" si="861">DA38/CR38</f>
        <v>1</v>
      </c>
      <c r="DE38" s="399"/>
      <c r="DF38" s="399"/>
      <c r="DG38" s="399"/>
      <c r="DH38" s="399"/>
      <c r="DI38" s="399"/>
      <c r="DJ38" s="399"/>
      <c r="DK38" s="399"/>
      <c r="DL38" s="399"/>
      <c r="DM38" s="399"/>
      <c r="DN38" s="415"/>
      <c r="DO38" s="399"/>
      <c r="DP38" s="399"/>
      <c r="DQ38" s="399"/>
      <c r="DR38" s="399"/>
      <c r="DS38" s="399"/>
      <c r="DT38" s="399"/>
      <c r="DU38" s="101">
        <f>CQ38+DF38</f>
        <v>12</v>
      </c>
      <c r="DV38" s="101">
        <f>CR38+DG38</f>
        <v>12</v>
      </c>
      <c r="DW38" s="399"/>
      <c r="DX38" s="101">
        <f>CT38+DI38</f>
        <v>12</v>
      </c>
      <c r="DY38" s="101">
        <f>CU38+DJ38</f>
        <v>12</v>
      </c>
      <c r="DZ38" s="399"/>
      <c r="EA38" s="399"/>
      <c r="EB38" s="399"/>
      <c r="EC38" s="399"/>
      <c r="ED38" s="101">
        <f>CZ38+DO38</f>
        <v>12</v>
      </c>
      <c r="EE38" s="101">
        <f>DA38+DP38</f>
        <v>12</v>
      </c>
      <c r="EF38" s="399"/>
      <c r="EG38" s="397">
        <f>ED38/DU38</f>
        <v>1</v>
      </c>
      <c r="EH38" s="397">
        <f>EE38/DV38</f>
        <v>1</v>
      </c>
      <c r="EI38" s="101">
        <f t="shared" si="53"/>
        <v>17</v>
      </c>
      <c r="EJ38" s="101">
        <f t="shared" si="54"/>
        <v>362</v>
      </c>
      <c r="EK38" s="101">
        <f t="shared" si="55"/>
        <v>379</v>
      </c>
      <c r="EL38" s="101">
        <v>17</v>
      </c>
      <c r="EM38" s="101">
        <v>359</v>
      </c>
      <c r="EN38" s="101">
        <f>EL38+EM38</f>
        <v>376</v>
      </c>
      <c r="EO38" s="413">
        <f t="shared" ref="EO38" si="862">+EL38*100/EI38</f>
        <v>100</v>
      </c>
      <c r="EP38" s="413">
        <f t="shared" ref="EP38" si="863">+EM38*100/EJ38</f>
        <v>99.171270718232037</v>
      </c>
      <c r="EQ38" s="413">
        <f t="shared" ref="EQ38" si="864">+EN38*100/EK38</f>
        <v>99.208443271767806</v>
      </c>
      <c r="ER38" s="101">
        <f t="shared" si="564"/>
        <v>3</v>
      </c>
      <c r="ES38" s="101">
        <f t="shared" si="565"/>
        <v>11</v>
      </c>
      <c r="ET38" s="101">
        <f t="shared" si="566"/>
        <v>14</v>
      </c>
      <c r="EU38" s="101">
        <v>3</v>
      </c>
      <c r="EV38" s="101">
        <v>11</v>
      </c>
      <c r="EW38" s="101">
        <f>EU38+EV38</f>
        <v>14</v>
      </c>
      <c r="EX38" s="413">
        <f t="shared" ref="EX38" si="865">+EU38*100/ER38</f>
        <v>100</v>
      </c>
      <c r="EY38" s="413">
        <f t="shared" ref="EY38" si="866">+EV38*100/ES38</f>
        <v>100</v>
      </c>
      <c r="EZ38" s="413">
        <f t="shared" ref="EZ38" si="867">+EW38*100/ET38</f>
        <v>100</v>
      </c>
      <c r="FA38" s="414"/>
      <c r="FB38" s="101">
        <f t="shared" ref="FB38:FC44" si="868">+ED38</f>
        <v>12</v>
      </c>
      <c r="FC38" s="101">
        <f t="shared" si="868"/>
        <v>12</v>
      </c>
      <c r="FD38" s="415"/>
      <c r="FE38" s="101">
        <v>11</v>
      </c>
      <c r="FF38" s="101">
        <f>FD38+FE38</f>
        <v>11</v>
      </c>
      <c r="FG38" s="416"/>
      <c r="FH38" s="413">
        <f>+FE38*100/FB38</f>
        <v>91.666666666666671</v>
      </c>
      <c r="FI38" s="413">
        <f>+FF38*100/FC38</f>
        <v>91.666666666666671</v>
      </c>
      <c r="FJ38" s="381"/>
    </row>
    <row r="39" spans="1:171" s="390" customFormat="1" ht="28.5">
      <c r="A39" s="393">
        <v>32</v>
      </c>
      <c r="B39" s="220" t="s">
        <v>394</v>
      </c>
      <c r="C39" s="221" t="s">
        <v>352</v>
      </c>
      <c r="D39" s="394">
        <v>471759</v>
      </c>
      <c r="E39" s="394">
        <v>468070</v>
      </c>
      <c r="F39" s="394">
        <f t="shared" ref="F39" si="869">D39+E39</f>
        <v>939829</v>
      </c>
      <c r="G39" s="394">
        <v>471759</v>
      </c>
      <c r="H39" s="394">
        <v>468070</v>
      </c>
      <c r="I39" s="400">
        <f t="shared" si="592"/>
        <v>939829</v>
      </c>
      <c r="J39" s="402"/>
      <c r="K39" s="402"/>
      <c r="L39" s="402"/>
      <c r="M39" s="396">
        <f t="shared" ref="M39" si="870">G39+J39</f>
        <v>471759</v>
      </c>
      <c r="N39" s="101">
        <f t="shared" ref="N39" si="871">H39+K39</f>
        <v>468070</v>
      </c>
      <c r="O39" s="101">
        <f t="shared" ref="O39" si="872">I39+L39</f>
        <v>939829</v>
      </c>
      <c r="P39" s="397">
        <f t="shared" ref="P39" si="873">M39/D39</f>
        <v>1</v>
      </c>
      <c r="Q39" s="397">
        <f t="shared" ref="Q39" si="874">N39/E39</f>
        <v>1</v>
      </c>
      <c r="R39" s="397">
        <f t="shared" ref="R39" si="875">O39/F39</f>
        <v>1</v>
      </c>
      <c r="S39" s="394">
        <v>26547</v>
      </c>
      <c r="T39" s="394">
        <v>11290</v>
      </c>
      <c r="U39" s="394">
        <f t="shared" ref="U39:U40" si="876">S39+T39</f>
        <v>37837</v>
      </c>
      <c r="V39" s="394">
        <v>6030</v>
      </c>
      <c r="W39" s="394">
        <v>3488</v>
      </c>
      <c r="X39" s="394">
        <f t="shared" ref="X39" si="877">V39+W39</f>
        <v>9518</v>
      </c>
      <c r="Y39" s="399"/>
      <c r="Z39" s="399"/>
      <c r="AA39" s="399"/>
      <c r="AB39" s="396">
        <f t="shared" ref="AB39:AB40" si="878">V39+Y39</f>
        <v>6030</v>
      </c>
      <c r="AC39" s="101">
        <f t="shared" ref="AC39:AC40" si="879">W39+Z39</f>
        <v>3488</v>
      </c>
      <c r="AD39" s="101">
        <f t="shared" ref="AD39:AD40" si="880">X39+AA39</f>
        <v>9518</v>
      </c>
      <c r="AE39" s="397">
        <f t="shared" ref="AE39" si="881">AB39/S39</f>
        <v>0.22714431009153577</v>
      </c>
      <c r="AF39" s="397">
        <f t="shared" ref="AF39" si="882">AC39/T39</f>
        <v>0.30894596988485384</v>
      </c>
      <c r="AG39" s="397">
        <f t="shared" ref="AG39" si="883">AD39/U39</f>
        <v>0.25155271295292969</v>
      </c>
      <c r="AH39" s="101">
        <f t="shared" si="80"/>
        <v>498306</v>
      </c>
      <c r="AI39" s="101">
        <f t="shared" si="81"/>
        <v>479360</v>
      </c>
      <c r="AJ39" s="101">
        <f t="shared" si="82"/>
        <v>977666</v>
      </c>
      <c r="AK39" s="101">
        <f t="shared" si="83"/>
        <v>477789</v>
      </c>
      <c r="AL39" s="101">
        <f t="shared" si="84"/>
        <v>471558</v>
      </c>
      <c r="AM39" s="101">
        <f t="shared" si="85"/>
        <v>949347</v>
      </c>
      <c r="AN39" s="398"/>
      <c r="AO39" s="398"/>
      <c r="AP39" s="398"/>
      <c r="AQ39" s="101">
        <f t="shared" si="89"/>
        <v>477789</v>
      </c>
      <c r="AR39" s="101">
        <f t="shared" si="90"/>
        <v>471558</v>
      </c>
      <c r="AS39" s="101">
        <f t="shared" si="91"/>
        <v>949347</v>
      </c>
      <c r="AT39" s="397">
        <f t="shared" si="92"/>
        <v>0.95882650419621673</v>
      </c>
      <c r="AU39" s="397">
        <f t="shared" si="93"/>
        <v>0.983724132176235</v>
      </c>
      <c r="AV39" s="397">
        <f t="shared" si="94"/>
        <v>0.97103407503175931</v>
      </c>
      <c r="AW39" s="394">
        <v>109190</v>
      </c>
      <c r="AX39" s="394">
        <v>112178</v>
      </c>
      <c r="AY39" s="394">
        <f t="shared" ref="AY39" si="884">AW39+AX39</f>
        <v>221368</v>
      </c>
      <c r="AZ39" s="394">
        <v>109190</v>
      </c>
      <c r="BA39" s="394">
        <v>112178</v>
      </c>
      <c r="BB39" s="394">
        <f t="shared" ref="BB39" si="885">AZ39+BA39</f>
        <v>221368</v>
      </c>
      <c r="BC39" s="399"/>
      <c r="BD39" s="399"/>
      <c r="BE39" s="399"/>
      <c r="BF39" s="396">
        <f t="shared" ref="BF39" si="886">AZ39+BC39</f>
        <v>109190</v>
      </c>
      <c r="BG39" s="101">
        <f t="shared" ref="BG39" si="887">BA39+BD39</f>
        <v>112178</v>
      </c>
      <c r="BH39" s="101">
        <f t="shared" ref="BH39" si="888">BB39+BE39</f>
        <v>221368</v>
      </c>
      <c r="BI39" s="397">
        <f t="shared" ref="BI39" si="889">BF39/AW39</f>
        <v>1</v>
      </c>
      <c r="BJ39" s="397">
        <f t="shared" ref="BJ39" si="890">BG39/AX39</f>
        <v>1</v>
      </c>
      <c r="BK39" s="397">
        <f t="shared" ref="BK39" si="891">BH39/AY39</f>
        <v>1</v>
      </c>
      <c r="BL39" s="394">
        <v>8498</v>
      </c>
      <c r="BM39" s="394">
        <v>3765</v>
      </c>
      <c r="BN39" s="394">
        <f t="shared" ref="BN39" si="892">BL39+BM39</f>
        <v>12263</v>
      </c>
      <c r="BO39" s="394">
        <v>1939</v>
      </c>
      <c r="BP39" s="394">
        <v>1128</v>
      </c>
      <c r="BQ39" s="394">
        <f t="shared" ref="BQ39" si="893">BO39+BP39</f>
        <v>3067</v>
      </c>
      <c r="BR39" s="399"/>
      <c r="BS39" s="399"/>
      <c r="BT39" s="399"/>
      <c r="BU39" s="396">
        <f t="shared" ref="BU39" si="894">BO39+BR39</f>
        <v>1939</v>
      </c>
      <c r="BV39" s="101">
        <f t="shared" ref="BV39" si="895">BP39+BS39</f>
        <v>1128</v>
      </c>
      <c r="BW39" s="101">
        <f t="shared" ref="BW39" si="896">BQ39+BT39</f>
        <v>3067</v>
      </c>
      <c r="BX39" s="397">
        <f t="shared" ref="BX39" si="897">BU39/BL39</f>
        <v>0.22817133443163098</v>
      </c>
      <c r="BY39" s="397">
        <f t="shared" ref="BY39" si="898">BV39/BM39</f>
        <v>0.29960159362549799</v>
      </c>
      <c r="BZ39" s="397">
        <f t="shared" ref="BZ39" si="899">BW39/BN39</f>
        <v>0.25010193264290959</v>
      </c>
      <c r="CA39" s="101">
        <f t="shared" si="108"/>
        <v>117688</v>
      </c>
      <c r="CB39" s="101">
        <f t="shared" si="109"/>
        <v>115943</v>
      </c>
      <c r="CC39" s="101">
        <f t="shared" si="110"/>
        <v>233631</v>
      </c>
      <c r="CD39" s="101">
        <f t="shared" si="111"/>
        <v>111129</v>
      </c>
      <c r="CE39" s="101">
        <f t="shared" si="112"/>
        <v>113306</v>
      </c>
      <c r="CF39" s="101">
        <f t="shared" si="113"/>
        <v>224435</v>
      </c>
      <c r="CG39" s="399"/>
      <c r="CH39" s="399"/>
      <c r="CI39" s="399"/>
      <c r="CJ39" s="101">
        <f t="shared" si="117"/>
        <v>111129</v>
      </c>
      <c r="CK39" s="101">
        <f t="shared" si="118"/>
        <v>113306</v>
      </c>
      <c r="CL39" s="101">
        <f t="shared" si="119"/>
        <v>224435</v>
      </c>
      <c r="CM39" s="397">
        <f t="shared" si="120"/>
        <v>0.94426789477261908</v>
      </c>
      <c r="CN39" s="397">
        <f t="shared" si="121"/>
        <v>0.97725606548045163</v>
      </c>
      <c r="CO39" s="397">
        <f t="shared" si="122"/>
        <v>0.96063878509273171</v>
      </c>
      <c r="CP39" s="394">
        <v>5594</v>
      </c>
      <c r="CQ39" s="394">
        <v>5529</v>
      </c>
      <c r="CR39" s="394">
        <f t="shared" ref="CR39" si="900">CP39+CQ39</f>
        <v>11123</v>
      </c>
      <c r="CS39" s="394">
        <v>5594</v>
      </c>
      <c r="CT39" s="394">
        <v>5529</v>
      </c>
      <c r="CU39" s="394">
        <f t="shared" ref="CU39" si="901">CS39+CT39</f>
        <v>11123</v>
      </c>
      <c r="CV39" s="417"/>
      <c r="CW39" s="417"/>
      <c r="CX39" s="417"/>
      <c r="CY39" s="396">
        <f t="shared" ref="CY39" si="902">CS39+CV39</f>
        <v>5594</v>
      </c>
      <c r="CZ39" s="101">
        <f t="shared" ref="CZ39" si="903">CT39+CW39</f>
        <v>5529</v>
      </c>
      <c r="DA39" s="101">
        <f t="shared" ref="DA39" si="904">CU39+CX39</f>
        <v>11123</v>
      </c>
      <c r="DB39" s="397">
        <f t="shared" ref="DB39" si="905">CY39/CP39</f>
        <v>1</v>
      </c>
      <c r="DC39" s="397">
        <f t="shared" ref="DC39" si="906">CZ39/CQ39</f>
        <v>1</v>
      </c>
      <c r="DD39" s="397">
        <f t="shared" ref="DD39" si="907">DA39/CR39</f>
        <v>1</v>
      </c>
      <c r="DE39" s="394">
        <v>280</v>
      </c>
      <c r="DF39" s="394">
        <v>136</v>
      </c>
      <c r="DG39" s="394">
        <f t="shared" ref="DG39" si="908">DE39+DF39</f>
        <v>416</v>
      </c>
      <c r="DH39" s="394">
        <v>54</v>
      </c>
      <c r="DI39" s="394">
        <v>40</v>
      </c>
      <c r="DJ39" s="394">
        <f t="shared" ref="DJ39" si="909">DH39+DI39</f>
        <v>94</v>
      </c>
      <c r="DK39" s="399"/>
      <c r="DL39" s="399"/>
      <c r="DM39" s="399"/>
      <c r="DN39" s="396">
        <f t="shared" ref="DN39" si="910">DH39+DK39</f>
        <v>54</v>
      </c>
      <c r="DO39" s="101">
        <f t="shared" ref="DO39" si="911">DI39+DL39</f>
        <v>40</v>
      </c>
      <c r="DP39" s="101">
        <f t="shared" ref="DP39" si="912">DJ39+DM39</f>
        <v>94</v>
      </c>
      <c r="DQ39" s="397">
        <f t="shared" ref="DQ39" si="913">DN39/DE39</f>
        <v>0.19285714285714287</v>
      </c>
      <c r="DR39" s="397">
        <f t="shared" ref="DR39" si="914">DO39/DF39</f>
        <v>0.29411764705882354</v>
      </c>
      <c r="DS39" s="397">
        <f t="shared" ref="DS39" si="915">DP39/DG39</f>
        <v>0.22596153846153846</v>
      </c>
      <c r="DT39" s="101">
        <f t="shared" si="579"/>
        <v>5874</v>
      </c>
      <c r="DU39" s="101">
        <f t="shared" si="580"/>
        <v>5665</v>
      </c>
      <c r="DV39" s="101">
        <f t="shared" si="581"/>
        <v>11539</v>
      </c>
      <c r="DW39" s="101">
        <f t="shared" si="582"/>
        <v>5648</v>
      </c>
      <c r="DX39" s="101">
        <f t="shared" si="583"/>
        <v>5569</v>
      </c>
      <c r="DY39" s="101">
        <f t="shared" si="584"/>
        <v>11217</v>
      </c>
      <c r="DZ39" s="399"/>
      <c r="EA39" s="399"/>
      <c r="EB39" s="399"/>
      <c r="EC39" s="101">
        <f t="shared" si="588"/>
        <v>5648</v>
      </c>
      <c r="ED39" s="101">
        <f t="shared" si="589"/>
        <v>5569</v>
      </c>
      <c r="EE39" s="101">
        <f t="shared" si="590"/>
        <v>11217</v>
      </c>
      <c r="EF39" s="397">
        <f t="shared" ref="EF39" si="916">EC39/DT39</f>
        <v>0.96152536601974803</v>
      </c>
      <c r="EG39" s="397">
        <f t="shared" ref="EG39" si="917">ED39/DU39</f>
        <v>0.98305383936451896</v>
      </c>
      <c r="EH39" s="397">
        <f t="shared" ref="EH39" si="918">EE39/DV39</f>
        <v>0.97209463558367282</v>
      </c>
      <c r="EI39" s="101">
        <f t="shared" si="53"/>
        <v>477789</v>
      </c>
      <c r="EJ39" s="101">
        <f t="shared" si="54"/>
        <v>471558</v>
      </c>
      <c r="EK39" s="101">
        <f t="shared" si="55"/>
        <v>949347</v>
      </c>
      <c r="EL39" s="101">
        <v>202730</v>
      </c>
      <c r="EM39" s="101">
        <v>272065</v>
      </c>
      <c r="EN39" s="101">
        <f t="shared" ref="EN39:EN41" si="919">EL39+EM39</f>
        <v>474795</v>
      </c>
      <c r="EO39" s="413">
        <f t="shared" ref="EO39" si="920">+EL39*100/EI39</f>
        <v>42.430863833198337</v>
      </c>
      <c r="EP39" s="413">
        <f t="shared" ref="EP39" si="921">+EM39*100/EJ39</f>
        <v>57.694917698353116</v>
      </c>
      <c r="EQ39" s="413">
        <f t="shared" ref="EQ39:EQ41" si="922">+EN39*100/EK39</f>
        <v>50.012798270811409</v>
      </c>
      <c r="ER39" s="101">
        <f t="shared" si="564"/>
        <v>111129</v>
      </c>
      <c r="ES39" s="101">
        <f t="shared" si="565"/>
        <v>113306</v>
      </c>
      <c r="ET39" s="101">
        <f t="shared" si="566"/>
        <v>224435</v>
      </c>
      <c r="EU39" s="101">
        <v>31847</v>
      </c>
      <c r="EV39" s="101">
        <v>48831</v>
      </c>
      <c r="EW39" s="101">
        <f t="shared" ref="EW39:EW41" si="923">EU39+EV39</f>
        <v>80678</v>
      </c>
      <c r="EX39" s="413">
        <f t="shared" ref="EX39:EX41" si="924">+EU39*100/ER39</f>
        <v>28.657686112535881</v>
      </c>
      <c r="EY39" s="413">
        <f t="shared" ref="EY39:EY41" si="925">+EV39*100/ES39</f>
        <v>43.096570349319542</v>
      </c>
      <c r="EZ39" s="413">
        <f t="shared" ref="EZ39:EZ41" si="926">+EW39*100/ET39</f>
        <v>35.947156192216006</v>
      </c>
      <c r="FA39" s="101">
        <f t="shared" ref="FA39:FA44" si="927">+EC39</f>
        <v>5648</v>
      </c>
      <c r="FB39" s="101">
        <f t="shared" si="868"/>
        <v>5569</v>
      </c>
      <c r="FC39" s="101">
        <f t="shared" si="868"/>
        <v>11217</v>
      </c>
      <c r="FD39" s="101">
        <v>1523</v>
      </c>
      <c r="FE39" s="101">
        <v>1812</v>
      </c>
      <c r="FF39" s="101">
        <f t="shared" ref="FF39:FF41" si="928">FD39+FE39</f>
        <v>3335</v>
      </c>
      <c r="FG39" s="413">
        <f t="shared" ref="FG39" si="929">+FD39*100/FA39</f>
        <v>26.965297450424931</v>
      </c>
      <c r="FH39" s="413">
        <f t="shared" ref="FH39" si="930">+FE39*100/FB39</f>
        <v>32.537259831208473</v>
      </c>
      <c r="FI39" s="413">
        <f t="shared" ref="FI39" si="931">+FF39*100/FC39</f>
        <v>29.731657305875011</v>
      </c>
    </row>
    <row r="40" spans="1:171" s="380" customFormat="1" ht="28.5">
      <c r="A40" s="393">
        <v>33</v>
      </c>
      <c r="B40" s="220" t="s">
        <v>371</v>
      </c>
      <c r="C40" s="221" t="s">
        <v>356</v>
      </c>
      <c r="D40" s="394">
        <v>257091</v>
      </c>
      <c r="E40" s="394">
        <v>251869</v>
      </c>
      <c r="F40" s="394">
        <f t="shared" ref="F40:F41" si="932">D40+E40</f>
        <v>508960</v>
      </c>
      <c r="G40" s="394">
        <v>257091</v>
      </c>
      <c r="H40" s="394">
        <v>251869</v>
      </c>
      <c r="I40" s="394">
        <f>G40+H40</f>
        <v>508960</v>
      </c>
      <c r="J40" s="399"/>
      <c r="K40" s="399"/>
      <c r="L40" s="399"/>
      <c r="M40" s="396">
        <f t="shared" ref="M40:M41" si="933">G40+J40</f>
        <v>257091</v>
      </c>
      <c r="N40" s="101">
        <f t="shared" ref="N40:N41" si="934">H40+K40</f>
        <v>251869</v>
      </c>
      <c r="O40" s="101">
        <f t="shared" ref="O40" si="935">I40+L40</f>
        <v>508960</v>
      </c>
      <c r="P40" s="397">
        <f t="shared" ref="P40" si="936">M40/D40</f>
        <v>1</v>
      </c>
      <c r="Q40" s="397">
        <f t="shared" ref="Q40" si="937">N40/E40</f>
        <v>1</v>
      </c>
      <c r="R40" s="397">
        <f t="shared" ref="R40" si="938">O40/F40</f>
        <v>1</v>
      </c>
      <c r="S40" s="394">
        <v>16860</v>
      </c>
      <c r="T40" s="394">
        <v>9018</v>
      </c>
      <c r="U40" s="394">
        <f t="shared" si="876"/>
        <v>25878</v>
      </c>
      <c r="V40" s="394">
        <v>16852</v>
      </c>
      <c r="W40" s="394">
        <v>9015</v>
      </c>
      <c r="X40" s="394">
        <f>V40+W40</f>
        <v>25867</v>
      </c>
      <c r="Y40" s="399"/>
      <c r="Z40" s="399"/>
      <c r="AA40" s="399"/>
      <c r="AB40" s="396">
        <f t="shared" si="878"/>
        <v>16852</v>
      </c>
      <c r="AC40" s="101">
        <f t="shared" si="879"/>
        <v>9015</v>
      </c>
      <c r="AD40" s="101">
        <f t="shared" si="880"/>
        <v>25867</v>
      </c>
      <c r="AE40" s="397">
        <f t="shared" ref="AE40" si="939">AB40/S40</f>
        <v>0.99952550415183872</v>
      </c>
      <c r="AF40" s="397">
        <f t="shared" ref="AF40" si="940">AC40/T40</f>
        <v>0.99966733200266134</v>
      </c>
      <c r="AG40" s="397">
        <f t="shared" ref="AG40" si="941">AD40/U40</f>
        <v>0.99957492851070406</v>
      </c>
      <c r="AH40" s="101">
        <f t="shared" ref="AH40:AM41" si="942">D40+S40</f>
        <v>273951</v>
      </c>
      <c r="AI40" s="101">
        <f t="shared" si="942"/>
        <v>260887</v>
      </c>
      <c r="AJ40" s="101">
        <f t="shared" si="942"/>
        <v>534838</v>
      </c>
      <c r="AK40" s="101">
        <f t="shared" si="942"/>
        <v>273943</v>
      </c>
      <c r="AL40" s="101">
        <f t="shared" si="942"/>
        <v>260884</v>
      </c>
      <c r="AM40" s="101">
        <f t="shared" si="942"/>
        <v>534827</v>
      </c>
      <c r="AN40" s="398"/>
      <c r="AO40" s="398"/>
      <c r="AP40" s="398"/>
      <c r="AQ40" s="101">
        <f>M40+AB40</f>
        <v>273943</v>
      </c>
      <c r="AR40" s="101">
        <f>N40+AC40</f>
        <v>260884</v>
      </c>
      <c r="AS40" s="101">
        <f>O40+AD40</f>
        <v>534827</v>
      </c>
      <c r="AT40" s="397">
        <f>AQ40/AH40</f>
        <v>0.99997079769739849</v>
      </c>
      <c r="AU40" s="397">
        <f>AR40/AI40</f>
        <v>0.99998850076853196</v>
      </c>
      <c r="AV40" s="397">
        <f>AS40/AJ40</f>
        <v>0.99997943302457937</v>
      </c>
      <c r="AW40" s="394">
        <v>44486</v>
      </c>
      <c r="AX40" s="394">
        <v>44986</v>
      </c>
      <c r="AY40" s="394">
        <f>AW40+AX40</f>
        <v>89472</v>
      </c>
      <c r="AZ40" s="394">
        <v>44486</v>
      </c>
      <c r="BA40" s="394">
        <v>44984</v>
      </c>
      <c r="BB40" s="394">
        <f>AZ40+BA40</f>
        <v>89470</v>
      </c>
      <c r="BC40" s="399"/>
      <c r="BD40" s="399"/>
      <c r="BE40" s="399"/>
      <c r="BF40" s="396">
        <f>AZ40+BC40</f>
        <v>44486</v>
      </c>
      <c r="BG40" s="101">
        <f>BA40+BD40</f>
        <v>44984</v>
      </c>
      <c r="BH40" s="101">
        <f>BB40+BE40</f>
        <v>89470</v>
      </c>
      <c r="BI40" s="397">
        <f>BF40/AW40</f>
        <v>1</v>
      </c>
      <c r="BJ40" s="397">
        <f>BG40/AX40</f>
        <v>0.99995554172409196</v>
      </c>
      <c r="BK40" s="397">
        <f>BH40/AY40</f>
        <v>0.99997764663805433</v>
      </c>
      <c r="BL40" s="394">
        <v>2682</v>
      </c>
      <c r="BM40" s="394">
        <v>1652</v>
      </c>
      <c r="BN40" s="394">
        <f>BL40+BM40</f>
        <v>4334</v>
      </c>
      <c r="BO40" s="394">
        <v>2682</v>
      </c>
      <c r="BP40" s="394">
        <v>1652</v>
      </c>
      <c r="BQ40" s="394">
        <f>BO40+BP40</f>
        <v>4334</v>
      </c>
      <c r="BR40" s="399"/>
      <c r="BS40" s="399"/>
      <c r="BT40" s="399"/>
      <c r="BU40" s="396">
        <f>BO40+BR40</f>
        <v>2682</v>
      </c>
      <c r="BV40" s="101">
        <f>BP40+BS40</f>
        <v>1652</v>
      </c>
      <c r="BW40" s="101">
        <f>BQ40+BT40</f>
        <v>4334</v>
      </c>
      <c r="BX40" s="397">
        <f>BU40/BL40</f>
        <v>1</v>
      </c>
      <c r="BY40" s="397">
        <f>BV40/BM40</f>
        <v>1</v>
      </c>
      <c r="BZ40" s="397">
        <f>BW40/BN40</f>
        <v>1</v>
      </c>
      <c r="CA40" s="101">
        <f t="shared" ref="CA40:CF40" si="943">AW40+BL40</f>
        <v>47168</v>
      </c>
      <c r="CB40" s="101">
        <f t="shared" si="943"/>
        <v>46638</v>
      </c>
      <c r="CC40" s="101">
        <f t="shared" si="943"/>
        <v>93806</v>
      </c>
      <c r="CD40" s="101">
        <f t="shared" si="943"/>
        <v>47168</v>
      </c>
      <c r="CE40" s="101">
        <f t="shared" si="943"/>
        <v>46636</v>
      </c>
      <c r="CF40" s="101">
        <f t="shared" si="943"/>
        <v>93804</v>
      </c>
      <c r="CG40" s="399"/>
      <c r="CH40" s="399"/>
      <c r="CI40" s="399"/>
      <c r="CJ40" s="101">
        <f>BF40+BU40</f>
        <v>47168</v>
      </c>
      <c r="CK40" s="101">
        <f>BG40+BV40</f>
        <v>46636</v>
      </c>
      <c r="CL40" s="101">
        <f>BH40+BW40</f>
        <v>93804</v>
      </c>
      <c r="CM40" s="397">
        <f>CJ40/CA40</f>
        <v>1</v>
      </c>
      <c r="CN40" s="397">
        <f>CK40/CB40</f>
        <v>0.99995711651443031</v>
      </c>
      <c r="CO40" s="397">
        <f>CL40/CC40</f>
        <v>0.99997867940217045</v>
      </c>
      <c r="CP40" s="394">
        <v>26945</v>
      </c>
      <c r="CQ40" s="394">
        <v>25912</v>
      </c>
      <c r="CR40" s="394">
        <f>CP40+CQ40</f>
        <v>52857</v>
      </c>
      <c r="CS40" s="394">
        <v>26945</v>
      </c>
      <c r="CT40" s="394">
        <v>25912</v>
      </c>
      <c r="CU40" s="394">
        <f>CS40+CT40</f>
        <v>52857</v>
      </c>
      <c r="CV40" s="399"/>
      <c r="CW40" s="399"/>
      <c r="CX40" s="399"/>
      <c r="CY40" s="396">
        <f>CS40+CV40</f>
        <v>26945</v>
      </c>
      <c r="CZ40" s="101">
        <f>CT40+CW40</f>
        <v>25912</v>
      </c>
      <c r="DA40" s="101">
        <f>CU40+CX40</f>
        <v>52857</v>
      </c>
      <c r="DB40" s="397">
        <f>CY40/CP40</f>
        <v>1</v>
      </c>
      <c r="DC40" s="397">
        <f>CZ40/CQ40</f>
        <v>1</v>
      </c>
      <c r="DD40" s="397">
        <f>DA40/CR40</f>
        <v>1</v>
      </c>
      <c r="DE40" s="394">
        <v>1522</v>
      </c>
      <c r="DF40" s="394">
        <v>1098</v>
      </c>
      <c r="DG40" s="394">
        <f>DE40+DF40</f>
        <v>2620</v>
      </c>
      <c r="DH40" s="394">
        <v>1522</v>
      </c>
      <c r="DI40" s="394">
        <v>1098</v>
      </c>
      <c r="DJ40" s="394">
        <f>DH40+DI40</f>
        <v>2620</v>
      </c>
      <c r="DK40" s="399"/>
      <c r="DL40" s="399"/>
      <c r="DM40" s="399"/>
      <c r="DN40" s="396">
        <f t="shared" ref="DN40" si="944">DH40+DK40</f>
        <v>1522</v>
      </c>
      <c r="DO40" s="101">
        <f t="shared" ref="DO40" si="945">DI40+DL40</f>
        <v>1098</v>
      </c>
      <c r="DP40" s="101">
        <f t="shared" ref="DP40" si="946">DJ40+DM40</f>
        <v>2620</v>
      </c>
      <c r="DQ40" s="397">
        <f t="shared" ref="DQ40" si="947">DN40/DE40</f>
        <v>1</v>
      </c>
      <c r="DR40" s="397">
        <f t="shared" ref="DR40" si="948">DO40/DF40</f>
        <v>1</v>
      </c>
      <c r="DS40" s="397">
        <f t="shared" ref="DS40" si="949">DP40/DG40</f>
        <v>1</v>
      </c>
      <c r="DT40" s="101">
        <f t="shared" ref="DT40:DY40" si="950">CP40+DE40</f>
        <v>28467</v>
      </c>
      <c r="DU40" s="101">
        <f t="shared" si="950"/>
        <v>27010</v>
      </c>
      <c r="DV40" s="101">
        <f t="shared" si="950"/>
        <v>55477</v>
      </c>
      <c r="DW40" s="101">
        <f t="shared" si="950"/>
        <v>28467</v>
      </c>
      <c r="DX40" s="101">
        <f t="shared" si="950"/>
        <v>27010</v>
      </c>
      <c r="DY40" s="101">
        <f t="shared" si="950"/>
        <v>55477</v>
      </c>
      <c r="DZ40" s="399"/>
      <c r="EA40" s="399"/>
      <c r="EB40" s="399"/>
      <c r="EC40" s="101">
        <f>CY40+DN40</f>
        <v>28467</v>
      </c>
      <c r="ED40" s="101">
        <f>CZ40+DO40</f>
        <v>27010</v>
      </c>
      <c r="EE40" s="101">
        <f>DA40+DP40</f>
        <v>55477</v>
      </c>
      <c r="EF40" s="397">
        <f>EC40/DT40</f>
        <v>1</v>
      </c>
      <c r="EG40" s="397">
        <f>ED40/DU40</f>
        <v>1</v>
      </c>
      <c r="EH40" s="397">
        <f>EE40/DV40</f>
        <v>1</v>
      </c>
      <c r="EI40" s="101">
        <f t="shared" si="53"/>
        <v>273943</v>
      </c>
      <c r="EJ40" s="101">
        <f t="shared" si="54"/>
        <v>260884</v>
      </c>
      <c r="EK40" s="101">
        <f t="shared" si="55"/>
        <v>534827</v>
      </c>
      <c r="EL40" s="415"/>
      <c r="EM40" s="415"/>
      <c r="EN40" s="415"/>
      <c r="EO40" s="416"/>
      <c r="EP40" s="416"/>
      <c r="EQ40" s="416"/>
      <c r="ER40" s="101">
        <f t="shared" si="564"/>
        <v>47168</v>
      </c>
      <c r="ES40" s="101">
        <f t="shared" si="565"/>
        <v>46636</v>
      </c>
      <c r="ET40" s="101">
        <f t="shared" si="566"/>
        <v>93804</v>
      </c>
      <c r="EU40" s="415"/>
      <c r="EV40" s="415"/>
      <c r="EW40" s="415"/>
      <c r="EX40" s="416"/>
      <c r="EY40" s="416"/>
      <c r="EZ40" s="416"/>
      <c r="FA40" s="101">
        <f t="shared" si="927"/>
        <v>28467</v>
      </c>
      <c r="FB40" s="101">
        <f t="shared" si="868"/>
        <v>27010</v>
      </c>
      <c r="FC40" s="101">
        <f t="shared" si="868"/>
        <v>55477</v>
      </c>
      <c r="FD40" s="415"/>
      <c r="FE40" s="415"/>
      <c r="FF40" s="415"/>
      <c r="FG40" s="416"/>
      <c r="FH40" s="416"/>
      <c r="FI40" s="416"/>
      <c r="FJ40"/>
    </row>
    <row r="41" spans="1:171" s="390" customFormat="1" ht="28.5">
      <c r="A41" s="393">
        <v>34</v>
      </c>
      <c r="B41" s="220" t="s">
        <v>395</v>
      </c>
      <c r="C41" s="221" t="s">
        <v>165</v>
      </c>
      <c r="D41" s="394">
        <v>22836</v>
      </c>
      <c r="E41" s="394">
        <v>26158</v>
      </c>
      <c r="F41" s="394">
        <f t="shared" si="932"/>
        <v>48994</v>
      </c>
      <c r="G41" s="394">
        <v>13692</v>
      </c>
      <c r="H41" s="394">
        <v>14948</v>
      </c>
      <c r="I41" s="394">
        <f>G41+H41</f>
        <v>28640</v>
      </c>
      <c r="J41" s="394">
        <v>1573</v>
      </c>
      <c r="K41" s="394">
        <v>1704</v>
      </c>
      <c r="L41" s="394">
        <v>3277</v>
      </c>
      <c r="M41" s="394">
        <f t="shared" si="933"/>
        <v>15265</v>
      </c>
      <c r="N41" s="394">
        <f t="shared" si="934"/>
        <v>16652</v>
      </c>
      <c r="O41" s="101">
        <f t="shared" si="167"/>
        <v>31917</v>
      </c>
      <c r="P41" s="397">
        <f t="shared" ref="P41" si="951">M41/D41</f>
        <v>0.66846207742161501</v>
      </c>
      <c r="Q41" s="397">
        <f t="shared" ref="Q41" si="952">N41/E41</f>
        <v>0.63659301169814209</v>
      </c>
      <c r="R41" s="397">
        <f t="shared" ref="R41" si="953">O41/F41</f>
        <v>0.65144711597338445</v>
      </c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101">
        <f t="shared" si="942"/>
        <v>22836</v>
      </c>
      <c r="AI41" s="101">
        <f t="shared" si="942"/>
        <v>26158</v>
      </c>
      <c r="AJ41" s="101">
        <f t="shared" si="82"/>
        <v>48994</v>
      </c>
      <c r="AK41" s="101">
        <f t="shared" si="942"/>
        <v>13692</v>
      </c>
      <c r="AL41" s="101">
        <f t="shared" si="942"/>
        <v>14948</v>
      </c>
      <c r="AM41" s="101">
        <f t="shared" si="85"/>
        <v>28640</v>
      </c>
      <c r="AN41" s="101">
        <f t="shared" ref="AN41" si="954">J41+Y41</f>
        <v>1573</v>
      </c>
      <c r="AO41" s="101">
        <f t="shared" ref="AO41" si="955">K41+Z41</f>
        <v>1704</v>
      </c>
      <c r="AP41" s="101">
        <f t="shared" si="88"/>
        <v>3277</v>
      </c>
      <c r="AQ41" s="101">
        <f>M41+AB41</f>
        <v>15265</v>
      </c>
      <c r="AR41" s="101">
        <f>N41+AC41</f>
        <v>16652</v>
      </c>
      <c r="AS41" s="101">
        <f t="shared" si="91"/>
        <v>31917</v>
      </c>
      <c r="AT41" s="397">
        <f>AQ41/AH41</f>
        <v>0.66846207742161501</v>
      </c>
      <c r="AU41" s="397">
        <f>AR41/AI41</f>
        <v>0.63659301169814209</v>
      </c>
      <c r="AV41" s="397">
        <f t="shared" si="94"/>
        <v>0.65144711597338445</v>
      </c>
      <c r="AW41" s="419">
        <v>3924</v>
      </c>
      <c r="AX41" s="419">
        <v>4246</v>
      </c>
      <c r="AY41" s="394">
        <f t="shared" si="15"/>
        <v>8170</v>
      </c>
      <c r="AZ41" s="419">
        <v>2904</v>
      </c>
      <c r="BA41" s="419">
        <v>3089</v>
      </c>
      <c r="BB41" s="394">
        <f t="shared" si="16"/>
        <v>5993</v>
      </c>
      <c r="BC41" s="399"/>
      <c r="BD41" s="399"/>
      <c r="BE41" s="399"/>
      <c r="BF41" s="396">
        <f t="shared" si="177"/>
        <v>2904</v>
      </c>
      <c r="BG41" s="101">
        <f t="shared" si="178"/>
        <v>3089</v>
      </c>
      <c r="BH41" s="101">
        <f t="shared" si="179"/>
        <v>5993</v>
      </c>
      <c r="BI41" s="397">
        <f t="shared" si="180"/>
        <v>0.74006116207951067</v>
      </c>
      <c r="BJ41" s="397">
        <f t="shared" si="181"/>
        <v>0.72750824305228445</v>
      </c>
      <c r="BK41" s="397">
        <f t="shared" si="182"/>
        <v>0.73353733170134638</v>
      </c>
      <c r="BL41" s="399"/>
      <c r="BM41" s="399"/>
      <c r="BN41" s="399"/>
      <c r="BO41" s="399"/>
      <c r="BP41" s="399"/>
      <c r="BQ41" s="399"/>
      <c r="BR41" s="399"/>
      <c r="BS41" s="399"/>
      <c r="BT41" s="399"/>
      <c r="BU41" s="399"/>
      <c r="BV41" s="399"/>
      <c r="BW41" s="399"/>
      <c r="BX41" s="399"/>
      <c r="BY41" s="399"/>
      <c r="BZ41" s="399"/>
      <c r="CA41" s="101">
        <f t="shared" si="108"/>
        <v>3924</v>
      </c>
      <c r="CB41" s="101">
        <f t="shared" si="109"/>
        <v>4246</v>
      </c>
      <c r="CC41" s="101">
        <f t="shared" si="110"/>
        <v>8170</v>
      </c>
      <c r="CD41" s="101">
        <f t="shared" si="111"/>
        <v>2904</v>
      </c>
      <c r="CE41" s="101">
        <f t="shared" si="112"/>
        <v>3089</v>
      </c>
      <c r="CF41" s="101">
        <f t="shared" si="113"/>
        <v>5993</v>
      </c>
      <c r="CG41" s="399"/>
      <c r="CH41" s="399"/>
      <c r="CI41" s="399"/>
      <c r="CJ41" s="101">
        <f t="shared" si="117"/>
        <v>2904</v>
      </c>
      <c r="CK41" s="101">
        <f t="shared" si="118"/>
        <v>3089</v>
      </c>
      <c r="CL41" s="101">
        <f t="shared" si="119"/>
        <v>5993</v>
      </c>
      <c r="CM41" s="397">
        <f t="shared" si="120"/>
        <v>0.74006116207951067</v>
      </c>
      <c r="CN41" s="397">
        <f t="shared" si="121"/>
        <v>0.72750824305228445</v>
      </c>
      <c r="CO41" s="397">
        <f t="shared" si="122"/>
        <v>0.73353733170134638</v>
      </c>
      <c r="CP41" s="419">
        <v>5367</v>
      </c>
      <c r="CQ41" s="419">
        <v>6171</v>
      </c>
      <c r="CR41" s="394">
        <f t="shared" si="189"/>
        <v>11538</v>
      </c>
      <c r="CS41" s="419">
        <v>3134</v>
      </c>
      <c r="CT41" s="419">
        <v>3202</v>
      </c>
      <c r="CU41" s="394">
        <f t="shared" si="35"/>
        <v>6336</v>
      </c>
      <c r="CV41" s="417"/>
      <c r="CW41" s="417"/>
      <c r="CX41" s="417"/>
      <c r="CY41" s="396">
        <f t="shared" si="190"/>
        <v>3134</v>
      </c>
      <c r="CZ41" s="101">
        <f t="shared" si="191"/>
        <v>3202</v>
      </c>
      <c r="DA41" s="101">
        <f t="shared" si="192"/>
        <v>6336</v>
      </c>
      <c r="DB41" s="397">
        <f t="shared" si="193"/>
        <v>0.58393888578349173</v>
      </c>
      <c r="DC41" s="397">
        <f t="shared" si="194"/>
        <v>0.51887862583049749</v>
      </c>
      <c r="DD41" s="397">
        <f t="shared" si="195"/>
        <v>0.54914196567862716</v>
      </c>
      <c r="DE41" s="399"/>
      <c r="DF41" s="399"/>
      <c r="DG41" s="399"/>
      <c r="DH41" s="399"/>
      <c r="DI41" s="399"/>
      <c r="DJ41" s="399"/>
      <c r="DK41" s="399"/>
      <c r="DL41" s="399"/>
      <c r="DM41" s="399"/>
      <c r="DN41" s="399"/>
      <c r="DO41" s="399"/>
      <c r="DP41" s="399"/>
      <c r="DQ41" s="399"/>
      <c r="DR41" s="399"/>
      <c r="DS41" s="399"/>
      <c r="DT41" s="101">
        <f t="shared" si="579"/>
        <v>5367</v>
      </c>
      <c r="DU41" s="101">
        <f t="shared" si="580"/>
        <v>6171</v>
      </c>
      <c r="DV41" s="101">
        <f t="shared" si="581"/>
        <v>11538</v>
      </c>
      <c r="DW41" s="101">
        <f t="shared" si="582"/>
        <v>3134</v>
      </c>
      <c r="DX41" s="101">
        <f t="shared" si="583"/>
        <v>3202</v>
      </c>
      <c r="DY41" s="101">
        <f t="shared" si="584"/>
        <v>6336</v>
      </c>
      <c r="DZ41" s="399"/>
      <c r="EA41" s="399"/>
      <c r="EB41" s="399"/>
      <c r="EC41" s="101">
        <f t="shared" si="588"/>
        <v>3134</v>
      </c>
      <c r="ED41" s="101">
        <f t="shared" si="589"/>
        <v>3202</v>
      </c>
      <c r="EE41" s="101">
        <f t="shared" si="590"/>
        <v>6336</v>
      </c>
      <c r="EF41" s="397">
        <f t="shared" si="404"/>
        <v>0.58393888578349173</v>
      </c>
      <c r="EG41" s="397">
        <f t="shared" si="405"/>
        <v>0.51887862583049749</v>
      </c>
      <c r="EH41" s="397">
        <f t="shared" si="406"/>
        <v>0.54914196567862716</v>
      </c>
      <c r="EI41" s="101">
        <f t="shared" si="53"/>
        <v>15265</v>
      </c>
      <c r="EJ41" s="101">
        <f t="shared" si="54"/>
        <v>16652</v>
      </c>
      <c r="EK41" s="101">
        <f t="shared" si="55"/>
        <v>31917</v>
      </c>
      <c r="EL41" s="424">
        <v>3345</v>
      </c>
      <c r="EM41" s="424">
        <v>3624</v>
      </c>
      <c r="EN41" s="101">
        <f t="shared" si="919"/>
        <v>6969</v>
      </c>
      <c r="EO41" s="413">
        <f t="shared" ref="EO41" si="956">+EL41*100/EI41</f>
        <v>21.912872584343269</v>
      </c>
      <c r="EP41" s="413">
        <f t="shared" ref="EP41" si="957">+EM41*100/EJ41</f>
        <v>21.76315157338458</v>
      </c>
      <c r="EQ41" s="413">
        <f t="shared" si="922"/>
        <v>21.83475890591221</v>
      </c>
      <c r="ER41" s="101">
        <f t="shared" si="564"/>
        <v>2904</v>
      </c>
      <c r="ES41" s="101">
        <f t="shared" si="565"/>
        <v>3089</v>
      </c>
      <c r="ET41" s="101">
        <f t="shared" si="566"/>
        <v>5993</v>
      </c>
      <c r="EU41" s="272">
        <v>706</v>
      </c>
      <c r="EV41" s="272">
        <v>785</v>
      </c>
      <c r="EW41" s="272">
        <f t="shared" si="923"/>
        <v>1491</v>
      </c>
      <c r="EX41" s="413">
        <f t="shared" si="924"/>
        <v>24.31129476584022</v>
      </c>
      <c r="EY41" s="413">
        <f t="shared" si="925"/>
        <v>25.412754936872773</v>
      </c>
      <c r="EZ41" s="413">
        <f t="shared" si="926"/>
        <v>24.879025529784748</v>
      </c>
      <c r="FA41" s="101">
        <f t="shared" si="927"/>
        <v>3134</v>
      </c>
      <c r="FB41" s="101">
        <f t="shared" si="868"/>
        <v>3202</v>
      </c>
      <c r="FC41" s="101">
        <f t="shared" si="868"/>
        <v>6336</v>
      </c>
      <c r="FD41" s="272">
        <v>259</v>
      </c>
      <c r="FE41" s="272">
        <v>262</v>
      </c>
      <c r="FF41" s="272">
        <f t="shared" si="928"/>
        <v>521</v>
      </c>
      <c r="FG41" s="413">
        <f t="shared" ref="FG41:FG42" si="958">+FD41*100/FA41</f>
        <v>8.26419910657307</v>
      </c>
      <c r="FH41" s="413">
        <f t="shared" ref="FH41:FH42" si="959">+FE41*100/FB41</f>
        <v>8.182386008744535</v>
      </c>
      <c r="FI41" s="413">
        <f t="shared" ref="FI41:FI42" si="960">+FF41*100/FC41</f>
        <v>8.2228535353535346</v>
      </c>
      <c r="FJ41" s="362"/>
      <c r="FK41" s="362"/>
      <c r="FL41" s="362"/>
      <c r="FM41" s="362"/>
      <c r="FN41" s="362"/>
      <c r="FO41" s="362"/>
    </row>
    <row r="42" spans="1:171" s="362" customFormat="1" ht="28.5">
      <c r="A42" s="393">
        <v>35</v>
      </c>
      <c r="B42" s="235" t="s">
        <v>396</v>
      </c>
      <c r="C42" s="221" t="s">
        <v>353</v>
      </c>
      <c r="D42" s="394">
        <v>1478337</v>
      </c>
      <c r="E42" s="394">
        <v>1276115</v>
      </c>
      <c r="F42" s="394">
        <f t="shared" ref="F42" si="961">D42+E42</f>
        <v>2754452</v>
      </c>
      <c r="G42" s="394">
        <v>1182573</v>
      </c>
      <c r="H42" s="394">
        <v>1114501</v>
      </c>
      <c r="I42" s="400">
        <f t="shared" ref="I42" si="962">G42+H42</f>
        <v>2297074</v>
      </c>
      <c r="J42" s="394">
        <v>81</v>
      </c>
      <c r="K42" s="394">
        <v>32</v>
      </c>
      <c r="L42" s="394">
        <f>J42+K42</f>
        <v>113</v>
      </c>
      <c r="M42" s="396">
        <f t="shared" si="165"/>
        <v>1182654</v>
      </c>
      <c r="N42" s="101">
        <f t="shared" si="166"/>
        <v>1114533</v>
      </c>
      <c r="O42" s="101">
        <f t="shared" si="167"/>
        <v>2297187</v>
      </c>
      <c r="P42" s="397">
        <f t="shared" si="168"/>
        <v>0.79998944760227197</v>
      </c>
      <c r="Q42" s="397">
        <f t="shared" si="169"/>
        <v>0.87337975025761783</v>
      </c>
      <c r="R42" s="397">
        <f t="shared" si="170"/>
        <v>0.8339905723534119</v>
      </c>
      <c r="S42" s="394">
        <v>12574</v>
      </c>
      <c r="T42" s="394">
        <v>5745</v>
      </c>
      <c r="U42" s="394">
        <f t="shared" ref="U42" si="963">S42+T42</f>
        <v>18319</v>
      </c>
      <c r="V42" s="394">
        <v>7620</v>
      </c>
      <c r="W42" s="394">
        <v>4111</v>
      </c>
      <c r="X42" s="394">
        <f t="shared" ref="X42" si="964">V42+W42</f>
        <v>11731</v>
      </c>
      <c r="Y42" s="399"/>
      <c r="Z42" s="399"/>
      <c r="AA42" s="399"/>
      <c r="AB42" s="396">
        <f t="shared" ref="AB42" si="965">V42+Y42</f>
        <v>7620</v>
      </c>
      <c r="AC42" s="101">
        <f t="shared" ref="AC42" si="966">W42+Z42</f>
        <v>4111</v>
      </c>
      <c r="AD42" s="101">
        <f t="shared" ref="AD42" si="967">X42+AA42</f>
        <v>11731</v>
      </c>
      <c r="AE42" s="397">
        <f t="shared" ref="AE42" si="968">AB42/S42</f>
        <v>0.60601240655320499</v>
      </c>
      <c r="AF42" s="397">
        <f t="shared" ref="AF42" si="969">AC42/T42</f>
        <v>0.7155787641427328</v>
      </c>
      <c r="AG42" s="397">
        <f t="shared" ref="AG42" si="970">AD42/U42</f>
        <v>0.64037338282657352</v>
      </c>
      <c r="AH42" s="101">
        <f t="shared" ref="AH42" si="971">D42+S42</f>
        <v>1490911</v>
      </c>
      <c r="AI42" s="101">
        <f t="shared" ref="AI42" si="972">E42+T42</f>
        <v>1281860</v>
      </c>
      <c r="AJ42" s="101">
        <f t="shared" ref="AJ42" si="973">F42+U42</f>
        <v>2772771</v>
      </c>
      <c r="AK42" s="101">
        <f t="shared" ref="AK42" si="974">G42+V42</f>
        <v>1190193</v>
      </c>
      <c r="AL42" s="101">
        <f t="shared" ref="AL42" si="975">H42+W42</f>
        <v>1118612</v>
      </c>
      <c r="AM42" s="101">
        <f t="shared" ref="AM42" si="976">I42+X42</f>
        <v>2308805</v>
      </c>
      <c r="AN42" s="101">
        <f t="shared" ref="AN42" si="977">J42+Y42</f>
        <v>81</v>
      </c>
      <c r="AO42" s="101">
        <f t="shared" ref="AO42" si="978">K42+Z42</f>
        <v>32</v>
      </c>
      <c r="AP42" s="101">
        <f t="shared" ref="AP42" si="979">L42+AA42</f>
        <v>113</v>
      </c>
      <c r="AQ42" s="101">
        <f t="shared" ref="AQ42" si="980">M42+AB42</f>
        <v>1190274</v>
      </c>
      <c r="AR42" s="101">
        <f t="shared" ref="AR42" si="981">N42+AC42</f>
        <v>1118644</v>
      </c>
      <c r="AS42" s="101">
        <f t="shared" ref="AS42" si="982">O42+AD42</f>
        <v>2308918</v>
      </c>
      <c r="AT42" s="397">
        <f t="shared" ref="AT42" si="983">AQ42/AH42</f>
        <v>0.79835348991321409</v>
      </c>
      <c r="AU42" s="397">
        <f t="shared" ref="AU42" si="984">AR42/AI42</f>
        <v>0.87267252274039286</v>
      </c>
      <c r="AV42" s="397">
        <f t="shared" ref="AV42" si="985">AS42/AJ42</f>
        <v>0.83271139232197677</v>
      </c>
      <c r="AW42" s="394">
        <v>339274</v>
      </c>
      <c r="AX42" s="394">
        <v>294853</v>
      </c>
      <c r="AY42" s="394">
        <f t="shared" si="15"/>
        <v>634127</v>
      </c>
      <c r="AZ42" s="394">
        <v>255784</v>
      </c>
      <c r="BA42" s="394">
        <v>240312</v>
      </c>
      <c r="BB42" s="394">
        <f t="shared" si="16"/>
        <v>496096</v>
      </c>
      <c r="BC42" s="394">
        <v>25</v>
      </c>
      <c r="BD42" s="394">
        <v>8</v>
      </c>
      <c r="BE42" s="394">
        <f t="shared" ref="BE42" si="986">BC42+BD42</f>
        <v>33</v>
      </c>
      <c r="BF42" s="396">
        <f t="shared" si="177"/>
        <v>255809</v>
      </c>
      <c r="BG42" s="101">
        <f t="shared" si="178"/>
        <v>240320</v>
      </c>
      <c r="BH42" s="101">
        <f t="shared" si="179"/>
        <v>496129</v>
      </c>
      <c r="BI42" s="397">
        <f t="shared" si="180"/>
        <v>0.75398940089720989</v>
      </c>
      <c r="BJ42" s="397">
        <f t="shared" si="181"/>
        <v>0.81505021146130441</v>
      </c>
      <c r="BK42" s="397">
        <f t="shared" si="182"/>
        <v>0.78238113185529079</v>
      </c>
      <c r="BL42" s="394">
        <v>2531</v>
      </c>
      <c r="BM42" s="394">
        <v>1129</v>
      </c>
      <c r="BN42" s="394">
        <f t="shared" ref="BN42" si="987">BL42+BM42</f>
        <v>3660</v>
      </c>
      <c r="BO42" s="394">
        <v>1373</v>
      </c>
      <c r="BP42" s="394">
        <v>703</v>
      </c>
      <c r="BQ42" s="394">
        <f t="shared" ref="BQ42" si="988">BO42+BP42</f>
        <v>2076</v>
      </c>
      <c r="BR42" s="399"/>
      <c r="BS42" s="399"/>
      <c r="BT42" s="399"/>
      <c r="BU42" s="396">
        <f t="shared" ref="BU42" si="989">BO42+BR42</f>
        <v>1373</v>
      </c>
      <c r="BV42" s="101">
        <f t="shared" ref="BV42" si="990">BP42+BS42</f>
        <v>703</v>
      </c>
      <c r="BW42" s="101">
        <f t="shared" ref="BW42" si="991">BQ42+BT42</f>
        <v>2076</v>
      </c>
      <c r="BX42" s="397">
        <f t="shared" ref="BX42" si="992">BU42/BL42</f>
        <v>0.54247333069932835</v>
      </c>
      <c r="BY42" s="397">
        <f t="shared" ref="BY42" si="993">BV42/BM42</f>
        <v>0.62267493356953052</v>
      </c>
      <c r="BZ42" s="397">
        <f t="shared" ref="BZ42" si="994">BW42/BN42</f>
        <v>0.56721311475409841</v>
      </c>
      <c r="CA42" s="101">
        <f t="shared" ref="CA42" si="995">AW42+BL42</f>
        <v>341805</v>
      </c>
      <c r="CB42" s="101">
        <f t="shared" ref="CB42" si="996">AX42+BM42</f>
        <v>295982</v>
      </c>
      <c r="CC42" s="101">
        <f t="shared" ref="CC42" si="997">AY42+BN42</f>
        <v>637787</v>
      </c>
      <c r="CD42" s="101">
        <f t="shared" ref="CD42" si="998">AZ42+BO42</f>
        <v>257157</v>
      </c>
      <c r="CE42" s="101">
        <f t="shared" ref="CE42" si="999">BA42+BP42</f>
        <v>241015</v>
      </c>
      <c r="CF42" s="101">
        <f t="shared" ref="CF42" si="1000">BB42+BQ42</f>
        <v>498172</v>
      </c>
      <c r="CG42" s="101">
        <f t="shared" ref="CG42" si="1001">BC42+BR42</f>
        <v>25</v>
      </c>
      <c r="CH42" s="101">
        <f t="shared" ref="CH42" si="1002">BD42+BS42</f>
        <v>8</v>
      </c>
      <c r="CI42" s="101">
        <f t="shared" ref="CI42" si="1003">BE42+BT42</f>
        <v>33</v>
      </c>
      <c r="CJ42" s="101">
        <f t="shared" ref="CJ42" si="1004">BF42+BU42</f>
        <v>257182</v>
      </c>
      <c r="CK42" s="101">
        <f t="shared" ref="CK42" si="1005">BG42+BV42</f>
        <v>241023</v>
      </c>
      <c r="CL42" s="101">
        <f t="shared" ref="CL42" si="1006">BH42+BW42</f>
        <v>498205</v>
      </c>
      <c r="CM42" s="397">
        <f t="shared" ref="CM42" si="1007">CJ42/CA42</f>
        <v>0.75242316525504305</v>
      </c>
      <c r="CN42" s="397">
        <f t="shared" ref="CN42" si="1008">CK42/CB42</f>
        <v>0.81431641113310949</v>
      </c>
      <c r="CO42" s="397">
        <f t="shared" ref="CO42" si="1009">CL42/CC42</f>
        <v>0.78114637018314892</v>
      </c>
      <c r="CP42" s="394">
        <v>10488</v>
      </c>
      <c r="CQ42" s="394">
        <v>9386</v>
      </c>
      <c r="CR42" s="394">
        <f t="shared" si="189"/>
        <v>19874</v>
      </c>
      <c r="CS42" s="394">
        <v>7860</v>
      </c>
      <c r="CT42" s="394">
        <v>7347</v>
      </c>
      <c r="CU42" s="394">
        <f t="shared" si="35"/>
        <v>15207</v>
      </c>
      <c r="CV42" s="394">
        <v>10</v>
      </c>
      <c r="CW42" s="394">
        <v>2</v>
      </c>
      <c r="CX42" s="394">
        <f t="shared" ref="CX42" si="1010">CV42+CW42</f>
        <v>12</v>
      </c>
      <c r="CY42" s="396">
        <f t="shared" si="190"/>
        <v>7870</v>
      </c>
      <c r="CZ42" s="101">
        <f t="shared" si="191"/>
        <v>7349</v>
      </c>
      <c r="DA42" s="101">
        <f t="shared" si="192"/>
        <v>15219</v>
      </c>
      <c r="DB42" s="397">
        <f t="shared" si="193"/>
        <v>0.75038138825324185</v>
      </c>
      <c r="DC42" s="397">
        <f t="shared" si="194"/>
        <v>0.7829746430854464</v>
      </c>
      <c r="DD42" s="397">
        <f t="shared" si="195"/>
        <v>0.76577437858508601</v>
      </c>
      <c r="DE42" s="394">
        <v>46</v>
      </c>
      <c r="DF42" s="394">
        <v>36</v>
      </c>
      <c r="DG42" s="394">
        <f t="shared" si="43"/>
        <v>82</v>
      </c>
      <c r="DH42" s="394">
        <v>22</v>
      </c>
      <c r="DI42" s="394">
        <v>25</v>
      </c>
      <c r="DJ42" s="394">
        <f t="shared" si="44"/>
        <v>47</v>
      </c>
      <c r="DK42" s="399"/>
      <c r="DL42" s="399"/>
      <c r="DM42" s="399"/>
      <c r="DN42" s="396">
        <f t="shared" ref="DN42" si="1011">DH42+DK42</f>
        <v>22</v>
      </c>
      <c r="DO42" s="101">
        <f t="shared" ref="DO42" si="1012">DI42+DL42</f>
        <v>25</v>
      </c>
      <c r="DP42" s="101">
        <f t="shared" ref="DP42" si="1013">DJ42+DM42</f>
        <v>47</v>
      </c>
      <c r="DQ42" s="397">
        <f t="shared" si="199"/>
        <v>0.47826086956521741</v>
      </c>
      <c r="DR42" s="397">
        <f t="shared" si="200"/>
        <v>0.69444444444444442</v>
      </c>
      <c r="DS42" s="397">
        <f t="shared" si="201"/>
        <v>0.57317073170731703</v>
      </c>
      <c r="DT42" s="101">
        <f t="shared" ref="DT42" si="1014">CP42+DE42</f>
        <v>10534</v>
      </c>
      <c r="DU42" s="101">
        <f t="shared" ref="DU42" si="1015">CQ42+DF42</f>
        <v>9422</v>
      </c>
      <c r="DV42" s="101">
        <f t="shared" ref="DV42" si="1016">CR42+DG42</f>
        <v>19956</v>
      </c>
      <c r="DW42" s="101">
        <f t="shared" ref="DW42" si="1017">CS42+DH42</f>
        <v>7882</v>
      </c>
      <c r="DX42" s="101">
        <f t="shared" ref="DX42" si="1018">CT42+DI42</f>
        <v>7372</v>
      </c>
      <c r="DY42" s="101">
        <f t="shared" ref="DY42" si="1019">CU42+DJ42</f>
        <v>15254</v>
      </c>
      <c r="DZ42" s="101">
        <f t="shared" ref="DZ42" si="1020">CV42+DK42</f>
        <v>10</v>
      </c>
      <c r="EA42" s="101">
        <f t="shared" ref="EA42" si="1021">CW42+DL42</f>
        <v>2</v>
      </c>
      <c r="EB42" s="101">
        <f t="shared" ref="EB42" si="1022">CX42+DM42</f>
        <v>12</v>
      </c>
      <c r="EC42" s="101">
        <f t="shared" ref="EC42" si="1023">CY42+DN42</f>
        <v>7892</v>
      </c>
      <c r="ED42" s="101">
        <f t="shared" ref="ED42" si="1024">CZ42+DO42</f>
        <v>7374</v>
      </c>
      <c r="EE42" s="101">
        <f t="shared" ref="EE42" si="1025">DA42+DP42</f>
        <v>15266</v>
      </c>
      <c r="EF42" s="397">
        <f t="shared" si="404"/>
        <v>0.74919308904499715</v>
      </c>
      <c r="EG42" s="397">
        <f t="shared" si="405"/>
        <v>0.78263638293355975</v>
      </c>
      <c r="EH42" s="397">
        <f t="shared" si="406"/>
        <v>0.76498296251753861</v>
      </c>
      <c r="EI42" s="101">
        <f t="shared" si="53"/>
        <v>1190274</v>
      </c>
      <c r="EJ42" s="101">
        <f t="shared" si="54"/>
        <v>1118644</v>
      </c>
      <c r="EK42" s="101">
        <f t="shared" si="55"/>
        <v>2308918</v>
      </c>
      <c r="EL42" s="101">
        <v>772653</v>
      </c>
      <c r="EM42" s="101">
        <v>838266</v>
      </c>
      <c r="EN42" s="101">
        <f t="shared" ref="EN42" si="1026">EL42+EM42</f>
        <v>1610919</v>
      </c>
      <c r="EO42" s="413">
        <f t="shared" ref="EO42" si="1027">+EL42*100/EI42</f>
        <v>64.913876972865069</v>
      </c>
      <c r="EP42" s="413">
        <f t="shared" ref="EP42" si="1028">+EM42*100/EJ42</f>
        <v>74.935904541569968</v>
      </c>
      <c r="EQ42" s="413">
        <f t="shared" ref="EQ42" si="1029">+EN42*100/EK42</f>
        <v>69.769433128417731</v>
      </c>
      <c r="ER42" s="101">
        <f t="shared" si="564"/>
        <v>257182</v>
      </c>
      <c r="ES42" s="101">
        <f t="shared" si="565"/>
        <v>241023</v>
      </c>
      <c r="ET42" s="101">
        <f t="shared" si="566"/>
        <v>498205</v>
      </c>
      <c r="EU42" s="101">
        <v>153057</v>
      </c>
      <c r="EV42" s="101">
        <v>162449</v>
      </c>
      <c r="EW42" s="101">
        <f t="shared" ref="EW42" si="1030">EU42+EV42</f>
        <v>315506</v>
      </c>
      <c r="EX42" s="413">
        <f t="shared" ref="EX42" si="1031">+EU42*100/ER42</f>
        <v>59.513107449199403</v>
      </c>
      <c r="EY42" s="413">
        <f t="shared" ref="EY42" si="1032">+EV42*100/ES42</f>
        <v>67.399791721122057</v>
      </c>
      <c r="EZ42" s="413">
        <f t="shared" ref="EZ42" si="1033">+EW42*100/ET42</f>
        <v>63.328549492678718</v>
      </c>
      <c r="FA42" s="101">
        <f t="shared" si="927"/>
        <v>7892</v>
      </c>
      <c r="FB42" s="101">
        <f t="shared" si="868"/>
        <v>7374</v>
      </c>
      <c r="FC42" s="101">
        <f t="shared" si="868"/>
        <v>15266</v>
      </c>
      <c r="FD42" s="101">
        <v>4699</v>
      </c>
      <c r="FE42" s="101">
        <v>4710</v>
      </c>
      <c r="FF42" s="101">
        <f t="shared" ref="FF42" si="1034">FD42+FE42</f>
        <v>9409</v>
      </c>
      <c r="FG42" s="413">
        <f t="shared" si="958"/>
        <v>59.541307653319819</v>
      </c>
      <c r="FH42" s="413">
        <f t="shared" si="959"/>
        <v>63.873067534580962</v>
      </c>
      <c r="FI42" s="413">
        <f t="shared" si="960"/>
        <v>61.633695794576184</v>
      </c>
    </row>
    <row r="43" spans="1:171" s="362" customFormat="1" ht="18.75" customHeight="1">
      <c r="A43" s="393">
        <v>36</v>
      </c>
      <c r="B43" s="410"/>
      <c r="C43" s="221" t="s">
        <v>166</v>
      </c>
      <c r="D43" s="401">
        <v>143</v>
      </c>
      <c r="E43" s="401">
        <v>210</v>
      </c>
      <c r="F43" s="401">
        <f>D43+E43</f>
        <v>353</v>
      </c>
      <c r="G43" s="401">
        <v>143</v>
      </c>
      <c r="H43" s="401">
        <v>208</v>
      </c>
      <c r="I43" s="401">
        <f>G43+H43</f>
        <v>351</v>
      </c>
      <c r="J43" s="398"/>
      <c r="K43" s="401">
        <v>2</v>
      </c>
      <c r="L43" s="401">
        <v>2</v>
      </c>
      <c r="M43" s="396">
        <f t="shared" ref="M43:O45" si="1035">G43+J43</f>
        <v>143</v>
      </c>
      <c r="N43" s="101">
        <f t="shared" si="1035"/>
        <v>210</v>
      </c>
      <c r="O43" s="101">
        <f t="shared" si="1035"/>
        <v>353</v>
      </c>
      <c r="P43" s="397">
        <f t="shared" ref="P43:R45" si="1036">M43/D43</f>
        <v>1</v>
      </c>
      <c r="Q43" s="397">
        <f t="shared" si="1036"/>
        <v>1</v>
      </c>
      <c r="R43" s="397">
        <f t="shared" si="1036"/>
        <v>1</v>
      </c>
      <c r="S43" s="418"/>
      <c r="T43" s="418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101">
        <f t="shared" ref="AH43:AM45" si="1037">D43+S43</f>
        <v>143</v>
      </c>
      <c r="AI43" s="101">
        <f t="shared" si="1037"/>
        <v>210</v>
      </c>
      <c r="AJ43" s="101">
        <f t="shared" si="1037"/>
        <v>353</v>
      </c>
      <c r="AK43" s="101">
        <f t="shared" si="1037"/>
        <v>143</v>
      </c>
      <c r="AL43" s="101">
        <f t="shared" si="1037"/>
        <v>208</v>
      </c>
      <c r="AM43" s="101">
        <f t="shared" si="1037"/>
        <v>351</v>
      </c>
      <c r="AN43" s="398"/>
      <c r="AO43" s="101">
        <f>K43+Z43</f>
        <v>2</v>
      </c>
      <c r="AP43" s="101">
        <f>L43+AA43</f>
        <v>2</v>
      </c>
      <c r="AQ43" s="101">
        <f>M43+AB43</f>
        <v>143</v>
      </c>
      <c r="AR43" s="101">
        <f>N43+AC43</f>
        <v>210</v>
      </c>
      <c r="AS43" s="101">
        <f>O43+AD43</f>
        <v>353</v>
      </c>
      <c r="AT43" s="397">
        <f t="shared" ref="AT43:AV45" si="1038">AQ43/AH43</f>
        <v>1</v>
      </c>
      <c r="AU43" s="397">
        <f t="shared" si="1038"/>
        <v>1</v>
      </c>
      <c r="AV43" s="397">
        <f t="shared" si="1038"/>
        <v>1</v>
      </c>
      <c r="AW43" s="419">
        <v>27</v>
      </c>
      <c r="AX43" s="419">
        <v>42</v>
      </c>
      <c r="AY43" s="394">
        <f>AW43+AX43</f>
        <v>69</v>
      </c>
      <c r="AZ43" s="419">
        <v>27</v>
      </c>
      <c r="BA43" s="419">
        <v>42</v>
      </c>
      <c r="BB43" s="394">
        <f>AZ43+BA43</f>
        <v>69</v>
      </c>
      <c r="BC43" s="399"/>
      <c r="BD43" s="399"/>
      <c r="BE43" s="399"/>
      <c r="BF43" s="396">
        <f t="shared" ref="BF43:BH45" si="1039">AZ43+BC43</f>
        <v>27</v>
      </c>
      <c r="BG43" s="101">
        <f t="shared" si="1039"/>
        <v>42</v>
      </c>
      <c r="BH43" s="101">
        <f t="shared" si="1039"/>
        <v>69</v>
      </c>
      <c r="BI43" s="397">
        <f t="shared" ref="BI43:BK45" si="1040">BF43/AW43</f>
        <v>1</v>
      </c>
      <c r="BJ43" s="397">
        <f t="shared" si="1040"/>
        <v>1</v>
      </c>
      <c r="BK43" s="397">
        <f t="shared" si="1040"/>
        <v>1</v>
      </c>
      <c r="BL43" s="418"/>
      <c r="BM43" s="418"/>
      <c r="BN43" s="399"/>
      <c r="BO43" s="399"/>
      <c r="BP43" s="399"/>
      <c r="BQ43" s="399"/>
      <c r="BR43" s="399"/>
      <c r="BS43" s="399"/>
      <c r="BT43" s="399"/>
      <c r="BU43" s="399"/>
      <c r="BV43" s="399"/>
      <c r="BW43" s="399"/>
      <c r="BX43" s="399"/>
      <c r="BY43" s="399"/>
      <c r="BZ43" s="399"/>
      <c r="CA43" s="101">
        <f t="shared" ref="CA43:CF45" si="1041">AW43+BL43</f>
        <v>27</v>
      </c>
      <c r="CB43" s="101">
        <f t="shared" si="1041"/>
        <v>42</v>
      </c>
      <c r="CC43" s="101">
        <f t="shared" si="1041"/>
        <v>69</v>
      </c>
      <c r="CD43" s="101">
        <f t="shared" si="1041"/>
        <v>27</v>
      </c>
      <c r="CE43" s="101">
        <f t="shared" si="1041"/>
        <v>42</v>
      </c>
      <c r="CF43" s="101">
        <f t="shared" si="1041"/>
        <v>69</v>
      </c>
      <c r="CG43" s="399"/>
      <c r="CH43" s="399"/>
      <c r="CI43" s="399"/>
      <c r="CJ43" s="101">
        <f t="shared" ref="CJ43:CL45" si="1042">BF43+BU43</f>
        <v>27</v>
      </c>
      <c r="CK43" s="101">
        <f t="shared" si="1042"/>
        <v>42</v>
      </c>
      <c r="CL43" s="101">
        <f t="shared" si="1042"/>
        <v>69</v>
      </c>
      <c r="CM43" s="397">
        <f t="shared" ref="CM43:CO45" si="1043">CJ43/CA43</f>
        <v>1</v>
      </c>
      <c r="CN43" s="397">
        <f t="shared" si="1043"/>
        <v>1</v>
      </c>
      <c r="CO43" s="397">
        <f t="shared" si="1043"/>
        <v>1</v>
      </c>
      <c r="CP43" s="419">
        <v>8</v>
      </c>
      <c r="CQ43" s="419">
        <v>12</v>
      </c>
      <c r="CR43" s="394">
        <f>CP43+CQ43</f>
        <v>20</v>
      </c>
      <c r="CS43" s="419">
        <v>8</v>
      </c>
      <c r="CT43" s="419">
        <v>12</v>
      </c>
      <c r="CU43" s="394">
        <f>CS43+CT43</f>
        <v>20</v>
      </c>
      <c r="CV43" s="418"/>
      <c r="CW43" s="399"/>
      <c r="CX43" s="399"/>
      <c r="CY43" s="396">
        <f t="shared" ref="CY43:DA44" si="1044">CS43+CV43</f>
        <v>8</v>
      </c>
      <c r="CZ43" s="101">
        <f t="shared" si="1044"/>
        <v>12</v>
      </c>
      <c r="DA43" s="101">
        <f t="shared" si="1044"/>
        <v>20</v>
      </c>
      <c r="DB43" s="397">
        <f t="shared" ref="DB43:DD44" si="1045">CY43/CP43</f>
        <v>1</v>
      </c>
      <c r="DC43" s="397">
        <f t="shared" si="1045"/>
        <v>1</v>
      </c>
      <c r="DD43" s="397">
        <f t="shared" si="1045"/>
        <v>1</v>
      </c>
      <c r="DE43" s="418"/>
      <c r="DF43" s="418"/>
      <c r="DG43" s="399"/>
      <c r="DH43" s="399"/>
      <c r="DI43" s="399"/>
      <c r="DJ43" s="399"/>
      <c r="DK43" s="399"/>
      <c r="DL43" s="399"/>
      <c r="DM43" s="399"/>
      <c r="DN43" s="399"/>
      <c r="DO43" s="399"/>
      <c r="DP43" s="399"/>
      <c r="DQ43" s="399"/>
      <c r="DR43" s="399"/>
      <c r="DS43" s="399"/>
      <c r="DT43" s="101">
        <f t="shared" ref="DT43:DY44" si="1046">CP43+DE43</f>
        <v>8</v>
      </c>
      <c r="DU43" s="101">
        <f t="shared" si="1046"/>
        <v>12</v>
      </c>
      <c r="DV43" s="101">
        <f t="shared" si="1046"/>
        <v>20</v>
      </c>
      <c r="DW43" s="272">
        <f t="shared" si="1046"/>
        <v>8</v>
      </c>
      <c r="DX43" s="272">
        <f t="shared" si="1046"/>
        <v>12</v>
      </c>
      <c r="DY43" s="101">
        <f t="shared" si="1046"/>
        <v>20</v>
      </c>
      <c r="DZ43" s="399"/>
      <c r="EA43" s="399"/>
      <c r="EB43" s="399"/>
      <c r="EC43" s="101">
        <f>CY43+DN43</f>
        <v>8</v>
      </c>
      <c r="ED43" s="101">
        <f>CZ43+DO43</f>
        <v>12</v>
      </c>
      <c r="EE43" s="101">
        <f>DA43+DP43</f>
        <v>20</v>
      </c>
      <c r="EF43" s="397">
        <f t="shared" ref="EF43:EH44" si="1047">EC43/DT43</f>
        <v>1</v>
      </c>
      <c r="EG43" s="397">
        <f t="shared" si="1047"/>
        <v>1</v>
      </c>
      <c r="EH43" s="397">
        <f t="shared" si="1047"/>
        <v>1</v>
      </c>
      <c r="EI43" s="101">
        <f t="shared" si="53"/>
        <v>143</v>
      </c>
      <c r="EJ43" s="101">
        <f t="shared" si="54"/>
        <v>210</v>
      </c>
      <c r="EK43" s="101">
        <f t="shared" si="55"/>
        <v>353</v>
      </c>
      <c r="EL43" s="272">
        <v>116</v>
      </c>
      <c r="EM43" s="272">
        <v>189</v>
      </c>
      <c r="EN43" s="272">
        <f>EL43+EM43</f>
        <v>305</v>
      </c>
      <c r="EO43" s="413">
        <f t="shared" ref="EO43:EQ44" si="1048">+EL43*100/EI43</f>
        <v>81.11888111888112</v>
      </c>
      <c r="EP43" s="425">
        <f t="shared" si="1048"/>
        <v>90</v>
      </c>
      <c r="EQ43" s="425">
        <f t="shared" si="1048"/>
        <v>86.402266288951836</v>
      </c>
      <c r="ER43" s="101">
        <f t="shared" si="564"/>
        <v>27</v>
      </c>
      <c r="ES43" s="101">
        <f t="shared" si="565"/>
        <v>42</v>
      </c>
      <c r="ET43" s="101">
        <f t="shared" si="566"/>
        <v>69</v>
      </c>
      <c r="EU43" s="272">
        <v>21</v>
      </c>
      <c r="EV43" s="272">
        <v>36</v>
      </c>
      <c r="EW43" s="272">
        <f>EU43+EV43</f>
        <v>57</v>
      </c>
      <c r="EX43" s="425">
        <f t="shared" ref="EX43:EZ44" si="1049">+EU43*100/ER43</f>
        <v>77.777777777777771</v>
      </c>
      <c r="EY43" s="425">
        <f t="shared" si="1049"/>
        <v>85.714285714285708</v>
      </c>
      <c r="EZ43" s="425">
        <f t="shared" si="1049"/>
        <v>82.608695652173907</v>
      </c>
      <c r="FA43" s="101">
        <f t="shared" si="927"/>
        <v>8</v>
      </c>
      <c r="FB43" s="101">
        <f t="shared" si="868"/>
        <v>12</v>
      </c>
      <c r="FC43" s="101">
        <f t="shared" si="868"/>
        <v>20</v>
      </c>
      <c r="FD43" s="272">
        <v>5</v>
      </c>
      <c r="FE43" s="272">
        <v>10</v>
      </c>
      <c r="FF43" s="101">
        <f>FD43+FE43</f>
        <v>15</v>
      </c>
      <c r="FG43" s="425">
        <f t="shared" ref="FG43:FI44" si="1050">+FD43*100/FA43</f>
        <v>62.5</v>
      </c>
      <c r="FH43" s="425">
        <f t="shared" si="1050"/>
        <v>83.333333333333329</v>
      </c>
      <c r="FI43" s="413">
        <f t="shared" si="1050"/>
        <v>75</v>
      </c>
      <c r="FJ43"/>
      <c r="FK43"/>
      <c r="FL43"/>
      <c r="FM43"/>
      <c r="FN43"/>
      <c r="FO43"/>
    </row>
    <row r="44" spans="1:171" s="362" customFormat="1" ht="28.5">
      <c r="A44" s="393">
        <v>37</v>
      </c>
      <c r="B44" s="410"/>
      <c r="C44" s="221" t="s">
        <v>346</v>
      </c>
      <c r="D44" s="401">
        <v>16734</v>
      </c>
      <c r="E44" s="401">
        <v>5078</v>
      </c>
      <c r="F44" s="401">
        <f>D44+E44</f>
        <v>21812</v>
      </c>
      <c r="G44" s="401">
        <v>16293</v>
      </c>
      <c r="H44" s="401">
        <v>4956</v>
      </c>
      <c r="I44" s="401">
        <f>G44+H44</f>
        <v>21249</v>
      </c>
      <c r="J44" s="402"/>
      <c r="K44" s="402"/>
      <c r="L44" s="402"/>
      <c r="M44" s="396">
        <f t="shared" si="1035"/>
        <v>16293</v>
      </c>
      <c r="N44" s="101">
        <f t="shared" si="1035"/>
        <v>4956</v>
      </c>
      <c r="O44" s="101">
        <f t="shared" si="1035"/>
        <v>21249</v>
      </c>
      <c r="P44" s="397">
        <f t="shared" si="1036"/>
        <v>0.97364646826819645</v>
      </c>
      <c r="Q44" s="397">
        <f t="shared" si="1036"/>
        <v>0.97597479322567937</v>
      </c>
      <c r="R44" s="397">
        <f t="shared" si="1036"/>
        <v>0.97418852008068957</v>
      </c>
      <c r="S44" s="394">
        <v>484</v>
      </c>
      <c r="T44" s="394">
        <v>313</v>
      </c>
      <c r="U44" s="394">
        <f>S44+T44</f>
        <v>797</v>
      </c>
      <c r="V44" s="394">
        <v>463</v>
      </c>
      <c r="W44" s="394">
        <v>299</v>
      </c>
      <c r="X44" s="394">
        <f>V44+W44</f>
        <v>762</v>
      </c>
      <c r="Y44" s="418"/>
      <c r="Z44" s="418"/>
      <c r="AA44" s="399"/>
      <c r="AB44" s="396">
        <f>V44+Y44</f>
        <v>463</v>
      </c>
      <c r="AC44" s="101">
        <f>W44+Z44</f>
        <v>299</v>
      </c>
      <c r="AD44" s="101">
        <f>X44+AA44</f>
        <v>762</v>
      </c>
      <c r="AE44" s="397">
        <f>AB44/S44</f>
        <v>0.95661157024793386</v>
      </c>
      <c r="AF44" s="397">
        <f>AC44/T44</f>
        <v>0.95527156549520764</v>
      </c>
      <c r="AG44" s="397">
        <f>AD44/U44</f>
        <v>0.95608531994981183</v>
      </c>
      <c r="AH44" s="101">
        <f t="shared" si="1037"/>
        <v>17218</v>
      </c>
      <c r="AI44" s="101">
        <f t="shared" si="1037"/>
        <v>5391</v>
      </c>
      <c r="AJ44" s="101">
        <f t="shared" si="1037"/>
        <v>22609</v>
      </c>
      <c r="AK44" s="101">
        <f t="shared" si="1037"/>
        <v>16756</v>
      </c>
      <c r="AL44" s="101">
        <f t="shared" si="1037"/>
        <v>5255</v>
      </c>
      <c r="AM44" s="101">
        <f t="shared" si="1037"/>
        <v>22011</v>
      </c>
      <c r="AN44" s="398"/>
      <c r="AO44" s="398"/>
      <c r="AP44" s="398"/>
      <c r="AQ44" s="101">
        <f t="shared" ref="AQ44:AS45" si="1051">M44+AB44</f>
        <v>16756</v>
      </c>
      <c r="AR44" s="101">
        <f t="shared" si="1051"/>
        <v>5255</v>
      </c>
      <c r="AS44" s="101">
        <f t="shared" si="1051"/>
        <v>22011</v>
      </c>
      <c r="AT44" s="397">
        <f t="shared" si="1038"/>
        <v>0.97316761528632822</v>
      </c>
      <c r="AU44" s="397">
        <f t="shared" si="1038"/>
        <v>0.97477276943053237</v>
      </c>
      <c r="AV44" s="397">
        <f t="shared" si="1038"/>
        <v>0.9735503560528993</v>
      </c>
      <c r="AW44" s="419">
        <v>2476</v>
      </c>
      <c r="AX44" s="419">
        <v>1045</v>
      </c>
      <c r="AY44" s="394">
        <f>AW44+AX44</f>
        <v>3521</v>
      </c>
      <c r="AZ44" s="419">
        <v>2389</v>
      </c>
      <c r="BA44" s="419">
        <v>1026</v>
      </c>
      <c r="BB44" s="394">
        <f>AZ44+BA44</f>
        <v>3415</v>
      </c>
      <c r="BC44" s="399"/>
      <c r="BD44" s="399"/>
      <c r="BE44" s="399"/>
      <c r="BF44" s="396">
        <f t="shared" si="1039"/>
        <v>2389</v>
      </c>
      <c r="BG44" s="101">
        <f t="shared" si="1039"/>
        <v>1026</v>
      </c>
      <c r="BH44" s="101">
        <f t="shared" si="1039"/>
        <v>3415</v>
      </c>
      <c r="BI44" s="397">
        <f t="shared" si="1040"/>
        <v>0.96486268174474965</v>
      </c>
      <c r="BJ44" s="397">
        <f t="shared" si="1040"/>
        <v>0.98181818181818181</v>
      </c>
      <c r="BK44" s="397">
        <f t="shared" si="1040"/>
        <v>0.96989491621698376</v>
      </c>
      <c r="BL44" s="419">
        <v>89</v>
      </c>
      <c r="BM44" s="419">
        <v>60</v>
      </c>
      <c r="BN44" s="394">
        <f>BL44+BM44</f>
        <v>149</v>
      </c>
      <c r="BO44" s="419">
        <v>85</v>
      </c>
      <c r="BP44" s="419">
        <v>59</v>
      </c>
      <c r="BQ44" s="394">
        <f>BO44+BP44</f>
        <v>144</v>
      </c>
      <c r="BR44" s="418"/>
      <c r="BS44" s="418"/>
      <c r="BT44" s="399"/>
      <c r="BU44" s="396">
        <f>BO44+BR44</f>
        <v>85</v>
      </c>
      <c r="BV44" s="101">
        <f>BP44+BS44</f>
        <v>59</v>
      </c>
      <c r="BW44" s="101">
        <f>BQ44+BT44</f>
        <v>144</v>
      </c>
      <c r="BX44" s="397">
        <f>BU44/BL44</f>
        <v>0.9550561797752809</v>
      </c>
      <c r="BY44" s="397">
        <f>BV44/BM44</f>
        <v>0.98333333333333328</v>
      </c>
      <c r="BZ44" s="397">
        <f>BW44/BN44</f>
        <v>0.96644295302013428</v>
      </c>
      <c r="CA44" s="101">
        <f t="shared" si="1041"/>
        <v>2565</v>
      </c>
      <c r="CB44" s="101">
        <f t="shared" si="1041"/>
        <v>1105</v>
      </c>
      <c r="CC44" s="101">
        <f t="shared" si="1041"/>
        <v>3670</v>
      </c>
      <c r="CD44" s="101">
        <f t="shared" si="1041"/>
        <v>2474</v>
      </c>
      <c r="CE44" s="101">
        <f t="shared" si="1041"/>
        <v>1085</v>
      </c>
      <c r="CF44" s="101">
        <f t="shared" si="1041"/>
        <v>3559</v>
      </c>
      <c r="CG44" s="399"/>
      <c r="CH44" s="399"/>
      <c r="CI44" s="399"/>
      <c r="CJ44" s="101">
        <f t="shared" si="1042"/>
        <v>2474</v>
      </c>
      <c r="CK44" s="101">
        <f t="shared" si="1042"/>
        <v>1085</v>
      </c>
      <c r="CL44" s="101">
        <f t="shared" si="1042"/>
        <v>3559</v>
      </c>
      <c r="CM44" s="397">
        <f t="shared" si="1043"/>
        <v>0.96452241715399611</v>
      </c>
      <c r="CN44" s="397">
        <f t="shared" si="1043"/>
        <v>0.98190045248868774</v>
      </c>
      <c r="CO44" s="397">
        <f t="shared" si="1043"/>
        <v>0.96975476839237063</v>
      </c>
      <c r="CP44" s="419">
        <v>129</v>
      </c>
      <c r="CQ44" s="419">
        <v>42</v>
      </c>
      <c r="CR44" s="394">
        <f>CP44+CQ44</f>
        <v>171</v>
      </c>
      <c r="CS44" s="419">
        <v>125</v>
      </c>
      <c r="CT44" s="419">
        <v>41</v>
      </c>
      <c r="CU44" s="394">
        <f>CS44+CT44</f>
        <v>166</v>
      </c>
      <c r="CV44" s="418"/>
      <c r="CW44" s="399"/>
      <c r="CX44" s="399"/>
      <c r="CY44" s="396">
        <f t="shared" si="1044"/>
        <v>125</v>
      </c>
      <c r="CZ44" s="101">
        <f t="shared" si="1044"/>
        <v>41</v>
      </c>
      <c r="DA44" s="101">
        <f t="shared" si="1044"/>
        <v>166</v>
      </c>
      <c r="DB44" s="397">
        <f t="shared" si="1045"/>
        <v>0.96899224806201545</v>
      </c>
      <c r="DC44" s="397">
        <f t="shared" si="1045"/>
        <v>0.97619047619047616</v>
      </c>
      <c r="DD44" s="397">
        <f t="shared" si="1045"/>
        <v>0.9707602339181286</v>
      </c>
      <c r="DE44" s="419">
        <v>3</v>
      </c>
      <c r="DF44" s="419">
        <v>2</v>
      </c>
      <c r="DG44" s="394">
        <f>DE44+DF44</f>
        <v>5</v>
      </c>
      <c r="DH44" s="419">
        <v>3</v>
      </c>
      <c r="DI44" s="419">
        <v>2</v>
      </c>
      <c r="DJ44" s="394">
        <f>DH44+DI44</f>
        <v>5</v>
      </c>
      <c r="DK44" s="418"/>
      <c r="DL44" s="418"/>
      <c r="DM44" s="399"/>
      <c r="DN44" s="396">
        <f>DH44+DK44</f>
        <v>3</v>
      </c>
      <c r="DO44" s="101">
        <f t="shared" ref="DO44" si="1052">DI44+DL44</f>
        <v>2</v>
      </c>
      <c r="DP44" s="101">
        <f t="shared" ref="DP44" si="1053">DJ44+DM44</f>
        <v>5</v>
      </c>
      <c r="DQ44" s="397">
        <f>DN44/DE44</f>
        <v>1</v>
      </c>
      <c r="DR44" s="397">
        <f>DO44/DF44</f>
        <v>1</v>
      </c>
      <c r="DS44" s="397">
        <f>DP44/DG44</f>
        <v>1</v>
      </c>
      <c r="DT44" s="101">
        <f t="shared" si="1046"/>
        <v>132</v>
      </c>
      <c r="DU44" s="101">
        <f t="shared" si="1046"/>
        <v>44</v>
      </c>
      <c r="DV44" s="101">
        <f t="shared" si="1046"/>
        <v>176</v>
      </c>
      <c r="DW44" s="101">
        <f t="shared" si="1046"/>
        <v>128</v>
      </c>
      <c r="DX44" s="101">
        <f t="shared" si="1046"/>
        <v>43</v>
      </c>
      <c r="DY44" s="101">
        <f t="shared" si="1046"/>
        <v>171</v>
      </c>
      <c r="DZ44" s="399"/>
      <c r="EA44" s="399"/>
      <c r="EB44" s="399"/>
      <c r="EC44" s="101">
        <f>CY44+DN44</f>
        <v>128</v>
      </c>
      <c r="ED44" s="101">
        <f t="shared" ref="ED44" si="1054">CZ44+DO44</f>
        <v>43</v>
      </c>
      <c r="EE44" s="101">
        <f t="shared" ref="EE44" si="1055">DA44+DP44</f>
        <v>171</v>
      </c>
      <c r="EF44" s="397">
        <f t="shared" si="1047"/>
        <v>0.96969696969696972</v>
      </c>
      <c r="EG44" s="397">
        <f t="shared" si="1047"/>
        <v>0.97727272727272729</v>
      </c>
      <c r="EH44" s="397">
        <f t="shared" si="1047"/>
        <v>0.97159090909090906</v>
      </c>
      <c r="EI44" s="101">
        <f t="shared" si="53"/>
        <v>16756</v>
      </c>
      <c r="EJ44" s="101">
        <f t="shared" si="54"/>
        <v>5255</v>
      </c>
      <c r="EK44" s="101">
        <f t="shared" si="55"/>
        <v>22011</v>
      </c>
      <c r="EL44" s="272">
        <v>15465</v>
      </c>
      <c r="EM44" s="272">
        <v>5029</v>
      </c>
      <c r="EN44" s="272">
        <f>EL44+EM44</f>
        <v>20494</v>
      </c>
      <c r="EO44" s="426">
        <f t="shared" si="1048"/>
        <v>92.295297206970631</v>
      </c>
      <c r="EP44" s="426">
        <f t="shared" si="1048"/>
        <v>95.699333967649864</v>
      </c>
      <c r="EQ44" s="426">
        <f t="shared" si="1048"/>
        <v>93.107991458816045</v>
      </c>
      <c r="ER44" s="101">
        <f t="shared" si="564"/>
        <v>2474</v>
      </c>
      <c r="ES44" s="101">
        <f t="shared" si="565"/>
        <v>1085</v>
      </c>
      <c r="ET44" s="101">
        <f t="shared" si="566"/>
        <v>3559</v>
      </c>
      <c r="EU44" s="272">
        <v>2315</v>
      </c>
      <c r="EV44" s="272">
        <v>1006</v>
      </c>
      <c r="EW44" s="272">
        <f>EU44+EV44</f>
        <v>3321</v>
      </c>
      <c r="EX44" s="426">
        <f t="shared" si="1049"/>
        <v>93.573160873080027</v>
      </c>
      <c r="EY44" s="426">
        <f t="shared" si="1049"/>
        <v>92.718894009216584</v>
      </c>
      <c r="EZ44" s="427">
        <f t="shared" si="1049"/>
        <v>93.312728294464733</v>
      </c>
      <c r="FA44" s="101">
        <f t="shared" si="927"/>
        <v>128</v>
      </c>
      <c r="FB44" s="101">
        <f t="shared" si="868"/>
        <v>43</v>
      </c>
      <c r="FC44" s="101">
        <f t="shared" si="868"/>
        <v>171</v>
      </c>
      <c r="FD44" s="272">
        <v>123</v>
      </c>
      <c r="FE44" s="272">
        <v>41</v>
      </c>
      <c r="FF44" s="272">
        <f>FD44+FE44</f>
        <v>164</v>
      </c>
      <c r="FG44" s="425">
        <f t="shared" si="1050"/>
        <v>96.09375</v>
      </c>
      <c r="FH44" s="425">
        <f t="shared" si="1050"/>
        <v>95.348837209302332</v>
      </c>
      <c r="FI44" s="425">
        <f t="shared" si="1050"/>
        <v>95.906432748538009</v>
      </c>
      <c r="FJ44"/>
      <c r="FK44"/>
      <c r="FL44"/>
      <c r="FM44"/>
      <c r="FN44"/>
      <c r="FO44"/>
    </row>
    <row r="45" spans="1:171" s="362" customFormat="1" ht="42.75">
      <c r="A45" s="393">
        <v>38</v>
      </c>
      <c r="B45" s="411"/>
      <c r="C45" s="221" t="s">
        <v>132</v>
      </c>
      <c r="D45" s="394">
        <v>744</v>
      </c>
      <c r="E45" s="394">
        <v>681</v>
      </c>
      <c r="F45" s="394">
        <f>D45+E45</f>
        <v>1425</v>
      </c>
      <c r="G45" s="394">
        <v>725</v>
      </c>
      <c r="H45" s="394">
        <v>644</v>
      </c>
      <c r="I45" s="400">
        <f>G45+H45</f>
        <v>1369</v>
      </c>
      <c r="J45" s="394">
        <v>5</v>
      </c>
      <c r="K45" s="394">
        <v>5</v>
      </c>
      <c r="L45" s="394">
        <f t="shared" ref="L45" si="1056">J45+K45</f>
        <v>10</v>
      </c>
      <c r="M45" s="396">
        <f t="shared" si="1035"/>
        <v>730</v>
      </c>
      <c r="N45" s="101">
        <f t="shared" si="1035"/>
        <v>649</v>
      </c>
      <c r="O45" s="101">
        <f t="shared" si="1035"/>
        <v>1379</v>
      </c>
      <c r="P45" s="397">
        <f t="shared" si="1036"/>
        <v>0.98118279569892475</v>
      </c>
      <c r="Q45" s="397">
        <f t="shared" si="1036"/>
        <v>0.9530102790014684</v>
      </c>
      <c r="R45" s="397">
        <f t="shared" si="1036"/>
        <v>0.96771929824561409</v>
      </c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101">
        <f t="shared" si="1037"/>
        <v>744</v>
      </c>
      <c r="AI45" s="101">
        <f t="shared" si="1037"/>
        <v>681</v>
      </c>
      <c r="AJ45" s="101">
        <f t="shared" si="1037"/>
        <v>1425</v>
      </c>
      <c r="AK45" s="101">
        <f t="shared" si="1037"/>
        <v>725</v>
      </c>
      <c r="AL45" s="101">
        <f t="shared" si="1037"/>
        <v>644</v>
      </c>
      <c r="AM45" s="101">
        <f t="shared" si="1037"/>
        <v>1369</v>
      </c>
      <c r="AN45" s="101">
        <f>J45+Y45</f>
        <v>5</v>
      </c>
      <c r="AO45" s="101">
        <f>K45+Z45</f>
        <v>5</v>
      </c>
      <c r="AP45" s="101">
        <f>L45+AA45</f>
        <v>10</v>
      </c>
      <c r="AQ45" s="101">
        <f t="shared" si="1051"/>
        <v>730</v>
      </c>
      <c r="AR45" s="101">
        <f t="shared" si="1051"/>
        <v>649</v>
      </c>
      <c r="AS45" s="101">
        <f t="shared" si="1051"/>
        <v>1379</v>
      </c>
      <c r="AT45" s="397">
        <f t="shared" si="1038"/>
        <v>0.98118279569892475</v>
      </c>
      <c r="AU45" s="397">
        <f t="shared" si="1038"/>
        <v>0.9530102790014684</v>
      </c>
      <c r="AV45" s="397">
        <f t="shared" si="1038"/>
        <v>0.96771929824561409</v>
      </c>
      <c r="AW45" s="394">
        <v>10</v>
      </c>
      <c r="AX45" s="394">
        <v>6</v>
      </c>
      <c r="AY45" s="394">
        <f>AW45+AX45</f>
        <v>16</v>
      </c>
      <c r="AZ45" s="394">
        <v>10</v>
      </c>
      <c r="BA45" s="394">
        <v>6</v>
      </c>
      <c r="BB45" s="394">
        <f>AZ45+BA45</f>
        <v>16</v>
      </c>
      <c r="BC45" s="399"/>
      <c r="BD45" s="399"/>
      <c r="BE45" s="399"/>
      <c r="BF45" s="396">
        <f t="shared" si="1039"/>
        <v>10</v>
      </c>
      <c r="BG45" s="101">
        <f t="shared" si="1039"/>
        <v>6</v>
      </c>
      <c r="BH45" s="101">
        <f t="shared" si="1039"/>
        <v>16</v>
      </c>
      <c r="BI45" s="397">
        <f t="shared" si="1040"/>
        <v>1</v>
      </c>
      <c r="BJ45" s="397">
        <f t="shared" si="1040"/>
        <v>1</v>
      </c>
      <c r="BK45" s="397">
        <f t="shared" si="1040"/>
        <v>1</v>
      </c>
      <c r="BL45" s="399"/>
      <c r="BM45" s="399"/>
      <c r="BN45" s="399"/>
      <c r="BO45" s="399"/>
      <c r="BP45" s="399"/>
      <c r="BQ45" s="399"/>
      <c r="BR45" s="417"/>
      <c r="BS45" s="417"/>
      <c r="BT45" s="417"/>
      <c r="BU45" s="399"/>
      <c r="BV45" s="399"/>
      <c r="BW45" s="399"/>
      <c r="BX45" s="399"/>
      <c r="BY45" s="399"/>
      <c r="BZ45" s="399"/>
      <c r="CA45" s="101">
        <f t="shared" si="1041"/>
        <v>10</v>
      </c>
      <c r="CB45" s="101">
        <f t="shared" si="1041"/>
        <v>6</v>
      </c>
      <c r="CC45" s="101">
        <f t="shared" si="1041"/>
        <v>16</v>
      </c>
      <c r="CD45" s="101">
        <f t="shared" si="1041"/>
        <v>10</v>
      </c>
      <c r="CE45" s="101">
        <f t="shared" si="1041"/>
        <v>6</v>
      </c>
      <c r="CF45" s="101">
        <f t="shared" si="1041"/>
        <v>16</v>
      </c>
      <c r="CG45" s="399"/>
      <c r="CH45" s="399"/>
      <c r="CI45" s="399"/>
      <c r="CJ45" s="101">
        <f t="shared" si="1042"/>
        <v>10</v>
      </c>
      <c r="CK45" s="101">
        <f t="shared" si="1042"/>
        <v>6</v>
      </c>
      <c r="CL45" s="101">
        <f t="shared" si="1042"/>
        <v>16</v>
      </c>
      <c r="CM45" s="397">
        <f t="shared" si="1043"/>
        <v>1</v>
      </c>
      <c r="CN45" s="397">
        <f t="shared" si="1043"/>
        <v>1</v>
      </c>
      <c r="CO45" s="397">
        <f t="shared" si="1043"/>
        <v>1</v>
      </c>
      <c r="CP45" s="399"/>
      <c r="CQ45" s="399"/>
      <c r="CR45" s="399"/>
      <c r="CS45" s="399"/>
      <c r="CT45" s="399"/>
      <c r="CU45" s="399"/>
      <c r="CV45" s="399"/>
      <c r="CW45" s="399"/>
      <c r="CX45" s="399"/>
      <c r="CY45" s="399"/>
      <c r="CZ45" s="399"/>
      <c r="DA45" s="399"/>
      <c r="DB45" s="399"/>
      <c r="DC45" s="399"/>
      <c r="DD45" s="399"/>
      <c r="DE45" s="399"/>
      <c r="DF45" s="399"/>
      <c r="DG45" s="399"/>
      <c r="DH45" s="399"/>
      <c r="DI45" s="399"/>
      <c r="DJ45" s="399"/>
      <c r="DK45" s="399"/>
      <c r="DL45" s="399"/>
      <c r="DM45" s="399"/>
      <c r="DN45" s="399"/>
      <c r="DO45" s="399"/>
      <c r="DP45" s="399"/>
      <c r="DQ45" s="399"/>
      <c r="DR45" s="399"/>
      <c r="DS45" s="399"/>
      <c r="DT45" s="399"/>
      <c r="DU45" s="399"/>
      <c r="DV45" s="399"/>
      <c r="DW45" s="399"/>
      <c r="DX45" s="399"/>
      <c r="DY45" s="399"/>
      <c r="DZ45" s="399"/>
      <c r="EA45" s="399"/>
      <c r="EB45" s="399"/>
      <c r="EC45" s="399"/>
      <c r="ED45" s="399"/>
      <c r="EE45" s="399"/>
      <c r="EF45" s="399"/>
      <c r="EG45" s="399"/>
      <c r="EH45" s="399"/>
      <c r="EI45" s="101">
        <f t="shared" si="53"/>
        <v>730</v>
      </c>
      <c r="EJ45" s="101">
        <f t="shared" si="54"/>
        <v>649</v>
      </c>
      <c r="EK45" s="101">
        <f t="shared" si="55"/>
        <v>1379</v>
      </c>
      <c r="EL45" s="101">
        <v>568</v>
      </c>
      <c r="EM45" s="101">
        <v>504</v>
      </c>
      <c r="EN45" s="101">
        <f t="shared" ref="EN45" si="1057">EL45+EM45</f>
        <v>1072</v>
      </c>
      <c r="EO45" s="413">
        <f t="shared" ref="EO45" si="1058">+EL45*100/EI45</f>
        <v>77.808219178082197</v>
      </c>
      <c r="EP45" s="413">
        <f t="shared" ref="EP45" si="1059">+EM45*100/EJ45</f>
        <v>77.657935285053924</v>
      </c>
      <c r="EQ45" s="413">
        <f t="shared" ref="EQ45" si="1060">+EN45*100/EK45</f>
        <v>77.737490935460485</v>
      </c>
      <c r="ER45" s="101">
        <f t="shared" si="564"/>
        <v>10</v>
      </c>
      <c r="ES45" s="101">
        <f t="shared" si="565"/>
        <v>6</v>
      </c>
      <c r="ET45" s="101">
        <f t="shared" si="566"/>
        <v>16</v>
      </c>
      <c r="EU45" s="101">
        <v>8</v>
      </c>
      <c r="EV45" s="101">
        <v>6</v>
      </c>
      <c r="EW45" s="101">
        <f t="shared" ref="EW45" si="1061">EU45+EV45</f>
        <v>14</v>
      </c>
      <c r="EX45" s="413">
        <f t="shared" ref="EX45" si="1062">+EU45*100/ER45</f>
        <v>80</v>
      </c>
      <c r="EY45" s="413">
        <f t="shared" ref="EY45" si="1063">+EV45*100/ES45</f>
        <v>100</v>
      </c>
      <c r="EZ45" s="413">
        <f t="shared" ref="EZ45" si="1064">+EW45*100/ET45</f>
        <v>87.5</v>
      </c>
      <c r="FA45" s="399"/>
      <c r="FB45" s="399"/>
      <c r="FC45" s="399"/>
      <c r="FD45" s="399"/>
      <c r="FE45" s="399"/>
      <c r="FF45" s="399"/>
      <c r="FG45" s="399"/>
      <c r="FH45" s="399"/>
      <c r="FI45" s="399"/>
    </row>
    <row r="46" spans="1:171" s="390" customFormat="1" ht="28.5">
      <c r="A46" s="393">
        <v>39</v>
      </c>
      <c r="B46" s="298" t="s">
        <v>397</v>
      </c>
      <c r="C46" s="221" t="s">
        <v>169</v>
      </c>
      <c r="D46" s="394">
        <v>74728</v>
      </c>
      <c r="E46" s="394">
        <v>72060</v>
      </c>
      <c r="F46" s="394">
        <f>D46+E46</f>
        <v>146788</v>
      </c>
      <c r="G46" s="395">
        <v>52682</v>
      </c>
      <c r="H46" s="394">
        <v>59193</v>
      </c>
      <c r="I46" s="394">
        <f t="shared" ref="I46:I48" si="1065">G46+H46</f>
        <v>111875</v>
      </c>
      <c r="J46" s="402"/>
      <c r="K46" s="402"/>
      <c r="L46" s="402"/>
      <c r="M46" s="396">
        <f t="shared" si="165"/>
        <v>52682</v>
      </c>
      <c r="N46" s="101">
        <f t="shared" si="166"/>
        <v>59193</v>
      </c>
      <c r="O46" s="101">
        <f t="shared" si="167"/>
        <v>111875</v>
      </c>
      <c r="P46" s="397">
        <f t="shared" si="168"/>
        <v>0.70498340648752811</v>
      </c>
      <c r="Q46" s="397">
        <f t="shared" si="169"/>
        <v>0.82144046627810163</v>
      </c>
      <c r="R46" s="397">
        <f t="shared" si="170"/>
        <v>0.76215358203667871</v>
      </c>
      <c r="S46" s="394">
        <v>2412</v>
      </c>
      <c r="T46" s="394">
        <v>1188</v>
      </c>
      <c r="U46" s="394">
        <f t="shared" ref="U46" si="1066">S46+T46</f>
        <v>3600</v>
      </c>
      <c r="V46" s="395">
        <v>829</v>
      </c>
      <c r="W46" s="394">
        <v>489</v>
      </c>
      <c r="X46" s="394">
        <f t="shared" ref="X46" si="1067">V46+W46</f>
        <v>1318</v>
      </c>
      <c r="Y46" s="399"/>
      <c r="Z46" s="399"/>
      <c r="AA46" s="399"/>
      <c r="AB46" s="396">
        <f t="shared" si="171"/>
        <v>829</v>
      </c>
      <c r="AC46" s="101">
        <f t="shared" si="172"/>
        <v>489</v>
      </c>
      <c r="AD46" s="101">
        <f t="shared" si="173"/>
        <v>1318</v>
      </c>
      <c r="AE46" s="397">
        <f t="shared" si="174"/>
        <v>0.34369817578772804</v>
      </c>
      <c r="AF46" s="397">
        <f t="shared" si="175"/>
        <v>0.4116161616161616</v>
      </c>
      <c r="AG46" s="397">
        <f t="shared" si="176"/>
        <v>0.36611111111111111</v>
      </c>
      <c r="AH46" s="101">
        <f t="shared" si="80"/>
        <v>77140</v>
      </c>
      <c r="AI46" s="101">
        <f t="shared" si="81"/>
        <v>73248</v>
      </c>
      <c r="AJ46" s="101">
        <f t="shared" si="82"/>
        <v>150388</v>
      </c>
      <c r="AK46" s="101">
        <f t="shared" si="83"/>
        <v>53511</v>
      </c>
      <c r="AL46" s="101">
        <f t="shared" si="84"/>
        <v>59682</v>
      </c>
      <c r="AM46" s="101">
        <f t="shared" si="85"/>
        <v>113193</v>
      </c>
      <c r="AN46" s="398"/>
      <c r="AO46" s="398"/>
      <c r="AP46" s="398"/>
      <c r="AQ46" s="101">
        <f t="shared" si="89"/>
        <v>53511</v>
      </c>
      <c r="AR46" s="101">
        <f t="shared" si="90"/>
        <v>59682</v>
      </c>
      <c r="AS46" s="101">
        <f t="shared" si="91"/>
        <v>113193</v>
      </c>
      <c r="AT46" s="397">
        <f t="shared" si="92"/>
        <v>0.69368680321493392</v>
      </c>
      <c r="AU46" s="397">
        <f t="shared" si="93"/>
        <v>0.81479357798165142</v>
      </c>
      <c r="AV46" s="397">
        <f t="shared" si="94"/>
        <v>0.75267308561853341</v>
      </c>
      <c r="AW46" s="394">
        <v>21237</v>
      </c>
      <c r="AX46" s="394">
        <v>20602</v>
      </c>
      <c r="AY46" s="394">
        <f t="shared" ref="AY46" si="1068">AW46+AX46</f>
        <v>41839</v>
      </c>
      <c r="AZ46" s="395">
        <v>13434</v>
      </c>
      <c r="BA46" s="394">
        <v>15714</v>
      </c>
      <c r="BB46" s="394">
        <f t="shared" ref="BB46" si="1069">AZ46+BA46</f>
        <v>29148</v>
      </c>
      <c r="BC46" s="399"/>
      <c r="BD46" s="399"/>
      <c r="BE46" s="399"/>
      <c r="BF46" s="396">
        <f t="shared" si="177"/>
        <v>13434</v>
      </c>
      <c r="BG46" s="101">
        <f t="shared" si="178"/>
        <v>15714</v>
      </c>
      <c r="BH46" s="101">
        <f t="shared" si="179"/>
        <v>29148</v>
      </c>
      <c r="BI46" s="397">
        <f t="shared" si="180"/>
        <v>0.63257522248905218</v>
      </c>
      <c r="BJ46" s="397">
        <f t="shared" si="181"/>
        <v>0.76274148140957188</v>
      </c>
      <c r="BK46" s="397">
        <f t="shared" si="182"/>
        <v>0.69667057052032788</v>
      </c>
      <c r="BL46" s="394">
        <v>887</v>
      </c>
      <c r="BM46" s="394">
        <v>479</v>
      </c>
      <c r="BN46" s="394">
        <f t="shared" ref="BN46" si="1070">BL46+BM46</f>
        <v>1366</v>
      </c>
      <c r="BO46" s="395">
        <v>276</v>
      </c>
      <c r="BP46" s="394">
        <v>186</v>
      </c>
      <c r="BQ46" s="394">
        <f t="shared" ref="BQ46" si="1071">BO46+BP46</f>
        <v>462</v>
      </c>
      <c r="BR46" s="417"/>
      <c r="BS46" s="417"/>
      <c r="BT46" s="417"/>
      <c r="BU46" s="396">
        <f t="shared" si="183"/>
        <v>276</v>
      </c>
      <c r="BV46" s="101">
        <f t="shared" si="184"/>
        <v>186</v>
      </c>
      <c r="BW46" s="101">
        <f t="shared" si="185"/>
        <v>462</v>
      </c>
      <c r="BX46" s="397">
        <f t="shared" si="186"/>
        <v>0.3111612175873732</v>
      </c>
      <c r="BY46" s="397">
        <f t="shared" si="187"/>
        <v>0.38830897703549061</v>
      </c>
      <c r="BZ46" s="397">
        <f t="shared" si="188"/>
        <v>0.33821376281112736</v>
      </c>
      <c r="CA46" s="101">
        <f t="shared" si="108"/>
        <v>22124</v>
      </c>
      <c r="CB46" s="101">
        <f t="shared" si="109"/>
        <v>21081</v>
      </c>
      <c r="CC46" s="101">
        <f t="shared" si="110"/>
        <v>43205</v>
      </c>
      <c r="CD46" s="101">
        <f t="shared" si="111"/>
        <v>13710</v>
      </c>
      <c r="CE46" s="101">
        <f t="shared" si="112"/>
        <v>15900</v>
      </c>
      <c r="CF46" s="101">
        <f t="shared" si="113"/>
        <v>29610</v>
      </c>
      <c r="CG46" s="399"/>
      <c r="CH46" s="399"/>
      <c r="CI46" s="399"/>
      <c r="CJ46" s="101">
        <f t="shared" si="117"/>
        <v>13710</v>
      </c>
      <c r="CK46" s="101">
        <f t="shared" si="118"/>
        <v>15900</v>
      </c>
      <c r="CL46" s="101">
        <f t="shared" si="119"/>
        <v>29610</v>
      </c>
      <c r="CM46" s="397">
        <f t="shared" si="120"/>
        <v>0.61968902549267768</v>
      </c>
      <c r="CN46" s="397">
        <f t="shared" si="121"/>
        <v>0.75423367012950049</v>
      </c>
      <c r="CO46" s="397">
        <f t="shared" si="122"/>
        <v>0.68533734521467427</v>
      </c>
      <c r="CP46" s="394">
        <v>2330</v>
      </c>
      <c r="CQ46" s="394">
        <v>2416</v>
      </c>
      <c r="CR46" s="394">
        <f>CP46+CQ46</f>
        <v>4746</v>
      </c>
      <c r="CS46" s="395">
        <v>1527</v>
      </c>
      <c r="CT46" s="394">
        <v>1908</v>
      </c>
      <c r="CU46" s="394">
        <f t="shared" ref="CU46" si="1072">CS46+CT46</f>
        <v>3435</v>
      </c>
      <c r="CV46" s="417"/>
      <c r="CW46" s="417"/>
      <c r="CX46" s="417"/>
      <c r="CY46" s="396">
        <f t="shared" si="190"/>
        <v>1527</v>
      </c>
      <c r="CZ46" s="101">
        <f t="shared" si="191"/>
        <v>1908</v>
      </c>
      <c r="DA46" s="101">
        <f t="shared" si="192"/>
        <v>3435</v>
      </c>
      <c r="DB46" s="397">
        <f t="shared" si="193"/>
        <v>0.65536480686695275</v>
      </c>
      <c r="DC46" s="397">
        <f t="shared" si="194"/>
        <v>0.78973509933774833</v>
      </c>
      <c r="DD46" s="397">
        <f t="shared" si="195"/>
        <v>0.72376738305941846</v>
      </c>
      <c r="DE46" s="394">
        <v>59</v>
      </c>
      <c r="DF46" s="394">
        <v>25</v>
      </c>
      <c r="DG46" s="394">
        <f t="shared" ref="DG46" si="1073">DE46+DF46</f>
        <v>84</v>
      </c>
      <c r="DH46" s="395">
        <v>16</v>
      </c>
      <c r="DI46" s="394">
        <v>12</v>
      </c>
      <c r="DJ46" s="394">
        <f t="shared" ref="DJ46" si="1074">DH46+DI46</f>
        <v>28</v>
      </c>
      <c r="DK46" s="399"/>
      <c r="DL46" s="399"/>
      <c r="DM46" s="399"/>
      <c r="DN46" s="396">
        <f t="shared" ref="DN46:DN48" si="1075">DH46+DK46</f>
        <v>16</v>
      </c>
      <c r="DO46" s="101">
        <f t="shared" ref="DO46:DO48" si="1076">DI46+DL46</f>
        <v>12</v>
      </c>
      <c r="DP46" s="101">
        <f>DJ46+DM46</f>
        <v>28</v>
      </c>
      <c r="DQ46" s="397">
        <f t="shared" si="199"/>
        <v>0.2711864406779661</v>
      </c>
      <c r="DR46" s="397">
        <f t="shared" si="200"/>
        <v>0.48</v>
      </c>
      <c r="DS46" s="397">
        <f t="shared" si="201"/>
        <v>0.33333333333333331</v>
      </c>
      <c r="DT46" s="101">
        <f t="shared" si="579"/>
        <v>2389</v>
      </c>
      <c r="DU46" s="101">
        <f t="shared" si="580"/>
        <v>2441</v>
      </c>
      <c r="DV46" s="101">
        <f t="shared" si="581"/>
        <v>4830</v>
      </c>
      <c r="DW46" s="101">
        <f t="shared" si="582"/>
        <v>1543</v>
      </c>
      <c r="DX46" s="101">
        <f t="shared" si="583"/>
        <v>1920</v>
      </c>
      <c r="DY46" s="101">
        <f t="shared" si="584"/>
        <v>3463</v>
      </c>
      <c r="DZ46" s="399"/>
      <c r="EA46" s="399"/>
      <c r="EB46" s="399"/>
      <c r="EC46" s="101">
        <f t="shared" si="588"/>
        <v>1543</v>
      </c>
      <c r="ED46" s="101">
        <f t="shared" si="589"/>
        <v>1920</v>
      </c>
      <c r="EE46" s="101">
        <f t="shared" si="590"/>
        <v>3463</v>
      </c>
      <c r="EF46" s="397">
        <f t="shared" si="404"/>
        <v>0.64587693595646711</v>
      </c>
      <c r="EG46" s="397">
        <f t="shared" si="405"/>
        <v>0.78656288406390829</v>
      </c>
      <c r="EH46" s="397">
        <f t="shared" si="406"/>
        <v>0.7169772256728778</v>
      </c>
      <c r="EI46" s="101">
        <f t="shared" si="53"/>
        <v>53511</v>
      </c>
      <c r="EJ46" s="101">
        <f t="shared" si="54"/>
        <v>59682</v>
      </c>
      <c r="EK46" s="101">
        <f t="shared" si="55"/>
        <v>113193</v>
      </c>
      <c r="EL46" s="101">
        <v>17648</v>
      </c>
      <c r="EM46" s="101">
        <v>25193</v>
      </c>
      <c r="EN46" s="101">
        <f t="shared" ref="EN46" si="1077">EL46+EM46</f>
        <v>42841</v>
      </c>
      <c r="EO46" s="413">
        <f t="shared" ref="EO46" si="1078">+EL46*100/EI46</f>
        <v>32.980134925529327</v>
      </c>
      <c r="EP46" s="413">
        <f t="shared" ref="EP46" si="1079">+EM46*100/EJ46</f>
        <v>42.212057236687777</v>
      </c>
      <c r="EQ46" s="413">
        <f t="shared" ref="EQ46" si="1080">+EN46*100/EK46</f>
        <v>37.847746768793122</v>
      </c>
      <c r="ER46" s="101">
        <f t="shared" si="564"/>
        <v>13710</v>
      </c>
      <c r="ES46" s="101">
        <f t="shared" si="565"/>
        <v>15900</v>
      </c>
      <c r="ET46" s="101">
        <f t="shared" si="566"/>
        <v>29610</v>
      </c>
      <c r="EU46" s="101">
        <v>3300</v>
      </c>
      <c r="EV46" s="101">
        <v>4926</v>
      </c>
      <c r="EW46" s="101">
        <f t="shared" ref="EW46" si="1081">EU46+EV46</f>
        <v>8226</v>
      </c>
      <c r="EX46" s="413">
        <f t="shared" ref="EX46" si="1082">+EU46*100/ER46</f>
        <v>24.070021881838073</v>
      </c>
      <c r="EY46" s="413">
        <f t="shared" ref="EY46" si="1083">+EV46*100/ES46</f>
        <v>30.981132075471699</v>
      </c>
      <c r="EZ46" s="413">
        <f t="shared" ref="EZ46" si="1084">+EW46*100/ET46</f>
        <v>27.781155015197569</v>
      </c>
      <c r="FA46" s="101">
        <f>+EC46</f>
        <v>1543</v>
      </c>
      <c r="FB46" s="101">
        <f>+ED46</f>
        <v>1920</v>
      </c>
      <c r="FC46" s="101">
        <f>+EE46</f>
        <v>3463</v>
      </c>
      <c r="FD46" s="101">
        <v>485</v>
      </c>
      <c r="FE46" s="101">
        <v>708</v>
      </c>
      <c r="FF46" s="101">
        <f t="shared" ref="FF46" si="1085">FD46+FE46</f>
        <v>1193</v>
      </c>
      <c r="FG46" s="413">
        <f t="shared" ref="FG46" si="1086">+FD46*100/FA46</f>
        <v>31.432274789371355</v>
      </c>
      <c r="FH46" s="413">
        <f t="shared" ref="FH46" si="1087">+FE46*100/FB46</f>
        <v>36.875</v>
      </c>
      <c r="FI46" s="413">
        <f t="shared" ref="FI46" si="1088">+FF46*100/FC46</f>
        <v>34.449898931562231</v>
      </c>
      <c r="FJ46" s="362"/>
      <c r="FK46" s="362"/>
      <c r="FL46" s="362"/>
      <c r="FM46" s="362"/>
      <c r="FN46" s="362"/>
      <c r="FO46" s="362"/>
    </row>
    <row r="47" spans="1:171" s="362" customFormat="1" ht="28.5">
      <c r="A47" s="393">
        <v>40</v>
      </c>
      <c r="B47" s="412"/>
      <c r="C47" s="221" t="s">
        <v>214</v>
      </c>
      <c r="D47" s="401">
        <v>766</v>
      </c>
      <c r="E47" s="401">
        <v>63</v>
      </c>
      <c r="F47" s="401">
        <f>D47+E47</f>
        <v>829</v>
      </c>
      <c r="G47" s="401">
        <v>751</v>
      </c>
      <c r="H47" s="401">
        <v>59</v>
      </c>
      <c r="I47" s="401">
        <f t="shared" ref="I47" si="1089">G47+H47</f>
        <v>810</v>
      </c>
      <c r="J47" s="402"/>
      <c r="K47" s="402"/>
      <c r="L47" s="402"/>
      <c r="M47" s="396">
        <f>G47+J47</f>
        <v>751</v>
      </c>
      <c r="N47" s="101">
        <f>H47+K47</f>
        <v>59</v>
      </c>
      <c r="O47" s="101">
        <f>I47+L47</f>
        <v>810</v>
      </c>
      <c r="P47" s="397">
        <f>M47/D47</f>
        <v>0.98041775456919056</v>
      </c>
      <c r="Q47" s="397">
        <f>N47/E47</f>
        <v>0.93650793650793651</v>
      </c>
      <c r="R47" s="397">
        <f>O47/F47</f>
        <v>0.97708082026538001</v>
      </c>
      <c r="S47" s="419">
        <v>23</v>
      </c>
      <c r="T47" s="419">
        <v>5</v>
      </c>
      <c r="U47" s="394">
        <f>S47+T47</f>
        <v>28</v>
      </c>
      <c r="V47" s="419">
        <v>22</v>
      </c>
      <c r="W47" s="419">
        <v>5</v>
      </c>
      <c r="X47" s="394">
        <f>V47+W47</f>
        <v>27</v>
      </c>
      <c r="Y47" s="417"/>
      <c r="Z47" s="417"/>
      <c r="AA47" s="399"/>
      <c r="AB47" s="396">
        <f>V47+Y47</f>
        <v>22</v>
      </c>
      <c r="AC47" s="101">
        <f>W47+Z47</f>
        <v>5</v>
      </c>
      <c r="AD47" s="101">
        <f>X47+AA47</f>
        <v>27</v>
      </c>
      <c r="AE47" s="397">
        <f>AB47/S47</f>
        <v>0.95652173913043481</v>
      </c>
      <c r="AF47" s="397">
        <f>AC47/T47</f>
        <v>1</v>
      </c>
      <c r="AG47" s="397">
        <f>AD47/U47</f>
        <v>0.9642857142857143</v>
      </c>
      <c r="AH47" s="101">
        <f t="shared" ref="AH47:AM47" si="1090">D47+S47</f>
        <v>789</v>
      </c>
      <c r="AI47" s="101">
        <f t="shared" si="1090"/>
        <v>68</v>
      </c>
      <c r="AJ47" s="101">
        <f t="shared" si="1090"/>
        <v>857</v>
      </c>
      <c r="AK47" s="101">
        <f t="shared" si="1090"/>
        <v>773</v>
      </c>
      <c r="AL47" s="101">
        <f t="shared" si="1090"/>
        <v>64</v>
      </c>
      <c r="AM47" s="101">
        <f t="shared" si="1090"/>
        <v>837</v>
      </c>
      <c r="AN47" s="398"/>
      <c r="AO47" s="398"/>
      <c r="AP47" s="398"/>
      <c r="AQ47" s="101">
        <f>M47+AB47</f>
        <v>773</v>
      </c>
      <c r="AR47" s="101">
        <f>N47+AC47</f>
        <v>64</v>
      </c>
      <c r="AS47" s="101">
        <f>O47+AD47</f>
        <v>837</v>
      </c>
      <c r="AT47" s="397">
        <f>AQ47/AH47</f>
        <v>0.97972116603295312</v>
      </c>
      <c r="AU47" s="397">
        <f>AR47/AI47</f>
        <v>0.94117647058823528</v>
      </c>
      <c r="AV47" s="397">
        <f>AS47/AJ47</f>
        <v>0.97666277712952154</v>
      </c>
      <c r="AW47" s="419">
        <v>33</v>
      </c>
      <c r="AX47" s="419">
        <v>23</v>
      </c>
      <c r="AY47" s="394">
        <f>AW47+AX47</f>
        <v>56</v>
      </c>
      <c r="AZ47" s="419">
        <v>28</v>
      </c>
      <c r="BA47" s="419">
        <v>21</v>
      </c>
      <c r="BB47" s="394">
        <f>AZ47+BA47</f>
        <v>49</v>
      </c>
      <c r="BC47" s="399"/>
      <c r="BD47" s="399"/>
      <c r="BE47" s="399"/>
      <c r="BF47" s="396">
        <f>AZ47+BC47</f>
        <v>28</v>
      </c>
      <c r="BG47" s="101">
        <f>BA47+BD47</f>
        <v>21</v>
      </c>
      <c r="BH47" s="101">
        <f>BB47+BE47</f>
        <v>49</v>
      </c>
      <c r="BI47" s="397">
        <f>BF47/AW47</f>
        <v>0.84848484848484851</v>
      </c>
      <c r="BJ47" s="397">
        <f>BG47/AX47</f>
        <v>0.91304347826086951</v>
      </c>
      <c r="BK47" s="397">
        <f>BH47/AY47</f>
        <v>0.875</v>
      </c>
      <c r="BL47" s="419">
        <v>8</v>
      </c>
      <c r="BM47" s="399"/>
      <c r="BN47" s="394">
        <f>BL47+BM47</f>
        <v>8</v>
      </c>
      <c r="BO47" s="419">
        <v>8</v>
      </c>
      <c r="BP47" s="399"/>
      <c r="BQ47" s="394">
        <f>BO47+BP47</f>
        <v>8</v>
      </c>
      <c r="BR47" s="417"/>
      <c r="BS47" s="417"/>
      <c r="BT47" s="399"/>
      <c r="BU47" s="396">
        <f>BO47+BR47</f>
        <v>8</v>
      </c>
      <c r="BV47" s="399"/>
      <c r="BW47" s="101">
        <f>BQ47+BT47</f>
        <v>8</v>
      </c>
      <c r="BX47" s="397">
        <f>BU47/BL47</f>
        <v>1</v>
      </c>
      <c r="BY47" s="399"/>
      <c r="BZ47" s="397">
        <f>BW47/BN47</f>
        <v>1</v>
      </c>
      <c r="CA47" s="101">
        <f t="shared" ref="CA47:CF47" si="1091">AW47+BL47</f>
        <v>41</v>
      </c>
      <c r="CB47" s="101">
        <f t="shared" si="1091"/>
        <v>23</v>
      </c>
      <c r="CC47" s="101">
        <f t="shared" si="1091"/>
        <v>64</v>
      </c>
      <c r="CD47" s="101">
        <f t="shared" si="1091"/>
        <v>36</v>
      </c>
      <c r="CE47" s="101">
        <f t="shared" si="1091"/>
        <v>21</v>
      </c>
      <c r="CF47" s="101">
        <f t="shared" si="1091"/>
        <v>57</v>
      </c>
      <c r="CG47" s="399"/>
      <c r="CH47" s="399"/>
      <c r="CI47" s="399"/>
      <c r="CJ47" s="101">
        <f>BF47+BU47</f>
        <v>36</v>
      </c>
      <c r="CK47" s="101">
        <f>BG47+BV47</f>
        <v>21</v>
      </c>
      <c r="CL47" s="101">
        <f>BH47+BW47</f>
        <v>57</v>
      </c>
      <c r="CM47" s="397">
        <f>CJ47/CA47</f>
        <v>0.87804878048780488</v>
      </c>
      <c r="CN47" s="397">
        <f>CK47/CB47</f>
        <v>0.91304347826086951</v>
      </c>
      <c r="CO47" s="397">
        <f>CL47/CC47</f>
        <v>0.890625</v>
      </c>
      <c r="CP47" s="419">
        <v>5</v>
      </c>
      <c r="CQ47" s="418"/>
      <c r="CR47" s="394">
        <f>CP47+CQ47</f>
        <v>5</v>
      </c>
      <c r="CS47" s="419">
        <v>5</v>
      </c>
      <c r="CT47" s="418"/>
      <c r="CU47" s="394">
        <f>CS47+CT47</f>
        <v>5</v>
      </c>
      <c r="CV47" s="417"/>
      <c r="CW47" s="399"/>
      <c r="CX47" s="399"/>
      <c r="CY47" s="396">
        <f>CS47+CV47</f>
        <v>5</v>
      </c>
      <c r="CZ47" s="399"/>
      <c r="DA47" s="101">
        <f>CU47+CX47</f>
        <v>5</v>
      </c>
      <c r="DB47" s="397">
        <f>CY47/CP47</f>
        <v>1</v>
      </c>
      <c r="DC47" s="399"/>
      <c r="DD47" s="397">
        <f>DA47/CR47</f>
        <v>1</v>
      </c>
      <c r="DE47" s="419">
        <v>1</v>
      </c>
      <c r="DF47" s="418"/>
      <c r="DG47" s="394">
        <f>DE47+DF47</f>
        <v>1</v>
      </c>
      <c r="DH47" s="419">
        <v>1</v>
      </c>
      <c r="DI47" s="418"/>
      <c r="DJ47" s="394">
        <f>DH47+DI47</f>
        <v>1</v>
      </c>
      <c r="DK47" s="418"/>
      <c r="DL47" s="418"/>
      <c r="DM47" s="399"/>
      <c r="DN47" s="396">
        <f t="shared" ref="DN47" si="1092">DH47+DK47</f>
        <v>1</v>
      </c>
      <c r="DO47" s="418"/>
      <c r="DP47" s="101">
        <f>DJ47+DM47</f>
        <v>1</v>
      </c>
      <c r="DQ47" s="397">
        <f>DN47/DE47</f>
        <v>1</v>
      </c>
      <c r="DR47" s="418"/>
      <c r="DS47" s="397">
        <f>DP47/DG47</f>
        <v>1</v>
      </c>
      <c r="DT47" s="101">
        <f t="shared" ref="DT47" si="1093">CP47+DE47</f>
        <v>6</v>
      </c>
      <c r="DU47" s="422"/>
      <c r="DV47" s="101">
        <f>CR47+DG47</f>
        <v>6</v>
      </c>
      <c r="DW47" s="101">
        <f>CS47+DH47</f>
        <v>6</v>
      </c>
      <c r="DX47" s="422"/>
      <c r="DY47" s="101">
        <f>CU47+DJ47</f>
        <v>6</v>
      </c>
      <c r="DZ47" s="399"/>
      <c r="EA47" s="399"/>
      <c r="EB47" s="399"/>
      <c r="EC47" s="101">
        <f t="shared" ref="EC47" si="1094">CY47+DN47</f>
        <v>6</v>
      </c>
      <c r="ED47" s="422"/>
      <c r="EE47" s="101">
        <f>DA47+DP47</f>
        <v>6</v>
      </c>
      <c r="EF47" s="397">
        <f>EC47/DT47</f>
        <v>1</v>
      </c>
      <c r="EG47" s="422"/>
      <c r="EH47" s="397">
        <f>EE47/DV47</f>
        <v>1</v>
      </c>
      <c r="EI47" s="101">
        <f t="shared" si="53"/>
        <v>773</v>
      </c>
      <c r="EJ47" s="101">
        <f t="shared" si="54"/>
        <v>64</v>
      </c>
      <c r="EK47" s="101">
        <f t="shared" si="55"/>
        <v>837</v>
      </c>
      <c r="EL47" s="272">
        <v>212</v>
      </c>
      <c r="EM47" s="272">
        <v>17</v>
      </c>
      <c r="EN47" s="272">
        <f>EL47+EM47</f>
        <v>229</v>
      </c>
      <c r="EO47" s="413">
        <f t="shared" ref="EO47" si="1095">+EL47*100/EI47</f>
        <v>27.42561448900388</v>
      </c>
      <c r="EP47" s="425">
        <f t="shared" ref="EP47" si="1096">+EM47*100/EJ47</f>
        <v>26.5625</v>
      </c>
      <c r="EQ47" s="425">
        <f t="shared" ref="EQ47" si="1097">+EN47*100/EK47</f>
        <v>27.359617682198326</v>
      </c>
      <c r="ER47" s="101">
        <f t="shared" si="564"/>
        <v>36</v>
      </c>
      <c r="ES47" s="101">
        <f t="shared" si="565"/>
        <v>21</v>
      </c>
      <c r="ET47" s="101">
        <f t="shared" si="566"/>
        <v>57</v>
      </c>
      <c r="EU47" s="272">
        <v>2</v>
      </c>
      <c r="EV47" s="272">
        <v>2</v>
      </c>
      <c r="EW47" s="272">
        <f t="shared" ref="EW47" si="1098">EU47+EV47</f>
        <v>4</v>
      </c>
      <c r="EX47" s="425">
        <f t="shared" ref="EX47" si="1099">+EU47*100/ER47</f>
        <v>5.5555555555555554</v>
      </c>
      <c r="EY47" s="425">
        <f t="shared" ref="EY47" si="1100">+EV47*100/ES47</f>
        <v>9.5238095238095237</v>
      </c>
      <c r="EZ47" s="425">
        <f t="shared" ref="EZ47" si="1101">+EW47*100/ET47</f>
        <v>7.0175438596491224</v>
      </c>
      <c r="FA47" s="101">
        <f>+EC47</f>
        <v>6</v>
      </c>
      <c r="FB47" s="422"/>
      <c r="FC47" s="101">
        <f>+EE47</f>
        <v>6</v>
      </c>
      <c r="FD47" s="422"/>
      <c r="FE47" s="422"/>
      <c r="FF47" s="422"/>
      <c r="FG47" s="422"/>
      <c r="FH47" s="423"/>
      <c r="FI47" s="422"/>
      <c r="FJ47"/>
      <c r="FK47"/>
      <c r="FL47"/>
      <c r="FM47"/>
      <c r="FN47"/>
      <c r="FO47"/>
    </row>
    <row r="48" spans="1:171" s="362" customFormat="1" ht="28.5">
      <c r="A48" s="393">
        <v>41</v>
      </c>
      <c r="B48" s="235" t="s">
        <v>398</v>
      </c>
      <c r="C48" s="221" t="s">
        <v>314</v>
      </c>
      <c r="D48" s="388">
        <v>437437</v>
      </c>
      <c r="E48" s="388">
        <v>565437</v>
      </c>
      <c r="F48" s="394">
        <f t="shared" ref="F48:F49" si="1102">D48+E48</f>
        <v>1002874</v>
      </c>
      <c r="G48" s="389">
        <v>387056</v>
      </c>
      <c r="H48" s="389">
        <v>455709</v>
      </c>
      <c r="I48" s="394">
        <f t="shared" si="1065"/>
        <v>842765</v>
      </c>
      <c r="J48" s="402"/>
      <c r="K48" s="402"/>
      <c r="L48" s="402"/>
      <c r="M48" s="396">
        <f t="shared" si="165"/>
        <v>387056</v>
      </c>
      <c r="N48" s="101">
        <f t="shared" si="166"/>
        <v>455709</v>
      </c>
      <c r="O48" s="101">
        <f t="shared" si="167"/>
        <v>842765</v>
      </c>
      <c r="P48" s="397">
        <f t="shared" si="168"/>
        <v>0.88482684363691233</v>
      </c>
      <c r="Q48" s="397">
        <f t="shared" si="169"/>
        <v>0.80594124544378953</v>
      </c>
      <c r="R48" s="397">
        <f t="shared" si="170"/>
        <v>0.84034983457543022</v>
      </c>
      <c r="S48" s="388">
        <v>517</v>
      </c>
      <c r="T48" s="388">
        <v>219</v>
      </c>
      <c r="U48" s="394">
        <f t="shared" si="4"/>
        <v>736</v>
      </c>
      <c r="V48" s="389">
        <v>422</v>
      </c>
      <c r="W48" s="389">
        <v>130</v>
      </c>
      <c r="X48" s="394">
        <f t="shared" si="5"/>
        <v>552</v>
      </c>
      <c r="Y48" s="399"/>
      <c r="Z48" s="399"/>
      <c r="AA48" s="399"/>
      <c r="AB48" s="396">
        <f t="shared" si="171"/>
        <v>422</v>
      </c>
      <c r="AC48" s="101">
        <f t="shared" si="172"/>
        <v>130</v>
      </c>
      <c r="AD48" s="101">
        <f t="shared" si="173"/>
        <v>552</v>
      </c>
      <c r="AE48" s="397">
        <f t="shared" si="174"/>
        <v>0.81624758220502902</v>
      </c>
      <c r="AF48" s="397">
        <f t="shared" si="175"/>
        <v>0.59360730593607303</v>
      </c>
      <c r="AG48" s="397">
        <f t="shared" si="176"/>
        <v>0.75</v>
      </c>
      <c r="AH48" s="101">
        <f t="shared" si="80"/>
        <v>437954</v>
      </c>
      <c r="AI48" s="101">
        <f t="shared" si="81"/>
        <v>565656</v>
      </c>
      <c r="AJ48" s="101">
        <f t="shared" si="82"/>
        <v>1003610</v>
      </c>
      <c r="AK48" s="101">
        <f t="shared" si="83"/>
        <v>387478</v>
      </c>
      <c r="AL48" s="101">
        <f t="shared" si="84"/>
        <v>455839</v>
      </c>
      <c r="AM48" s="101">
        <f t="shared" si="85"/>
        <v>843317</v>
      </c>
      <c r="AN48" s="398"/>
      <c r="AO48" s="398"/>
      <c r="AP48" s="398"/>
      <c r="AQ48" s="101">
        <f t="shared" si="89"/>
        <v>387478</v>
      </c>
      <c r="AR48" s="101">
        <f t="shared" si="90"/>
        <v>455839</v>
      </c>
      <c r="AS48" s="101">
        <f t="shared" si="91"/>
        <v>843317</v>
      </c>
      <c r="AT48" s="397">
        <f t="shared" si="92"/>
        <v>0.88474588655429565</v>
      </c>
      <c r="AU48" s="397">
        <f t="shared" si="93"/>
        <v>0.80585903800189518</v>
      </c>
      <c r="AV48" s="397">
        <f t="shared" si="94"/>
        <v>0.8402835762895946</v>
      </c>
      <c r="AW48" s="388">
        <v>127252</v>
      </c>
      <c r="AX48" s="388">
        <v>160325</v>
      </c>
      <c r="AY48" s="394">
        <f t="shared" si="15"/>
        <v>287577</v>
      </c>
      <c r="AZ48" s="389">
        <v>108128</v>
      </c>
      <c r="BA48" s="389">
        <v>122067</v>
      </c>
      <c r="BB48" s="394">
        <f t="shared" si="16"/>
        <v>230195</v>
      </c>
      <c r="BC48" s="399"/>
      <c r="BD48" s="399"/>
      <c r="BE48" s="399"/>
      <c r="BF48" s="396">
        <f t="shared" si="177"/>
        <v>108128</v>
      </c>
      <c r="BG48" s="101">
        <f t="shared" si="178"/>
        <v>122067</v>
      </c>
      <c r="BH48" s="101">
        <f t="shared" si="179"/>
        <v>230195</v>
      </c>
      <c r="BI48" s="397">
        <f t="shared" si="180"/>
        <v>0.84971552509980197</v>
      </c>
      <c r="BJ48" s="397">
        <f t="shared" si="181"/>
        <v>0.7613722126929674</v>
      </c>
      <c r="BK48" s="397">
        <f t="shared" si="182"/>
        <v>0.80046387576196987</v>
      </c>
      <c r="BL48" s="388">
        <v>47</v>
      </c>
      <c r="BM48" s="388">
        <v>32</v>
      </c>
      <c r="BN48" s="394">
        <f t="shared" si="24"/>
        <v>79</v>
      </c>
      <c r="BO48" s="389">
        <v>40</v>
      </c>
      <c r="BP48" s="389">
        <v>18</v>
      </c>
      <c r="BQ48" s="394">
        <f t="shared" si="25"/>
        <v>58</v>
      </c>
      <c r="BR48" s="417"/>
      <c r="BS48" s="417"/>
      <c r="BT48" s="417"/>
      <c r="BU48" s="396">
        <f t="shared" si="183"/>
        <v>40</v>
      </c>
      <c r="BV48" s="101">
        <f t="shared" si="184"/>
        <v>18</v>
      </c>
      <c r="BW48" s="101">
        <f t="shared" si="185"/>
        <v>58</v>
      </c>
      <c r="BX48" s="397">
        <f t="shared" si="186"/>
        <v>0.85106382978723405</v>
      </c>
      <c r="BY48" s="397">
        <f t="shared" si="187"/>
        <v>0.5625</v>
      </c>
      <c r="BZ48" s="397">
        <f t="shared" si="188"/>
        <v>0.73417721518987344</v>
      </c>
      <c r="CA48" s="101">
        <f t="shared" si="108"/>
        <v>127299</v>
      </c>
      <c r="CB48" s="101">
        <f t="shared" si="109"/>
        <v>160357</v>
      </c>
      <c r="CC48" s="101">
        <f t="shared" si="110"/>
        <v>287656</v>
      </c>
      <c r="CD48" s="101">
        <f t="shared" si="111"/>
        <v>108168</v>
      </c>
      <c r="CE48" s="101">
        <f t="shared" si="112"/>
        <v>122085</v>
      </c>
      <c r="CF48" s="101">
        <f t="shared" si="113"/>
        <v>230253</v>
      </c>
      <c r="CG48" s="399"/>
      <c r="CH48" s="399"/>
      <c r="CI48" s="399"/>
      <c r="CJ48" s="101">
        <f t="shared" si="117"/>
        <v>108168</v>
      </c>
      <c r="CK48" s="101">
        <f t="shared" si="118"/>
        <v>122085</v>
      </c>
      <c r="CL48" s="101">
        <f t="shared" si="119"/>
        <v>230253</v>
      </c>
      <c r="CM48" s="397">
        <f t="shared" si="120"/>
        <v>0.84971602290670001</v>
      </c>
      <c r="CN48" s="397">
        <f t="shared" si="121"/>
        <v>0.76133252679957841</v>
      </c>
      <c r="CO48" s="397">
        <f t="shared" si="122"/>
        <v>0.80044567121839971</v>
      </c>
      <c r="CP48" s="428">
        <v>25579</v>
      </c>
      <c r="CQ48" s="428">
        <v>34335</v>
      </c>
      <c r="CR48" s="394">
        <f t="shared" si="189"/>
        <v>59914</v>
      </c>
      <c r="CS48" s="389">
        <v>19513</v>
      </c>
      <c r="CT48" s="389">
        <v>22629</v>
      </c>
      <c r="CU48" s="394">
        <f t="shared" si="35"/>
        <v>42142</v>
      </c>
      <c r="CV48" s="417"/>
      <c r="CW48" s="417"/>
      <c r="CX48" s="417"/>
      <c r="CY48" s="396">
        <f t="shared" si="190"/>
        <v>19513</v>
      </c>
      <c r="CZ48" s="101">
        <f t="shared" si="191"/>
        <v>22629</v>
      </c>
      <c r="DA48" s="101">
        <f t="shared" si="192"/>
        <v>42142</v>
      </c>
      <c r="DB48" s="397">
        <f t="shared" si="193"/>
        <v>0.76285233981000045</v>
      </c>
      <c r="DC48" s="397">
        <f t="shared" si="194"/>
        <v>0.65906509392747925</v>
      </c>
      <c r="DD48" s="397">
        <f t="shared" si="195"/>
        <v>0.70337483726674899</v>
      </c>
      <c r="DE48" s="419">
        <v>5</v>
      </c>
      <c r="DF48" s="419">
        <v>2</v>
      </c>
      <c r="DG48" s="394">
        <f t="shared" si="43"/>
        <v>7</v>
      </c>
      <c r="DH48" s="419">
        <v>3</v>
      </c>
      <c r="DI48" s="419">
        <v>1</v>
      </c>
      <c r="DJ48" s="394">
        <f t="shared" si="44"/>
        <v>4</v>
      </c>
      <c r="DK48" s="399"/>
      <c r="DL48" s="399"/>
      <c r="DM48" s="399"/>
      <c r="DN48" s="396">
        <f t="shared" si="1075"/>
        <v>3</v>
      </c>
      <c r="DO48" s="101">
        <f t="shared" si="1076"/>
        <v>1</v>
      </c>
      <c r="DP48" s="101">
        <f t="shared" ref="DP48" si="1103">DJ48+DM48</f>
        <v>4</v>
      </c>
      <c r="DQ48" s="397">
        <f t="shared" si="199"/>
        <v>0.6</v>
      </c>
      <c r="DR48" s="397">
        <f t="shared" si="200"/>
        <v>0.5</v>
      </c>
      <c r="DS48" s="397">
        <f t="shared" si="201"/>
        <v>0.5714285714285714</v>
      </c>
      <c r="DT48" s="101">
        <f t="shared" si="579"/>
        <v>25584</v>
      </c>
      <c r="DU48" s="101">
        <f t="shared" si="580"/>
        <v>34337</v>
      </c>
      <c r="DV48" s="101">
        <f t="shared" si="554"/>
        <v>59921</v>
      </c>
      <c r="DW48" s="101">
        <f t="shared" si="582"/>
        <v>19516</v>
      </c>
      <c r="DX48" s="272">
        <f t="shared" si="583"/>
        <v>22630</v>
      </c>
      <c r="DY48" s="101">
        <f t="shared" si="557"/>
        <v>42146</v>
      </c>
      <c r="DZ48" s="414"/>
      <c r="EA48" s="414"/>
      <c r="EB48" s="414"/>
      <c r="EC48" s="101">
        <f t="shared" ref="EC48" si="1104">CY48+DN48</f>
        <v>19516</v>
      </c>
      <c r="ED48" s="101">
        <f t="shared" ref="ED48" si="1105">CZ48+DO48</f>
        <v>22630</v>
      </c>
      <c r="EE48" s="101">
        <f t="shared" si="403"/>
        <v>42146</v>
      </c>
      <c r="EF48" s="397">
        <f t="shared" si="404"/>
        <v>0.76282051282051277</v>
      </c>
      <c r="EG48" s="397">
        <f t="shared" si="405"/>
        <v>0.65905582898913706</v>
      </c>
      <c r="EH48" s="397">
        <f t="shared" si="406"/>
        <v>0.70335942324060008</v>
      </c>
      <c r="EI48" s="101">
        <f t="shared" si="53"/>
        <v>387478</v>
      </c>
      <c r="EJ48" s="101">
        <f t="shared" si="54"/>
        <v>455839</v>
      </c>
      <c r="EK48" s="101">
        <f t="shared" si="55"/>
        <v>843317</v>
      </c>
      <c r="EL48" s="389">
        <v>66112</v>
      </c>
      <c r="EM48" s="389">
        <v>62521</v>
      </c>
      <c r="EN48" s="101">
        <f t="shared" ref="EN48" si="1106">EL48+EM48</f>
        <v>128633</v>
      </c>
      <c r="EO48" s="413">
        <f t="shared" ref="EO48" si="1107">+EL48*100/EI48</f>
        <v>17.062129978992356</v>
      </c>
      <c r="EP48" s="413">
        <f t="shared" ref="EP48" si="1108">+EM48*100/EJ48</f>
        <v>13.715588179159747</v>
      </c>
      <c r="EQ48" s="413">
        <f t="shared" ref="EQ48" si="1109">+EN48*100/EK48</f>
        <v>15.253220319286816</v>
      </c>
      <c r="ER48" s="101">
        <f t="shared" si="564"/>
        <v>108168</v>
      </c>
      <c r="ES48" s="101">
        <f t="shared" si="565"/>
        <v>122085</v>
      </c>
      <c r="ET48" s="101">
        <f t="shared" si="566"/>
        <v>230253</v>
      </c>
      <c r="EU48" s="389">
        <v>11997</v>
      </c>
      <c r="EV48" s="429">
        <v>10370</v>
      </c>
      <c r="EW48" s="101">
        <f t="shared" ref="EW48" si="1110">EU48+EV48</f>
        <v>22367</v>
      </c>
      <c r="EX48" s="413">
        <f t="shared" ref="EX48" si="1111">+EU48*100/ER48</f>
        <v>11.091080541380075</v>
      </c>
      <c r="EY48" s="413">
        <f t="shared" ref="EY48" si="1112">+EV48*100/ES48</f>
        <v>8.4940819920547153</v>
      </c>
      <c r="EZ48" s="413">
        <f t="shared" ref="EZ48" si="1113">+EW48*100/ET48</f>
        <v>9.7140971018835796</v>
      </c>
      <c r="FA48" s="101">
        <f>+EC48</f>
        <v>19516</v>
      </c>
      <c r="FB48" s="101">
        <f>+ED48</f>
        <v>22630</v>
      </c>
      <c r="FC48" s="101">
        <f>+EE48</f>
        <v>42146</v>
      </c>
      <c r="FD48" s="389">
        <v>1087</v>
      </c>
      <c r="FE48" s="389">
        <v>906</v>
      </c>
      <c r="FF48" s="101">
        <f t="shared" ref="FF48" si="1114">FD48+FE48</f>
        <v>1993</v>
      </c>
      <c r="FG48" s="413">
        <f t="shared" ref="FG48" si="1115">+FD48*100/FA48</f>
        <v>5.5697888911662226</v>
      </c>
      <c r="FH48" s="413">
        <f t="shared" ref="FH48" si="1116">+FE48*100/FB48</f>
        <v>4.0035351303579318</v>
      </c>
      <c r="FI48" s="413">
        <f t="shared" ref="FI48" si="1117">+FF48*100/FC48</f>
        <v>4.7287998861101883</v>
      </c>
    </row>
    <row r="49" spans="1:165" s="362" customFormat="1" ht="28.5">
      <c r="A49" s="393">
        <v>42</v>
      </c>
      <c r="B49" s="411"/>
      <c r="C49" s="221" t="s">
        <v>171</v>
      </c>
      <c r="D49" s="394">
        <v>14364</v>
      </c>
      <c r="E49" s="394">
        <v>34866</v>
      </c>
      <c r="F49" s="394">
        <f t="shared" si="1102"/>
        <v>49230</v>
      </c>
      <c r="G49" s="395">
        <v>12823</v>
      </c>
      <c r="H49" s="394">
        <v>29132</v>
      </c>
      <c r="I49" s="394">
        <f t="shared" ref="I49" si="1118">G49+H49</f>
        <v>41955</v>
      </c>
      <c r="J49" s="402"/>
      <c r="K49" s="402"/>
      <c r="L49" s="402"/>
      <c r="M49" s="396">
        <f t="shared" ref="M49" si="1119">G49+J49</f>
        <v>12823</v>
      </c>
      <c r="N49" s="101">
        <f t="shared" ref="N49" si="1120">H49+K49</f>
        <v>29132</v>
      </c>
      <c r="O49" s="101">
        <f t="shared" ref="O49" si="1121">I49+L49</f>
        <v>41955</v>
      </c>
      <c r="P49" s="397">
        <f t="shared" ref="P49" si="1122">M49/D49</f>
        <v>0.89271790587580058</v>
      </c>
      <c r="Q49" s="397">
        <f t="shared" ref="Q49" si="1123">N49/E49</f>
        <v>0.83554178856192274</v>
      </c>
      <c r="R49" s="397">
        <f t="shared" ref="R49" si="1124">O49/F49</f>
        <v>0.85222425350396103</v>
      </c>
      <c r="S49" s="394">
        <v>1369</v>
      </c>
      <c r="T49" s="394">
        <v>534</v>
      </c>
      <c r="U49" s="394">
        <f t="shared" si="4"/>
        <v>1903</v>
      </c>
      <c r="V49" s="395">
        <v>1050</v>
      </c>
      <c r="W49" s="394">
        <v>473</v>
      </c>
      <c r="X49" s="394">
        <f t="shared" si="5"/>
        <v>1523</v>
      </c>
      <c r="Y49" s="399"/>
      <c r="Z49" s="399"/>
      <c r="AA49" s="399"/>
      <c r="AB49" s="396">
        <f t="shared" ref="AB49" si="1125">V49+Y49</f>
        <v>1050</v>
      </c>
      <c r="AC49" s="101">
        <f t="shared" ref="AC49" si="1126">W49+Z49</f>
        <v>473</v>
      </c>
      <c r="AD49" s="101">
        <f t="shared" ref="AD49" si="1127">X49+AA49</f>
        <v>1523</v>
      </c>
      <c r="AE49" s="397">
        <f t="shared" ref="AE49" si="1128">AB49/S49</f>
        <v>0.76698319941563187</v>
      </c>
      <c r="AF49" s="397">
        <f t="shared" ref="AF49" si="1129">AC49/T49</f>
        <v>0.88576779026217234</v>
      </c>
      <c r="AG49" s="397">
        <f t="shared" ref="AG49" si="1130">AD49/U49</f>
        <v>0.80031529164477144</v>
      </c>
      <c r="AH49" s="101">
        <f t="shared" si="80"/>
        <v>15733</v>
      </c>
      <c r="AI49" s="101">
        <f t="shared" si="81"/>
        <v>35400</v>
      </c>
      <c r="AJ49" s="101">
        <f t="shared" si="82"/>
        <v>51133</v>
      </c>
      <c r="AK49" s="101">
        <f t="shared" si="83"/>
        <v>13873</v>
      </c>
      <c r="AL49" s="101">
        <f t="shared" si="84"/>
        <v>29605</v>
      </c>
      <c r="AM49" s="101">
        <f t="shared" si="85"/>
        <v>43478</v>
      </c>
      <c r="AN49" s="398"/>
      <c r="AO49" s="398"/>
      <c r="AP49" s="398"/>
      <c r="AQ49" s="101">
        <f t="shared" si="89"/>
        <v>13873</v>
      </c>
      <c r="AR49" s="101">
        <f t="shared" si="90"/>
        <v>29605</v>
      </c>
      <c r="AS49" s="101">
        <f t="shared" si="91"/>
        <v>43478</v>
      </c>
      <c r="AT49" s="397">
        <f t="shared" si="92"/>
        <v>0.88177715629568421</v>
      </c>
      <c r="AU49" s="397">
        <f t="shared" si="93"/>
        <v>0.83629943502824855</v>
      </c>
      <c r="AV49" s="397">
        <f t="shared" si="94"/>
        <v>0.85029237478731934</v>
      </c>
      <c r="AW49" s="394">
        <v>290</v>
      </c>
      <c r="AX49" s="394">
        <v>502</v>
      </c>
      <c r="AY49" s="394">
        <f t="shared" si="15"/>
        <v>792</v>
      </c>
      <c r="AZ49" s="395">
        <v>239</v>
      </c>
      <c r="BA49" s="394">
        <v>383</v>
      </c>
      <c r="BB49" s="394">
        <f t="shared" si="16"/>
        <v>622</v>
      </c>
      <c r="BC49" s="399"/>
      <c r="BD49" s="399"/>
      <c r="BE49" s="399"/>
      <c r="BF49" s="396">
        <f t="shared" ref="BF49" si="1131">AZ49+BC49</f>
        <v>239</v>
      </c>
      <c r="BG49" s="101">
        <f t="shared" ref="BG49" si="1132">BA49+BD49</f>
        <v>383</v>
      </c>
      <c r="BH49" s="101">
        <f t="shared" ref="BH49" si="1133">BB49+BE49</f>
        <v>622</v>
      </c>
      <c r="BI49" s="397">
        <f t="shared" ref="BI49" si="1134">BF49/AW49</f>
        <v>0.82413793103448274</v>
      </c>
      <c r="BJ49" s="397">
        <f t="shared" ref="BJ49" si="1135">BG49/AX49</f>
        <v>0.76294820717131473</v>
      </c>
      <c r="BK49" s="397">
        <f t="shared" ref="BK49" si="1136">BH49/AY49</f>
        <v>0.78535353535353536</v>
      </c>
      <c r="BL49" s="394">
        <v>38</v>
      </c>
      <c r="BM49" s="394">
        <v>20</v>
      </c>
      <c r="BN49" s="394">
        <f t="shared" si="24"/>
        <v>58</v>
      </c>
      <c r="BO49" s="395">
        <v>20</v>
      </c>
      <c r="BP49" s="394">
        <v>19</v>
      </c>
      <c r="BQ49" s="394">
        <f t="shared" si="25"/>
        <v>39</v>
      </c>
      <c r="BR49" s="417"/>
      <c r="BS49" s="417"/>
      <c r="BT49" s="417"/>
      <c r="BU49" s="396">
        <f t="shared" ref="BU49" si="1137">BO49+BR49</f>
        <v>20</v>
      </c>
      <c r="BV49" s="101">
        <f t="shared" ref="BV49" si="1138">BP49+BS49</f>
        <v>19</v>
      </c>
      <c r="BW49" s="101">
        <f t="shared" ref="BW49" si="1139">BQ49+BT49</f>
        <v>39</v>
      </c>
      <c r="BX49" s="397">
        <f t="shared" ref="BX49" si="1140">BU49/BL49</f>
        <v>0.52631578947368418</v>
      </c>
      <c r="BY49" s="397">
        <f t="shared" ref="BY49" si="1141">BV49/BM49</f>
        <v>0.95</v>
      </c>
      <c r="BZ49" s="397">
        <f t="shared" ref="BZ49" si="1142">BW49/BN49</f>
        <v>0.67241379310344829</v>
      </c>
      <c r="CA49" s="101">
        <f t="shared" si="108"/>
        <v>328</v>
      </c>
      <c r="CB49" s="101">
        <f t="shared" si="109"/>
        <v>522</v>
      </c>
      <c r="CC49" s="101">
        <f t="shared" si="110"/>
        <v>850</v>
      </c>
      <c r="CD49" s="101">
        <f t="shared" si="111"/>
        <v>259</v>
      </c>
      <c r="CE49" s="101">
        <f t="shared" si="112"/>
        <v>402</v>
      </c>
      <c r="CF49" s="101">
        <f t="shared" si="113"/>
        <v>661</v>
      </c>
      <c r="CG49" s="399"/>
      <c r="CH49" s="399"/>
      <c r="CI49" s="399"/>
      <c r="CJ49" s="101">
        <f t="shared" si="117"/>
        <v>259</v>
      </c>
      <c r="CK49" s="101">
        <f t="shared" si="118"/>
        <v>402</v>
      </c>
      <c r="CL49" s="101">
        <f t="shared" si="119"/>
        <v>661</v>
      </c>
      <c r="CM49" s="397">
        <f t="shared" si="120"/>
        <v>0.78963414634146345</v>
      </c>
      <c r="CN49" s="397">
        <f t="shared" si="121"/>
        <v>0.77011494252873558</v>
      </c>
      <c r="CO49" s="397">
        <f t="shared" si="122"/>
        <v>0.77764705882352936</v>
      </c>
      <c r="CP49" s="394">
        <v>83</v>
      </c>
      <c r="CQ49" s="394">
        <v>145</v>
      </c>
      <c r="CR49" s="394">
        <f>CP49+CQ49</f>
        <v>228</v>
      </c>
      <c r="CS49" s="395">
        <v>70</v>
      </c>
      <c r="CT49" s="394">
        <v>98</v>
      </c>
      <c r="CU49" s="394">
        <f t="shared" si="35"/>
        <v>168</v>
      </c>
      <c r="CV49" s="417"/>
      <c r="CW49" s="417"/>
      <c r="CX49" s="417"/>
      <c r="CY49" s="396">
        <f t="shared" ref="CY49" si="1143">CS49+CV49</f>
        <v>70</v>
      </c>
      <c r="CZ49" s="101">
        <f t="shared" ref="CZ49" si="1144">CT49+CW49</f>
        <v>98</v>
      </c>
      <c r="DA49" s="101">
        <f t="shared" ref="DA49" si="1145">CU49+CX49</f>
        <v>168</v>
      </c>
      <c r="DB49" s="397">
        <f t="shared" ref="DB49" si="1146">CY49/CP49</f>
        <v>0.84337349397590367</v>
      </c>
      <c r="DC49" s="397">
        <f t="shared" ref="DC49" si="1147">CZ49/CQ49</f>
        <v>0.67586206896551726</v>
      </c>
      <c r="DD49" s="397">
        <f t="shared" ref="DD49" si="1148">DA49/CR49</f>
        <v>0.73684210526315785</v>
      </c>
      <c r="DE49" s="394">
        <v>6</v>
      </c>
      <c r="DF49" s="394">
        <v>16</v>
      </c>
      <c r="DG49" s="394">
        <f t="shared" si="43"/>
        <v>22</v>
      </c>
      <c r="DH49" s="395">
        <v>4</v>
      </c>
      <c r="DI49" s="394">
        <v>14</v>
      </c>
      <c r="DJ49" s="394">
        <f t="shared" si="44"/>
        <v>18</v>
      </c>
      <c r="DK49" s="399"/>
      <c r="DL49" s="399"/>
      <c r="DM49" s="399"/>
      <c r="DN49" s="396">
        <f t="shared" ref="DN49" si="1149">DH49+DK49</f>
        <v>4</v>
      </c>
      <c r="DO49" s="101">
        <f t="shared" ref="DO49" si="1150">DI49+DL49</f>
        <v>14</v>
      </c>
      <c r="DP49" s="101">
        <f>DJ49+DM49</f>
        <v>18</v>
      </c>
      <c r="DQ49" s="397">
        <f t="shared" ref="DQ49" si="1151">DN49/DE49</f>
        <v>0.66666666666666663</v>
      </c>
      <c r="DR49" s="397">
        <f t="shared" ref="DR49" si="1152">DO49/DF49</f>
        <v>0.875</v>
      </c>
      <c r="DS49" s="397">
        <f t="shared" ref="DS49" si="1153">DP49/DG49</f>
        <v>0.81818181818181823</v>
      </c>
      <c r="DT49" s="101">
        <f t="shared" ref="DT49" si="1154">CP49+DE49</f>
        <v>89</v>
      </c>
      <c r="DU49" s="101">
        <f t="shared" ref="DU49" si="1155">CQ49+DF49</f>
        <v>161</v>
      </c>
      <c r="DV49" s="101">
        <f t="shared" ref="DV49" si="1156">CR49+DG49</f>
        <v>250</v>
      </c>
      <c r="DW49" s="101">
        <f t="shared" ref="DW49" si="1157">CS49+DH49</f>
        <v>74</v>
      </c>
      <c r="DX49" s="101">
        <f t="shared" ref="DX49" si="1158">CT49+DI49</f>
        <v>112</v>
      </c>
      <c r="DY49" s="101">
        <f t="shared" ref="DY49" si="1159">CU49+DJ49</f>
        <v>186</v>
      </c>
      <c r="DZ49" s="399"/>
      <c r="EA49" s="399"/>
      <c r="EB49" s="399"/>
      <c r="EC49" s="101">
        <f t="shared" ref="EC49" si="1160">CY49+DN49</f>
        <v>74</v>
      </c>
      <c r="ED49" s="101">
        <f t="shared" ref="ED49" si="1161">CZ49+DO49</f>
        <v>112</v>
      </c>
      <c r="EE49" s="101">
        <f t="shared" ref="EE49" si="1162">DA49+DP49</f>
        <v>186</v>
      </c>
      <c r="EF49" s="397">
        <f t="shared" ref="EF49" si="1163">EC49/DT49</f>
        <v>0.8314606741573034</v>
      </c>
      <c r="EG49" s="397">
        <f t="shared" ref="EG49" si="1164">ED49/DU49</f>
        <v>0.69565217391304346</v>
      </c>
      <c r="EH49" s="397">
        <f t="shared" ref="EH49" si="1165">EE49/DV49</f>
        <v>0.74399999999999999</v>
      </c>
      <c r="EI49" s="101">
        <f t="shared" si="53"/>
        <v>13873</v>
      </c>
      <c r="EJ49" s="101">
        <f t="shared" si="54"/>
        <v>29605</v>
      </c>
      <c r="EK49" s="101">
        <f t="shared" si="55"/>
        <v>43478</v>
      </c>
      <c r="EL49" s="101">
        <v>1258</v>
      </c>
      <c r="EM49" s="101">
        <v>2252</v>
      </c>
      <c r="EN49" s="101">
        <f t="shared" ref="EN49" si="1166">EL49+EM49</f>
        <v>3510</v>
      </c>
      <c r="EO49" s="413">
        <f t="shared" ref="EO49" si="1167">+EL49*100/EI49</f>
        <v>9.0679737619837102</v>
      </c>
      <c r="EP49" s="413">
        <f t="shared" ref="EP49" si="1168">+EM49*100/EJ49</f>
        <v>7.6068231717615271</v>
      </c>
      <c r="EQ49" s="413">
        <f t="shared" ref="EQ49" si="1169">+EN49*100/EK49</f>
        <v>8.0730484382906305</v>
      </c>
      <c r="ER49" s="101">
        <f t="shared" si="564"/>
        <v>259</v>
      </c>
      <c r="ES49" s="101">
        <f t="shared" si="565"/>
        <v>402</v>
      </c>
      <c r="ET49" s="101">
        <f t="shared" si="566"/>
        <v>661</v>
      </c>
      <c r="EU49" s="101">
        <v>3</v>
      </c>
      <c r="EV49" s="101">
        <v>13</v>
      </c>
      <c r="EW49" s="101">
        <f t="shared" ref="EW49" si="1170">EU49+EV49</f>
        <v>16</v>
      </c>
      <c r="EX49" s="413">
        <f t="shared" ref="EX49" si="1171">+EU49*100/ER49</f>
        <v>1.1583011583011582</v>
      </c>
      <c r="EY49" s="413">
        <f t="shared" ref="EY49" si="1172">+EV49*100/ES49</f>
        <v>3.2338308457711444</v>
      </c>
      <c r="EZ49" s="413">
        <f t="shared" ref="EZ49" si="1173">+EW49*100/ET49</f>
        <v>2.4205748865355523</v>
      </c>
      <c r="FA49" s="101">
        <f>+EC49</f>
        <v>74</v>
      </c>
      <c r="FB49" s="101">
        <f>+ED49</f>
        <v>112</v>
      </c>
      <c r="FC49" s="101">
        <f>+EE49</f>
        <v>186</v>
      </c>
      <c r="FD49" s="101">
        <v>3</v>
      </c>
      <c r="FE49" s="414"/>
      <c r="FF49" s="101">
        <f t="shared" ref="FF49" si="1174">FD49+FE49</f>
        <v>3</v>
      </c>
      <c r="FG49" s="413">
        <f t="shared" ref="FG49" si="1175">+FD49*100/FA49</f>
        <v>4.0540540540540544</v>
      </c>
      <c r="FH49" s="414"/>
      <c r="FI49" s="413">
        <f t="shared" ref="FI49" si="1176">+FF49*100/FC49</f>
        <v>1.6129032258064515</v>
      </c>
    </row>
    <row r="50" spans="1:165">
      <c r="A50" s="453" t="s">
        <v>3</v>
      </c>
      <c r="B50" s="453"/>
      <c r="C50" s="453"/>
      <c r="D50" s="352">
        <f t="shared" ref="D50:O50" si="1177">SUM(D8:D49)</f>
        <v>9397382</v>
      </c>
      <c r="E50" s="352">
        <f t="shared" si="1177"/>
        <v>8585191</v>
      </c>
      <c r="F50" s="352">
        <f t="shared" si="1177"/>
        <v>17982573</v>
      </c>
      <c r="G50" s="352">
        <f t="shared" si="1177"/>
        <v>7820377</v>
      </c>
      <c r="H50" s="352">
        <f t="shared" si="1177"/>
        <v>7377237</v>
      </c>
      <c r="I50" s="352">
        <f t="shared" si="1177"/>
        <v>15197614</v>
      </c>
      <c r="J50" s="352">
        <f t="shared" si="1177"/>
        <v>130501</v>
      </c>
      <c r="K50" s="352">
        <f t="shared" si="1177"/>
        <v>99646</v>
      </c>
      <c r="L50" s="352">
        <f t="shared" si="1177"/>
        <v>230147</v>
      </c>
      <c r="M50" s="352">
        <f t="shared" si="1177"/>
        <v>7950878</v>
      </c>
      <c r="N50" s="352">
        <f t="shared" si="1177"/>
        <v>7476883</v>
      </c>
      <c r="O50" s="352">
        <f t="shared" si="1177"/>
        <v>15427761</v>
      </c>
      <c r="P50" s="353">
        <f>M50/D50</f>
        <v>0.84607372563975791</v>
      </c>
      <c r="Q50" s="353">
        <f>N50/E50</f>
        <v>0.87090467760123214</v>
      </c>
      <c r="R50" s="353">
        <f>O50/F50</f>
        <v>0.85792845106203652</v>
      </c>
      <c r="S50" s="430">
        <f t="shared" ref="S50:AD50" si="1178">SUM(S8:S49)</f>
        <v>438269</v>
      </c>
      <c r="T50" s="430">
        <f t="shared" si="1178"/>
        <v>258687</v>
      </c>
      <c r="U50" s="430">
        <f t="shared" si="1178"/>
        <v>696956</v>
      </c>
      <c r="V50" s="430">
        <f t="shared" si="1178"/>
        <v>190296</v>
      </c>
      <c r="W50" s="430">
        <f t="shared" si="1178"/>
        <v>118138</v>
      </c>
      <c r="X50" s="430">
        <f t="shared" si="1178"/>
        <v>308434</v>
      </c>
      <c r="Y50" s="430">
        <f t="shared" si="1178"/>
        <v>20822</v>
      </c>
      <c r="Z50" s="430">
        <f t="shared" si="1178"/>
        <v>11177</v>
      </c>
      <c r="AA50" s="430">
        <f t="shared" si="1178"/>
        <v>31999</v>
      </c>
      <c r="AB50" s="430">
        <f t="shared" si="1178"/>
        <v>211118</v>
      </c>
      <c r="AC50" s="430">
        <f t="shared" si="1178"/>
        <v>129315</v>
      </c>
      <c r="AD50" s="430">
        <f t="shared" si="1178"/>
        <v>340433</v>
      </c>
      <c r="AE50" s="431">
        <f t="shared" ref="AE50" si="1179">AB50/S50</f>
        <v>0.48170872226874362</v>
      </c>
      <c r="AF50" s="431">
        <f t="shared" ref="AF50" si="1180">AC50/T50</f>
        <v>0.49988982824803718</v>
      </c>
      <c r="AG50" s="431">
        <f t="shared" ref="AG50" si="1181">AD50/U50</f>
        <v>0.48845694706695975</v>
      </c>
      <c r="AH50" s="430">
        <f t="shared" ref="AH50:AS50" si="1182">SUM(AH8:AH49)</f>
        <v>9835651</v>
      </c>
      <c r="AI50" s="430">
        <f t="shared" si="1182"/>
        <v>8843878</v>
      </c>
      <c r="AJ50" s="430">
        <f t="shared" si="1182"/>
        <v>18679529</v>
      </c>
      <c r="AK50" s="430">
        <f t="shared" si="1182"/>
        <v>8010673</v>
      </c>
      <c r="AL50" s="430">
        <f t="shared" si="1182"/>
        <v>7495375</v>
      </c>
      <c r="AM50" s="430">
        <f t="shared" si="1182"/>
        <v>15506048</v>
      </c>
      <c r="AN50" s="430">
        <f t="shared" si="1182"/>
        <v>151323</v>
      </c>
      <c r="AO50" s="430">
        <f t="shared" si="1182"/>
        <v>110823</v>
      </c>
      <c r="AP50" s="430">
        <f t="shared" si="1182"/>
        <v>262146</v>
      </c>
      <c r="AQ50" s="430">
        <f t="shared" si="1182"/>
        <v>8161996</v>
      </c>
      <c r="AR50" s="430">
        <f t="shared" si="1182"/>
        <v>7606198</v>
      </c>
      <c r="AS50" s="430">
        <f t="shared" si="1182"/>
        <v>15768194</v>
      </c>
      <c r="AT50" s="431">
        <f t="shared" ref="AT50:AV50" si="1183">AQ50/AH50</f>
        <v>0.82983790295121285</v>
      </c>
      <c r="AU50" s="431">
        <f t="shared" si="1183"/>
        <v>0.86005234355335969</v>
      </c>
      <c r="AV50" s="431">
        <f t="shared" si="1183"/>
        <v>0.84414301880952136</v>
      </c>
      <c r="AW50" s="430">
        <f t="shared" ref="AW50:BH50" si="1184">SUM(AW8:AW49)</f>
        <v>1637355</v>
      </c>
      <c r="AX50" s="430">
        <f t="shared" si="1184"/>
        <v>1540080</v>
      </c>
      <c r="AY50" s="430">
        <f t="shared" si="1184"/>
        <v>3177435</v>
      </c>
      <c r="AZ50" s="430">
        <f t="shared" si="1184"/>
        <v>1315111</v>
      </c>
      <c r="BA50" s="430">
        <f t="shared" si="1184"/>
        <v>1269040</v>
      </c>
      <c r="BB50" s="430">
        <f t="shared" si="1184"/>
        <v>2584151</v>
      </c>
      <c r="BC50" s="430">
        <f t="shared" si="1184"/>
        <v>20857</v>
      </c>
      <c r="BD50" s="430">
        <f t="shared" si="1184"/>
        <v>17379</v>
      </c>
      <c r="BE50" s="430">
        <f t="shared" si="1184"/>
        <v>38236</v>
      </c>
      <c r="BF50" s="430">
        <f t="shared" si="1184"/>
        <v>1335968</v>
      </c>
      <c r="BG50" s="430">
        <f t="shared" si="1184"/>
        <v>1286419</v>
      </c>
      <c r="BH50" s="430">
        <f t="shared" si="1184"/>
        <v>2622387</v>
      </c>
      <c r="BI50" s="431">
        <f t="shared" ref="BI50" si="1185">BF50/AW50</f>
        <v>0.81593057095132093</v>
      </c>
      <c r="BJ50" s="431">
        <f t="shared" ref="BJ50" si="1186">BG50/AX50</f>
        <v>0.83529362111059169</v>
      </c>
      <c r="BK50" s="431">
        <f t="shared" ref="BK50" si="1187">BH50/AY50</f>
        <v>0.82531570276024524</v>
      </c>
      <c r="BL50" s="430">
        <f t="shared" ref="BL50:BW50" si="1188">SUM(BL8:BL49)</f>
        <v>64648</v>
      </c>
      <c r="BM50" s="430">
        <f t="shared" si="1188"/>
        <v>37893</v>
      </c>
      <c r="BN50" s="430">
        <f t="shared" si="1188"/>
        <v>102541</v>
      </c>
      <c r="BO50" s="430">
        <f t="shared" si="1188"/>
        <v>20582</v>
      </c>
      <c r="BP50" s="430">
        <f t="shared" si="1188"/>
        <v>12799</v>
      </c>
      <c r="BQ50" s="430">
        <f t="shared" si="1188"/>
        <v>33381</v>
      </c>
      <c r="BR50" s="430">
        <f t="shared" si="1188"/>
        <v>3916</v>
      </c>
      <c r="BS50" s="430">
        <f t="shared" si="1188"/>
        <v>2361</v>
      </c>
      <c r="BT50" s="430">
        <f t="shared" si="1188"/>
        <v>6277</v>
      </c>
      <c r="BU50" s="430">
        <f t="shared" si="1188"/>
        <v>24498</v>
      </c>
      <c r="BV50" s="430">
        <f t="shared" si="1188"/>
        <v>15160</v>
      </c>
      <c r="BW50" s="430">
        <f t="shared" si="1188"/>
        <v>39658</v>
      </c>
      <c r="BX50" s="431">
        <f t="shared" ref="BX50" si="1189">BU50/BL50</f>
        <v>0.37894443756960772</v>
      </c>
      <c r="BY50" s="431">
        <f t="shared" ref="BY50" si="1190">BV50/BM50</f>
        <v>0.40007389227561818</v>
      </c>
      <c r="BZ50" s="431">
        <f t="shared" ref="BZ50" si="1191">BW50/BN50</f>
        <v>0.38675261602676003</v>
      </c>
      <c r="CA50" s="430">
        <f t="shared" ref="CA50:CL50" si="1192">SUM(CA8:CA49)</f>
        <v>1702003</v>
      </c>
      <c r="CB50" s="430">
        <f t="shared" si="1192"/>
        <v>1577973</v>
      </c>
      <c r="CC50" s="430">
        <f t="shared" si="1192"/>
        <v>3279976</v>
      </c>
      <c r="CD50" s="430">
        <f t="shared" si="1192"/>
        <v>1335693</v>
      </c>
      <c r="CE50" s="430">
        <f t="shared" si="1192"/>
        <v>1281839</v>
      </c>
      <c r="CF50" s="430">
        <f t="shared" si="1192"/>
        <v>2617532</v>
      </c>
      <c r="CG50" s="430">
        <f t="shared" si="1192"/>
        <v>24773</v>
      </c>
      <c r="CH50" s="430">
        <f t="shared" si="1192"/>
        <v>19740</v>
      </c>
      <c r="CI50" s="430">
        <f t="shared" si="1192"/>
        <v>44513</v>
      </c>
      <c r="CJ50" s="430">
        <f t="shared" si="1192"/>
        <v>1360466</v>
      </c>
      <c r="CK50" s="430">
        <f t="shared" si="1192"/>
        <v>1301579</v>
      </c>
      <c r="CL50" s="430">
        <f t="shared" si="1192"/>
        <v>2662045</v>
      </c>
      <c r="CM50" s="431">
        <f t="shared" ref="CM50:CO50" si="1193">CJ50/CA50</f>
        <v>0.79933231610050037</v>
      </c>
      <c r="CN50" s="431">
        <f t="shared" si="1193"/>
        <v>0.8248423768974501</v>
      </c>
      <c r="CO50" s="431">
        <f t="shared" si="1193"/>
        <v>0.81160502393919953</v>
      </c>
      <c r="CP50" s="430">
        <f t="shared" ref="CP50:DA50" si="1194">SUM(CP8:CP49)</f>
        <v>665150</v>
      </c>
      <c r="CQ50" s="430">
        <f t="shared" si="1194"/>
        <v>674959</v>
      </c>
      <c r="CR50" s="430">
        <f t="shared" si="1194"/>
        <v>1340109</v>
      </c>
      <c r="CS50" s="430">
        <f t="shared" si="1194"/>
        <v>485054</v>
      </c>
      <c r="CT50" s="430">
        <f t="shared" si="1194"/>
        <v>500774</v>
      </c>
      <c r="CU50" s="430">
        <f t="shared" si="1194"/>
        <v>985828</v>
      </c>
      <c r="CV50" s="430">
        <f t="shared" si="1194"/>
        <v>15858</v>
      </c>
      <c r="CW50" s="430">
        <f t="shared" si="1194"/>
        <v>16388</v>
      </c>
      <c r="CX50" s="430">
        <f t="shared" si="1194"/>
        <v>32246</v>
      </c>
      <c r="CY50" s="430">
        <f t="shared" si="1194"/>
        <v>500912</v>
      </c>
      <c r="CZ50" s="430">
        <f t="shared" si="1194"/>
        <v>517162</v>
      </c>
      <c r="DA50" s="430">
        <f t="shared" si="1194"/>
        <v>1018074</v>
      </c>
      <c r="DB50" s="431">
        <f t="shared" ref="DB50" si="1195">CY50/CP50</f>
        <v>0.75308125986619556</v>
      </c>
      <c r="DC50" s="431">
        <f t="shared" ref="DC50" si="1196">CZ50/CQ50</f>
        <v>0.7662124662386901</v>
      </c>
      <c r="DD50" s="431">
        <f t="shared" ref="DD50" si="1197">DA50/CR50</f>
        <v>0.75969492033856945</v>
      </c>
      <c r="DE50" s="430">
        <f t="shared" ref="DE50:DP50" si="1198">SUM(DE8:DE49)</f>
        <v>52666</v>
      </c>
      <c r="DF50" s="430">
        <f t="shared" si="1198"/>
        <v>41757</v>
      </c>
      <c r="DG50" s="430">
        <f t="shared" si="1198"/>
        <v>94423</v>
      </c>
      <c r="DH50" s="430">
        <f t="shared" si="1198"/>
        <v>14103</v>
      </c>
      <c r="DI50" s="430">
        <f t="shared" si="1198"/>
        <v>12050</v>
      </c>
      <c r="DJ50" s="430">
        <f t="shared" si="1198"/>
        <v>26153</v>
      </c>
      <c r="DK50" s="430">
        <f t="shared" si="1198"/>
        <v>2943</v>
      </c>
      <c r="DL50" s="430">
        <f t="shared" si="1198"/>
        <v>2066</v>
      </c>
      <c r="DM50" s="430">
        <f t="shared" si="1198"/>
        <v>5009</v>
      </c>
      <c r="DN50" s="430">
        <f t="shared" si="1198"/>
        <v>17046</v>
      </c>
      <c r="DO50" s="430">
        <f t="shared" si="1198"/>
        <v>14116</v>
      </c>
      <c r="DP50" s="430">
        <f t="shared" si="1198"/>
        <v>31162</v>
      </c>
      <c r="DQ50" s="431">
        <f t="shared" ref="DQ50" si="1199">DN50/DE50</f>
        <v>0.32366232483955493</v>
      </c>
      <c r="DR50" s="431">
        <f t="shared" ref="DR50" si="1200">DO50/DF50</f>
        <v>0.3380511052039179</v>
      </c>
      <c r="DS50" s="431">
        <f t="shared" ref="DS50" si="1201">DP50/DG50</f>
        <v>0.33002552344238162</v>
      </c>
      <c r="DT50" s="430">
        <f t="shared" ref="DT50:EE50" si="1202">SUM(DT8:DT49)</f>
        <v>717816</v>
      </c>
      <c r="DU50" s="430">
        <f t="shared" si="1202"/>
        <v>716716</v>
      </c>
      <c r="DV50" s="430">
        <f t="shared" si="1202"/>
        <v>1434532</v>
      </c>
      <c r="DW50" s="430">
        <f t="shared" si="1202"/>
        <v>499157</v>
      </c>
      <c r="DX50" s="430">
        <f t="shared" si="1202"/>
        <v>512824</v>
      </c>
      <c r="DY50" s="430">
        <f t="shared" si="1202"/>
        <v>1011981</v>
      </c>
      <c r="DZ50" s="430">
        <f t="shared" si="1202"/>
        <v>18801</v>
      </c>
      <c r="EA50" s="430">
        <f t="shared" si="1202"/>
        <v>18454</v>
      </c>
      <c r="EB50" s="430">
        <f t="shared" si="1202"/>
        <v>37255</v>
      </c>
      <c r="EC50" s="430">
        <f t="shared" si="1202"/>
        <v>517958</v>
      </c>
      <c r="ED50" s="430">
        <f t="shared" si="1202"/>
        <v>531278</v>
      </c>
      <c r="EE50" s="430">
        <f t="shared" si="1202"/>
        <v>1049236</v>
      </c>
      <c r="EF50" s="431">
        <f t="shared" ref="EF50:EH50" si="1203">EC50/DT50</f>
        <v>0.72157488827220351</v>
      </c>
      <c r="EG50" s="431">
        <f t="shared" si="1203"/>
        <v>0.74126711277549262</v>
      </c>
      <c r="EH50" s="431">
        <f t="shared" si="1203"/>
        <v>0.73141345051905426</v>
      </c>
      <c r="EI50" s="430">
        <f t="shared" ref="EI50:EN50" si="1204">SUM(EI8:EI49)</f>
        <v>8161996</v>
      </c>
      <c r="EJ50" s="430">
        <f t="shared" si="1204"/>
        <v>7606198</v>
      </c>
      <c r="EK50" s="430">
        <f t="shared" si="1204"/>
        <v>15768194</v>
      </c>
      <c r="EL50" s="430">
        <f t="shared" si="1204"/>
        <v>3755702</v>
      </c>
      <c r="EM50" s="430">
        <f t="shared" si="1204"/>
        <v>3827196</v>
      </c>
      <c r="EN50" s="430">
        <f t="shared" si="1204"/>
        <v>7582898</v>
      </c>
      <c r="EO50" s="432">
        <f t="shared" ref="EO50" si="1205">+EL50*100/EI50</f>
        <v>46.014504295272872</v>
      </c>
      <c r="EP50" s="432">
        <f t="shared" ref="EP50" si="1206">+EM50*100/EJ50</f>
        <v>50.316807424681819</v>
      </c>
      <c r="EQ50" s="432">
        <f t="shared" ref="EQ50" si="1207">+EN50*100/EK50</f>
        <v>48.089831974416349</v>
      </c>
      <c r="ER50" s="430">
        <f t="shared" ref="ER50:EW50" si="1208">SUM(ER8:ER49)</f>
        <v>1360466</v>
      </c>
      <c r="ES50" s="430">
        <f t="shared" si="1208"/>
        <v>1301579</v>
      </c>
      <c r="ET50" s="430">
        <f t="shared" si="1208"/>
        <v>2662045</v>
      </c>
      <c r="EU50" s="430">
        <f t="shared" si="1208"/>
        <v>497830</v>
      </c>
      <c r="EV50" s="430">
        <f t="shared" si="1208"/>
        <v>521197</v>
      </c>
      <c r="EW50" s="430">
        <f t="shared" si="1208"/>
        <v>1019027</v>
      </c>
      <c r="EX50" s="433">
        <f t="shared" ref="EX50:EZ50" si="1209">+EU50*100/ER50</f>
        <v>36.592608709074682</v>
      </c>
      <c r="EY50" s="433">
        <f t="shared" si="1209"/>
        <v>40.043439545352221</v>
      </c>
      <c r="EZ50" s="433">
        <f t="shared" si="1209"/>
        <v>38.27985627590818</v>
      </c>
      <c r="FA50" s="430">
        <f t="shared" ref="FA50:FF50" si="1210">SUM(FA8:FA49)</f>
        <v>517958</v>
      </c>
      <c r="FB50" s="430">
        <f t="shared" si="1210"/>
        <v>531278</v>
      </c>
      <c r="FC50" s="430">
        <f t="shared" si="1210"/>
        <v>1049236</v>
      </c>
      <c r="FD50" s="430">
        <f t="shared" si="1210"/>
        <v>164930</v>
      </c>
      <c r="FE50" s="430">
        <f t="shared" si="1210"/>
        <v>181831</v>
      </c>
      <c r="FF50" s="430">
        <f t="shared" si="1210"/>
        <v>346761</v>
      </c>
      <c r="FG50" s="433">
        <f t="shared" ref="FG50:FI50" si="1211">+FD50*100/FA50</f>
        <v>31.842350151942821</v>
      </c>
      <c r="FH50" s="433">
        <f t="shared" si="1211"/>
        <v>34.22520789492507</v>
      </c>
      <c r="FI50" s="433">
        <f t="shared" si="1211"/>
        <v>33.048904155023273</v>
      </c>
    </row>
    <row r="51" spans="1:165">
      <c r="A51" s="121"/>
      <c r="B51" s="121"/>
      <c r="C51" s="122"/>
      <c r="D51" s="463" t="s">
        <v>278</v>
      </c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385" t="str">
        <f>+D51</f>
        <v>** Figures pertains to 'ALIM' and 'High Madarsa' as both are equivalent to High School Examination.</v>
      </c>
      <c r="T51" s="385"/>
      <c r="U51" s="385"/>
      <c r="V51" s="385"/>
      <c r="W51" s="385"/>
      <c r="X51" s="385"/>
      <c r="Y51" s="385"/>
      <c r="Z51" s="385"/>
      <c r="AA51" s="385"/>
      <c r="AB51" s="385"/>
      <c r="AC51" s="121"/>
      <c r="AD51" s="121"/>
      <c r="AE51" s="121"/>
      <c r="AF51" s="121"/>
      <c r="AG51" s="121"/>
      <c r="AH51" s="121" t="str">
        <f>+S51</f>
        <v>** Figures pertains to 'ALIM' and 'High Madarsa' as both are equivalent to High School Examination.</v>
      </c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 t="str">
        <f>+AH51</f>
        <v>** Figures pertains to 'ALIM' and 'High Madarsa' as both are equivalent to High School Examination.</v>
      </c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 t="str">
        <f>+AW51</f>
        <v>** Figures pertains to 'ALIM' and 'High Madarsa' as both are equivalent to High School Examination.</v>
      </c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 t="str">
        <f>+BL51</f>
        <v>** Figures pertains to 'ALIM' and 'High Madarsa' as both are equivalent to High School Examination.</v>
      </c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 t="str">
        <f>+CA51</f>
        <v>** Figures pertains to 'ALIM' and 'High Madarsa' as both are equivalent to High School Examination.</v>
      </c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 t="str">
        <f>+CP51</f>
        <v>** Figures pertains to 'ALIM' and 'High Madarsa' as both are equivalent to High School Examination.</v>
      </c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 t="str">
        <f>+DE51</f>
        <v>** Figures pertains to 'ALIM' and 'High Madarsa' as both are equivalent to High School Examination.</v>
      </c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 t="str">
        <f>+DT51</f>
        <v>** Figures pertains to 'ALIM' and 'High Madarsa' as both are equivalent to High School Examination.</v>
      </c>
      <c r="EJ51" s="121"/>
      <c r="EK51" s="121"/>
      <c r="EL51" s="121"/>
      <c r="EM51" s="121"/>
      <c r="EN51" s="121"/>
      <c r="EO51" s="121"/>
      <c r="EP51" s="121"/>
      <c r="EQ51" s="121"/>
      <c r="ER51" s="121" t="str">
        <f>DT51</f>
        <v>** Figures pertains to 'ALIM' and 'High Madarsa' as both are equivalent to High School Examination.</v>
      </c>
      <c r="ES51" s="121"/>
      <c r="ET51" s="121"/>
      <c r="EU51" s="121"/>
      <c r="EV51" s="121"/>
      <c r="EW51" s="121"/>
      <c r="EX51" s="121"/>
      <c r="EY51" s="121"/>
      <c r="EZ51" s="121"/>
      <c r="FA51" s="121" t="str">
        <f>ER51</f>
        <v>** Figures pertains to 'ALIM' and 'High Madarsa' as both are equivalent to High School Examination.</v>
      </c>
      <c r="FB51" s="121"/>
      <c r="FC51" s="121"/>
      <c r="FD51" s="121"/>
      <c r="FE51" s="121"/>
      <c r="FF51" s="121"/>
      <c r="FG51" s="121"/>
      <c r="FH51" s="121"/>
      <c r="FI51" s="121"/>
    </row>
    <row r="52" spans="1:165">
      <c r="A52" s="121"/>
      <c r="B52" s="121"/>
      <c r="C52" s="122"/>
      <c r="D52" s="463" t="s">
        <v>248</v>
      </c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3"/>
      <c r="R52" s="463"/>
      <c r="S52" s="385" t="str">
        <f>+D52</f>
        <v># The Institute is mainly meant for Women, Boys enrolment pertains to wards of the staff.</v>
      </c>
      <c r="T52" s="385"/>
      <c r="U52" s="385"/>
      <c r="V52" s="385"/>
      <c r="W52" s="385"/>
      <c r="X52" s="385"/>
      <c r="Y52" s="385"/>
      <c r="Z52" s="385"/>
      <c r="AA52" s="385"/>
      <c r="AB52" s="385"/>
      <c r="AC52" s="121"/>
      <c r="AD52" s="121"/>
      <c r="AE52" s="121"/>
      <c r="AF52" s="121"/>
      <c r="AG52" s="121"/>
      <c r="AH52" s="121" t="str">
        <f>+S52</f>
        <v># The Institute is mainly meant for Women, Boys enrolment pertains to wards of the staff.</v>
      </c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 t="str">
        <f>+AH52</f>
        <v># The Institute is mainly meant for Women, Boys enrolment pertains to wards of the staff.</v>
      </c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 t="str">
        <f>+AW52</f>
        <v># The Institute is mainly meant for Women, Boys enrolment pertains to wards of the staff.</v>
      </c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 t="str">
        <f>+BL52</f>
        <v># The Institute is mainly meant for Women, Boys enrolment pertains to wards of the staff.</v>
      </c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 t="str">
        <f>+CA52</f>
        <v># The Institute is mainly meant for Women, Boys enrolment pertains to wards of the staff.</v>
      </c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 t="str">
        <f>+CP52</f>
        <v># The Institute is mainly meant for Women, Boys enrolment pertains to wards of the staff.</v>
      </c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 t="str">
        <f>+DE52</f>
        <v># The Institute is mainly meant for Women, Boys enrolment pertains to wards of the staff.</v>
      </c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 t="str">
        <f>+DT52</f>
        <v># The Institute is mainly meant for Women, Boys enrolment pertains to wards of the staff.</v>
      </c>
      <c r="EJ52" s="121"/>
      <c r="EK52" s="121"/>
      <c r="EL52" s="121"/>
      <c r="EM52" s="121"/>
      <c r="EN52" s="121"/>
      <c r="EO52" s="121"/>
      <c r="EP52" s="121"/>
      <c r="EQ52" s="121"/>
      <c r="ER52" s="121" t="str">
        <f>DT52</f>
        <v># The Institute is mainly meant for Women, Boys enrolment pertains to wards of the staff.</v>
      </c>
      <c r="ES52" s="121"/>
      <c r="ET52" s="121"/>
      <c r="EU52" s="121"/>
      <c r="EV52" s="121"/>
      <c r="EW52" s="121"/>
      <c r="EX52" s="121"/>
      <c r="EY52" s="121"/>
      <c r="EZ52" s="121"/>
      <c r="FA52" s="121" t="str">
        <f t="shared" ref="FA52:FA53" si="1212">ER52</f>
        <v># The Institute is mainly meant for Women, Boys enrolment pertains to wards of the staff.</v>
      </c>
      <c r="FB52" s="121"/>
      <c r="FC52" s="121"/>
      <c r="FD52" s="121"/>
      <c r="FE52" s="121"/>
      <c r="FF52" s="121"/>
      <c r="FG52" s="121"/>
      <c r="FH52" s="121"/>
      <c r="FI52" s="121"/>
    </row>
    <row r="53" spans="1:165">
      <c r="A53" s="121"/>
      <c r="B53" s="121"/>
      <c r="C53" s="122"/>
      <c r="D53" s="463" t="s">
        <v>228</v>
      </c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385" t="str">
        <f>+D53</f>
        <v>Black cell indicates that either system does not exist or information is not available.</v>
      </c>
      <c r="T53" s="385"/>
      <c r="U53" s="385"/>
      <c r="V53" s="385"/>
      <c r="W53" s="385"/>
      <c r="X53" s="385"/>
      <c r="Y53" s="385"/>
      <c r="Z53" s="385"/>
      <c r="AA53" s="385"/>
      <c r="AB53" s="385"/>
      <c r="AC53" s="121"/>
      <c r="AD53" s="121"/>
      <c r="AE53" s="121"/>
      <c r="AF53" s="121"/>
      <c r="AG53" s="121"/>
      <c r="AH53" s="121" t="str">
        <f>+S53</f>
        <v>Black cell indicates that either system does not exist or information is not available.</v>
      </c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 t="str">
        <f>+AH53</f>
        <v>Black cell indicates that either system does not exist or information is not available.</v>
      </c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 t="str">
        <f>+AW53</f>
        <v>Black cell indicates that either system does not exist or information is not available.</v>
      </c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 t="str">
        <f>+BL53</f>
        <v>Black cell indicates that either system does not exist or information is not available.</v>
      </c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 t="str">
        <f>+CA53</f>
        <v>Black cell indicates that either system does not exist or information is not available.</v>
      </c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 t="str">
        <f>+CP53</f>
        <v>Black cell indicates that either system does not exist or information is not available.</v>
      </c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 t="str">
        <f>+DE53</f>
        <v>Black cell indicates that either system does not exist or information is not available.</v>
      </c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 t="str">
        <f>+DT53</f>
        <v>Black cell indicates that either system does not exist or information is not available.</v>
      </c>
      <c r="EJ53" s="121"/>
      <c r="EK53" s="121"/>
      <c r="EL53" s="121"/>
      <c r="EM53" s="121"/>
      <c r="EN53" s="121"/>
      <c r="EO53" s="121"/>
      <c r="EP53" s="121"/>
      <c r="EQ53" s="121"/>
      <c r="ER53" s="121" t="str">
        <f>DT53</f>
        <v>Black cell indicates that either system does not exist or information is not available.</v>
      </c>
      <c r="ES53" s="121"/>
      <c r="ET53" s="121"/>
      <c r="EU53" s="121"/>
      <c r="EV53" s="121"/>
      <c r="EW53" s="121"/>
      <c r="EX53" s="121"/>
      <c r="EY53" s="121"/>
      <c r="EZ53" s="121"/>
      <c r="FA53" s="121" t="str">
        <f t="shared" si="1212"/>
        <v>Black cell indicates that either system does not exist or information is not available.</v>
      </c>
      <c r="FB53" s="121"/>
      <c r="FC53" s="121"/>
      <c r="FD53" s="121"/>
      <c r="FE53" s="121"/>
      <c r="FF53" s="121"/>
      <c r="FG53" s="121"/>
      <c r="FH53" s="121"/>
      <c r="FI53" s="121"/>
    </row>
    <row r="54" spans="1:165">
      <c r="A54" s="121"/>
      <c r="B54" s="121"/>
      <c r="C54" s="122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463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</row>
    <row r="56" spans="1:165"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  <c r="CM56" s="144"/>
      <c r="CN56" s="144"/>
      <c r="CO56" s="144"/>
      <c r="CR56" s="144"/>
      <c r="CS56" s="144"/>
      <c r="CT56" s="144"/>
      <c r="CU56" s="144"/>
      <c r="CV56" s="144"/>
      <c r="CW56" s="144"/>
      <c r="CX56" s="144"/>
      <c r="CY56" s="144"/>
      <c r="CZ56" s="144"/>
      <c r="DA56" s="144"/>
      <c r="DB56" s="144"/>
      <c r="DC56" s="144"/>
      <c r="DD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O56" s="144"/>
      <c r="EP56" s="144"/>
      <c r="EQ56" s="144"/>
      <c r="EX56" s="144"/>
      <c r="EY56" s="144"/>
      <c r="EZ56" s="144"/>
      <c r="FG56" s="144"/>
      <c r="FH56" s="144"/>
      <c r="FI56" s="144"/>
    </row>
    <row r="57" spans="1:165"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G57" s="144"/>
      <c r="DH57" s="144"/>
      <c r="DI57" s="144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O57" s="144"/>
      <c r="EP57" s="144"/>
      <c r="EQ57" s="144"/>
      <c r="EX57" s="144"/>
      <c r="EY57" s="144"/>
      <c r="EZ57" s="144"/>
      <c r="FG57" s="144"/>
      <c r="FH57" s="144"/>
      <c r="FI57" s="144"/>
    </row>
    <row r="58" spans="1:165"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O58" s="144"/>
      <c r="CR58" s="144"/>
      <c r="CS58" s="144"/>
      <c r="CT58" s="144"/>
      <c r="CU58" s="144"/>
      <c r="CV58" s="144"/>
      <c r="CW58" s="144"/>
      <c r="CX58" s="144"/>
      <c r="CY58" s="144"/>
      <c r="CZ58" s="144"/>
      <c r="DA58" s="144"/>
      <c r="DB58" s="144"/>
      <c r="DC58" s="144"/>
      <c r="DD58" s="144"/>
      <c r="DG58" s="144"/>
      <c r="DH58" s="144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V58" s="144"/>
      <c r="DW58" s="144"/>
      <c r="DX58" s="144"/>
      <c r="DY58" s="144"/>
      <c r="DZ58" s="144"/>
      <c r="EA58" s="144"/>
      <c r="EB58" s="144"/>
      <c r="EC58" s="144"/>
      <c r="ED58" s="144"/>
      <c r="EE58" s="144"/>
      <c r="EF58" s="144"/>
      <c r="EG58" s="144"/>
      <c r="EH58" s="144"/>
      <c r="EO58" s="144"/>
      <c r="EP58" s="144"/>
      <c r="EQ58" s="144"/>
      <c r="EX58" s="144"/>
      <c r="EY58" s="144"/>
      <c r="EZ58" s="144"/>
      <c r="FG58" s="144"/>
      <c r="FH58" s="144"/>
      <c r="FI58" s="144"/>
    </row>
    <row r="59" spans="1:165"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R59" s="144"/>
      <c r="CS59" s="144"/>
      <c r="CT59" s="144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O59" s="144"/>
      <c r="EP59" s="144"/>
      <c r="EQ59" s="144"/>
      <c r="EX59" s="144"/>
      <c r="EY59" s="144"/>
      <c r="EZ59" s="144"/>
      <c r="FG59" s="144"/>
      <c r="FH59" s="144"/>
      <c r="FI59" s="144"/>
    </row>
    <row r="60" spans="1:165"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/>
      <c r="DB60" s="144"/>
      <c r="DC60" s="144"/>
      <c r="DD60" s="144"/>
      <c r="DG60" s="144"/>
      <c r="DH60" s="144"/>
      <c r="DI60" s="144"/>
      <c r="DJ60" s="144"/>
      <c r="DK60" s="144"/>
      <c r="DL60" s="144"/>
      <c r="DM60" s="144"/>
      <c r="DN60" s="144"/>
      <c r="DO60" s="144"/>
      <c r="DP60" s="144"/>
      <c r="DQ60" s="144"/>
      <c r="DR60" s="144"/>
      <c r="DS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O60" s="144"/>
      <c r="EP60" s="144"/>
      <c r="EQ60" s="144"/>
      <c r="EX60" s="144"/>
      <c r="EY60" s="144"/>
      <c r="EZ60" s="144"/>
      <c r="FG60" s="144"/>
      <c r="FH60" s="144"/>
      <c r="FI60" s="144"/>
    </row>
    <row r="61" spans="1:165"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R61" s="144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4"/>
      <c r="DD61" s="144"/>
      <c r="DG61" s="144"/>
      <c r="DH61" s="144"/>
      <c r="DI61" s="144"/>
      <c r="DJ61" s="144"/>
      <c r="DK61" s="144"/>
      <c r="DL61" s="144"/>
      <c r="DM61" s="144"/>
      <c r="DN61" s="144"/>
      <c r="DO61" s="144"/>
      <c r="DP61" s="144"/>
      <c r="DQ61" s="144"/>
      <c r="DR61" s="144"/>
      <c r="DS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O61" s="144"/>
      <c r="EP61" s="144"/>
      <c r="EQ61" s="144"/>
      <c r="EX61" s="144"/>
      <c r="EY61" s="144"/>
      <c r="EZ61" s="144"/>
      <c r="FG61" s="144"/>
      <c r="FH61" s="144"/>
      <c r="FI61" s="144"/>
    </row>
    <row r="62" spans="1:165"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G62" s="144"/>
      <c r="DH62" s="144"/>
      <c r="DI62" s="144"/>
      <c r="DJ62" s="144"/>
      <c r="DK62" s="144"/>
      <c r="DL62" s="144"/>
      <c r="DM62" s="144"/>
      <c r="DN62" s="144"/>
      <c r="DO62" s="144"/>
      <c r="DP62" s="144"/>
      <c r="DQ62" s="144"/>
      <c r="DR62" s="144"/>
      <c r="DS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O62" s="144"/>
      <c r="EP62" s="144"/>
      <c r="EQ62" s="144"/>
      <c r="EX62" s="144"/>
      <c r="EY62" s="144"/>
      <c r="EZ62" s="144"/>
      <c r="FG62" s="144"/>
      <c r="FH62" s="144"/>
      <c r="FI62" s="144"/>
    </row>
    <row r="63" spans="1:165"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4"/>
      <c r="DD63" s="144"/>
      <c r="DG63" s="144"/>
      <c r="DH63" s="144"/>
      <c r="DI63" s="144"/>
      <c r="DJ63" s="144"/>
      <c r="DK63" s="144"/>
      <c r="DL63" s="144"/>
      <c r="DM63" s="144"/>
      <c r="DN63" s="144"/>
      <c r="DO63" s="144"/>
      <c r="DP63" s="144"/>
      <c r="DQ63" s="144"/>
      <c r="DR63" s="144"/>
      <c r="DS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O63" s="144"/>
      <c r="EP63" s="144"/>
      <c r="EQ63" s="144"/>
      <c r="EX63" s="144"/>
      <c r="EY63" s="144"/>
      <c r="EZ63" s="144"/>
      <c r="FG63" s="144"/>
      <c r="FH63" s="144"/>
      <c r="FI63" s="144"/>
    </row>
    <row r="64" spans="1:165"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G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O64" s="144"/>
      <c r="EP64" s="144"/>
      <c r="EQ64" s="144"/>
      <c r="EX64" s="144"/>
      <c r="EY64" s="144"/>
      <c r="EZ64" s="144"/>
      <c r="FG64" s="144"/>
      <c r="FH64" s="144"/>
      <c r="FI64" s="144"/>
    </row>
    <row r="65" spans="6:165"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G65" s="144"/>
      <c r="DH65" s="144"/>
      <c r="DI65" s="144"/>
      <c r="DJ65" s="144"/>
      <c r="DK65" s="144"/>
      <c r="DL65" s="144"/>
      <c r="DM65" s="144"/>
      <c r="DN65" s="144"/>
      <c r="DO65" s="144"/>
      <c r="DP65" s="144"/>
      <c r="DQ65" s="144"/>
      <c r="DR65" s="144"/>
      <c r="DS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O65" s="144"/>
      <c r="EP65" s="144"/>
      <c r="EQ65" s="144"/>
      <c r="EX65" s="144"/>
      <c r="EY65" s="144"/>
      <c r="EZ65" s="144"/>
      <c r="FG65" s="144"/>
      <c r="FH65" s="144"/>
      <c r="FI65" s="144"/>
    </row>
    <row r="66" spans="6:165"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O66" s="144"/>
      <c r="EP66" s="144"/>
      <c r="EQ66" s="144"/>
      <c r="EX66" s="144"/>
      <c r="EY66" s="144"/>
      <c r="EZ66" s="144"/>
      <c r="FG66" s="144"/>
      <c r="FH66" s="144"/>
      <c r="FI66" s="144"/>
    </row>
    <row r="67" spans="6:165"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O67" s="144"/>
      <c r="EP67" s="144"/>
      <c r="EQ67" s="144"/>
      <c r="EX67" s="144"/>
      <c r="EY67" s="144"/>
      <c r="EZ67" s="144"/>
      <c r="FG67" s="144"/>
      <c r="FH67" s="144"/>
      <c r="FI67" s="144"/>
    </row>
    <row r="68" spans="6:165"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N68" s="144"/>
      <c r="BO68" s="144"/>
      <c r="BP68" s="144"/>
      <c r="BQ68" s="144"/>
      <c r="BR68" s="144"/>
      <c r="BS68" s="144"/>
      <c r="BT68" s="144"/>
      <c r="BU68" s="144"/>
      <c r="BV68" s="144"/>
      <c r="BW68" s="144"/>
      <c r="BX68" s="144"/>
      <c r="BY68" s="144"/>
      <c r="BZ68" s="144"/>
      <c r="CC68" s="144"/>
      <c r="CD68" s="144"/>
      <c r="CE68" s="144"/>
      <c r="CF68" s="144"/>
      <c r="CG68" s="144"/>
      <c r="CH68" s="144"/>
      <c r="CI68" s="144"/>
      <c r="CJ68" s="144"/>
      <c r="CK68" s="144"/>
      <c r="CL68" s="144"/>
      <c r="CM68" s="144"/>
      <c r="CN68" s="144"/>
      <c r="CO68" s="144"/>
      <c r="CR68" s="144"/>
      <c r="CS68" s="144"/>
      <c r="CT68" s="144"/>
      <c r="CU68" s="144"/>
      <c r="CV68" s="144"/>
      <c r="CW68" s="144"/>
      <c r="CX68" s="144"/>
      <c r="CY68" s="144"/>
      <c r="CZ68" s="144"/>
      <c r="DA68" s="144"/>
      <c r="DB68" s="144"/>
      <c r="DC68" s="144"/>
      <c r="DD68" s="144"/>
      <c r="DG68" s="144"/>
      <c r="DH68" s="144"/>
      <c r="DI68" s="144"/>
      <c r="DJ68" s="144"/>
      <c r="DK68" s="144"/>
      <c r="DL68" s="144"/>
      <c r="DM68" s="144"/>
      <c r="DN68" s="144"/>
      <c r="DO68" s="144"/>
      <c r="DP68" s="144"/>
      <c r="DQ68" s="144"/>
      <c r="DR68" s="144"/>
      <c r="DS68" s="144"/>
      <c r="DV68" s="144"/>
      <c r="DW68" s="144"/>
      <c r="DX68" s="144"/>
      <c r="DY68" s="144"/>
      <c r="DZ68" s="144"/>
      <c r="EA68" s="144"/>
      <c r="EB68" s="144"/>
      <c r="EC68" s="144"/>
      <c r="ED68" s="144"/>
      <c r="EE68" s="144"/>
      <c r="EF68" s="144"/>
      <c r="EG68" s="144"/>
      <c r="EH68" s="144"/>
      <c r="EO68" s="144"/>
      <c r="EP68" s="144"/>
      <c r="EQ68" s="144"/>
      <c r="EX68" s="144"/>
      <c r="EY68" s="144"/>
      <c r="EZ68" s="144"/>
      <c r="FG68" s="144"/>
      <c r="FH68" s="144"/>
      <c r="FI68" s="144"/>
    </row>
    <row r="69" spans="6:165"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4"/>
      <c r="DG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O69" s="144"/>
      <c r="EP69" s="144"/>
      <c r="EQ69" s="144"/>
      <c r="EX69" s="144"/>
      <c r="EY69" s="144"/>
      <c r="EZ69" s="144"/>
      <c r="FG69" s="144"/>
      <c r="FH69" s="144"/>
      <c r="FI69" s="144"/>
    </row>
    <row r="70" spans="6:165"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4"/>
      <c r="DD70" s="144"/>
      <c r="DG70" s="144"/>
      <c r="DH70" s="144"/>
      <c r="DI70" s="144"/>
      <c r="DJ70" s="144"/>
      <c r="DK70" s="144"/>
      <c r="DL70" s="144"/>
      <c r="DM70" s="144"/>
      <c r="DN70" s="144"/>
      <c r="DO70" s="144"/>
      <c r="DP70" s="144"/>
      <c r="DQ70" s="144"/>
      <c r="DR70" s="144"/>
      <c r="DS70" s="144"/>
      <c r="DV70" s="144"/>
      <c r="DW70" s="144"/>
      <c r="DX70" s="144"/>
      <c r="DY70" s="144"/>
      <c r="DZ70" s="144"/>
      <c r="EA70" s="144"/>
      <c r="EB70" s="144"/>
      <c r="EC70" s="144"/>
      <c r="ED70" s="144"/>
      <c r="EE70" s="144"/>
      <c r="EF70" s="144"/>
      <c r="EG70" s="144"/>
      <c r="EH70" s="144"/>
      <c r="EO70" s="144"/>
      <c r="EP70" s="144"/>
      <c r="EQ70" s="144"/>
      <c r="EX70" s="144"/>
      <c r="EY70" s="144"/>
      <c r="EZ70" s="144"/>
      <c r="FG70" s="144"/>
      <c r="FH70" s="144"/>
      <c r="FI70" s="144"/>
    </row>
    <row r="71" spans="6:165"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R71" s="144"/>
      <c r="CS71" s="144"/>
      <c r="CT71" s="144"/>
      <c r="CU71" s="144"/>
      <c r="CV71" s="144"/>
      <c r="CW71" s="144"/>
      <c r="CX71" s="144"/>
      <c r="CY71" s="144"/>
      <c r="CZ71" s="144"/>
      <c r="DA71" s="144"/>
      <c r="DB71" s="144"/>
      <c r="DC71" s="144"/>
      <c r="DD71" s="144"/>
      <c r="DG71" s="144"/>
      <c r="DH71" s="144"/>
      <c r="DI71" s="144"/>
      <c r="DJ71" s="144"/>
      <c r="DK71" s="144"/>
      <c r="DL71" s="144"/>
      <c r="DM71" s="144"/>
      <c r="DN71" s="144"/>
      <c r="DO71" s="144"/>
      <c r="DP71" s="144"/>
      <c r="DQ71" s="144"/>
      <c r="DR71" s="144"/>
      <c r="DS71" s="144"/>
      <c r="DV71" s="144"/>
      <c r="DW71" s="144"/>
      <c r="DX71" s="144"/>
      <c r="DY71" s="144"/>
      <c r="DZ71" s="144"/>
      <c r="EA71" s="144"/>
      <c r="EB71" s="144"/>
      <c r="EC71" s="144"/>
      <c r="ED71" s="144"/>
      <c r="EE71" s="144"/>
      <c r="EF71" s="144"/>
      <c r="EG71" s="144"/>
      <c r="EH71" s="144"/>
      <c r="EO71" s="144"/>
      <c r="EP71" s="144"/>
      <c r="EQ71" s="144"/>
      <c r="EX71" s="144"/>
      <c r="EY71" s="144"/>
      <c r="EZ71" s="144"/>
      <c r="FG71" s="144"/>
      <c r="FH71" s="144"/>
      <c r="FI71" s="144"/>
    </row>
    <row r="72" spans="6:165"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R72" s="144"/>
      <c r="CS72" s="144"/>
      <c r="CT72" s="144"/>
      <c r="CU72" s="144"/>
      <c r="CV72" s="144"/>
      <c r="CW72" s="144"/>
      <c r="CX72" s="144"/>
      <c r="CY72" s="144"/>
      <c r="CZ72" s="144"/>
      <c r="DA72" s="144"/>
      <c r="DB72" s="144"/>
      <c r="DC72" s="144"/>
      <c r="DD72" s="144"/>
      <c r="DG72" s="144"/>
      <c r="DH72" s="144"/>
      <c r="DI72" s="144"/>
      <c r="DJ72" s="144"/>
      <c r="DK72" s="144"/>
      <c r="DL72" s="144"/>
      <c r="DM72" s="144"/>
      <c r="DN72" s="144"/>
      <c r="DO72" s="144"/>
      <c r="DP72" s="144"/>
      <c r="DQ72" s="144"/>
      <c r="DR72" s="144"/>
      <c r="DS72" s="144"/>
      <c r="DV72" s="144"/>
      <c r="DW72" s="144"/>
      <c r="DX72" s="144"/>
      <c r="DY72" s="144"/>
      <c r="DZ72" s="144"/>
      <c r="EA72" s="144"/>
      <c r="EB72" s="144"/>
      <c r="EC72" s="144"/>
      <c r="ED72" s="144"/>
      <c r="EE72" s="144"/>
      <c r="EF72" s="144"/>
      <c r="EG72" s="144"/>
      <c r="EH72" s="144"/>
      <c r="EO72" s="144"/>
      <c r="EP72" s="144"/>
      <c r="EQ72" s="144"/>
      <c r="EX72" s="144"/>
      <c r="EY72" s="144"/>
      <c r="EZ72" s="144"/>
      <c r="FG72" s="144"/>
      <c r="FH72" s="144"/>
      <c r="FI72" s="144"/>
    </row>
    <row r="73" spans="6:165"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R73" s="144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G73" s="144"/>
      <c r="DH73" s="144"/>
      <c r="DI73" s="144"/>
      <c r="DJ73" s="144"/>
      <c r="DK73" s="144"/>
      <c r="DL73" s="144"/>
      <c r="DM73" s="144"/>
      <c r="DN73" s="144"/>
      <c r="DO73" s="144"/>
      <c r="DP73" s="144"/>
      <c r="DQ73" s="144"/>
      <c r="DR73" s="144"/>
      <c r="DS73" s="144"/>
      <c r="DV73" s="144"/>
      <c r="DW73" s="144"/>
      <c r="DX73" s="144"/>
      <c r="DY73" s="144"/>
      <c r="DZ73" s="144"/>
      <c r="EA73" s="144"/>
      <c r="EB73" s="144"/>
      <c r="EC73" s="144"/>
      <c r="ED73" s="144"/>
      <c r="EE73" s="144"/>
      <c r="EF73" s="144"/>
      <c r="EG73" s="144"/>
      <c r="EH73" s="144"/>
      <c r="EO73" s="144"/>
      <c r="EP73" s="144"/>
      <c r="EQ73" s="144"/>
      <c r="EX73" s="144"/>
      <c r="EY73" s="144"/>
      <c r="EZ73" s="144"/>
      <c r="FG73" s="144"/>
      <c r="FH73" s="144"/>
      <c r="FI73" s="144"/>
    </row>
    <row r="74" spans="6:165"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N74" s="144"/>
      <c r="BO74" s="144"/>
      <c r="BP74" s="144"/>
      <c r="BQ74" s="144"/>
      <c r="BR74" s="144"/>
      <c r="BS74" s="144"/>
      <c r="BT74" s="144"/>
      <c r="BU74" s="144"/>
      <c r="BV74" s="144"/>
      <c r="BW74" s="144"/>
      <c r="BX74" s="144"/>
      <c r="BY74" s="144"/>
      <c r="BZ74" s="144"/>
      <c r="CC74" s="144"/>
      <c r="CD74" s="144"/>
      <c r="CE74" s="144"/>
      <c r="CF74" s="144"/>
      <c r="CG74" s="144"/>
      <c r="CH74" s="144"/>
      <c r="CI74" s="144"/>
      <c r="CJ74" s="144"/>
      <c r="CK74" s="144"/>
      <c r="CL74" s="144"/>
      <c r="CM74" s="144"/>
      <c r="CN74" s="144"/>
      <c r="CO74" s="144"/>
      <c r="CR74" s="144"/>
      <c r="CS74" s="144"/>
      <c r="CT74" s="144"/>
      <c r="CU74" s="144"/>
      <c r="CV74" s="144"/>
      <c r="CW74" s="144"/>
      <c r="CX74" s="144"/>
      <c r="CY74" s="144"/>
      <c r="CZ74" s="144"/>
      <c r="DA74" s="144"/>
      <c r="DB74" s="144"/>
      <c r="DC74" s="144"/>
      <c r="DD74" s="144"/>
      <c r="DG74" s="144"/>
      <c r="DH74" s="144"/>
      <c r="DI74" s="144"/>
      <c r="DJ74" s="144"/>
      <c r="DK74" s="144"/>
      <c r="DL74" s="144"/>
      <c r="DM74" s="144"/>
      <c r="DN74" s="144"/>
      <c r="DO74" s="144"/>
      <c r="DP74" s="144"/>
      <c r="DQ74" s="144"/>
      <c r="DR74" s="144"/>
      <c r="DS74" s="144"/>
      <c r="DV74" s="144"/>
      <c r="DW74" s="144"/>
      <c r="DX74" s="144"/>
      <c r="DY74" s="144"/>
      <c r="DZ74" s="144"/>
      <c r="EA74" s="144"/>
      <c r="EB74" s="144"/>
      <c r="EC74" s="144"/>
      <c r="ED74" s="144"/>
      <c r="EE74" s="144"/>
      <c r="EF74" s="144"/>
      <c r="EG74" s="144"/>
      <c r="EH74" s="144"/>
      <c r="EO74" s="144"/>
      <c r="EP74" s="144"/>
      <c r="EQ74" s="144"/>
      <c r="EX74" s="144"/>
      <c r="EY74" s="144"/>
      <c r="EZ74" s="144"/>
      <c r="FG74" s="144"/>
      <c r="FH74" s="144"/>
      <c r="FI74" s="144"/>
    </row>
    <row r="75" spans="6:165"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N75" s="144"/>
      <c r="BO75" s="144"/>
      <c r="BP75" s="144"/>
      <c r="BQ75" s="144"/>
      <c r="BR75" s="144"/>
      <c r="BS75" s="144"/>
      <c r="BT75" s="144"/>
      <c r="BU75" s="144"/>
      <c r="BV75" s="144"/>
      <c r="BW75" s="144"/>
      <c r="BX75" s="144"/>
      <c r="BY75" s="144"/>
      <c r="BZ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  <c r="CM75" s="144"/>
      <c r="CN75" s="144"/>
      <c r="CO75" s="144"/>
      <c r="CR75" s="144"/>
      <c r="CS75" s="144"/>
      <c r="CT75" s="144"/>
      <c r="CU75" s="144"/>
      <c r="CV75" s="144"/>
      <c r="CW75" s="144"/>
      <c r="CX75" s="144"/>
      <c r="CY75" s="144"/>
      <c r="CZ75" s="144"/>
      <c r="DA75" s="144"/>
      <c r="DB75" s="144"/>
      <c r="DC75" s="144"/>
      <c r="DD75" s="144"/>
      <c r="DG75" s="144"/>
      <c r="DH75" s="144"/>
      <c r="DI75" s="144"/>
      <c r="DJ75" s="144"/>
      <c r="DK75" s="144"/>
      <c r="DL75" s="144"/>
      <c r="DM75" s="144"/>
      <c r="DN75" s="144"/>
      <c r="DO75" s="144"/>
      <c r="DP75" s="144"/>
      <c r="DQ75" s="144"/>
      <c r="DR75" s="144"/>
      <c r="DS75" s="144"/>
      <c r="DV75" s="144"/>
      <c r="DW75" s="144"/>
      <c r="DX75" s="144"/>
      <c r="DY75" s="144"/>
      <c r="DZ75" s="144"/>
      <c r="EA75" s="144"/>
      <c r="EB75" s="144"/>
      <c r="EC75" s="144"/>
      <c r="ED75" s="144"/>
      <c r="EE75" s="144"/>
      <c r="EF75" s="144"/>
      <c r="EG75" s="144"/>
      <c r="EH75" s="144"/>
      <c r="EO75" s="144"/>
      <c r="EP75" s="144"/>
      <c r="EQ75" s="144"/>
      <c r="EX75" s="144"/>
      <c r="EY75" s="144"/>
      <c r="EZ75" s="144"/>
      <c r="FG75" s="144"/>
      <c r="FH75" s="144"/>
      <c r="FI75" s="144"/>
    </row>
    <row r="76" spans="6:165"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G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V76" s="144"/>
      <c r="DW76" s="144"/>
      <c r="DX76" s="144"/>
      <c r="DY76" s="144"/>
      <c r="DZ76" s="144"/>
      <c r="EA76" s="144"/>
      <c r="EB76" s="144"/>
      <c r="EC76" s="144"/>
      <c r="ED76" s="144"/>
      <c r="EE76" s="144"/>
      <c r="EF76" s="144"/>
      <c r="EG76" s="144"/>
      <c r="EH76" s="144"/>
      <c r="EO76" s="144"/>
      <c r="EP76" s="144"/>
      <c r="EQ76" s="144"/>
      <c r="EX76" s="144"/>
      <c r="EY76" s="144"/>
      <c r="EZ76" s="144"/>
      <c r="FG76" s="144"/>
      <c r="FH76" s="144"/>
      <c r="FI76" s="144"/>
    </row>
    <row r="77" spans="6:165"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N77" s="144"/>
      <c r="BO77" s="144"/>
      <c r="BP77" s="144"/>
      <c r="BQ77" s="144"/>
      <c r="BR77" s="144"/>
      <c r="BS77" s="144"/>
      <c r="BT77" s="144"/>
      <c r="BU77" s="144"/>
      <c r="BV77" s="144"/>
      <c r="BW77" s="144"/>
      <c r="BX77" s="144"/>
      <c r="BY77" s="144"/>
      <c r="BZ77" s="144"/>
      <c r="CC77" s="144"/>
      <c r="CD77" s="144"/>
      <c r="CE77" s="144"/>
      <c r="CF77" s="144"/>
      <c r="CG77" s="144"/>
      <c r="CH77" s="144"/>
      <c r="CI77" s="144"/>
      <c r="CJ77" s="144"/>
      <c r="CK77" s="144"/>
      <c r="CL77" s="144"/>
      <c r="CM77" s="144"/>
      <c r="CN77" s="144"/>
      <c r="CO77" s="144"/>
      <c r="CR77" s="144"/>
      <c r="CS77" s="144"/>
      <c r="CT77" s="144"/>
      <c r="CU77" s="144"/>
      <c r="CV77" s="144"/>
      <c r="CW77" s="144"/>
      <c r="CX77" s="144"/>
      <c r="CY77" s="144"/>
      <c r="CZ77" s="144"/>
      <c r="DA77" s="144"/>
      <c r="DB77" s="144"/>
      <c r="DC77" s="144"/>
      <c r="DD77" s="144"/>
      <c r="DG77" s="144"/>
      <c r="DH77" s="144"/>
      <c r="DI77" s="144"/>
      <c r="DJ77" s="144"/>
      <c r="DK77" s="144"/>
      <c r="DL77" s="144"/>
      <c r="DM77" s="144"/>
      <c r="DN77" s="144"/>
      <c r="DO77" s="144"/>
      <c r="DP77" s="144"/>
      <c r="DQ77" s="144"/>
      <c r="DR77" s="144"/>
      <c r="DS77" s="144"/>
      <c r="DV77" s="144"/>
      <c r="DW77" s="144"/>
      <c r="DX77" s="144"/>
      <c r="DY77" s="144"/>
      <c r="DZ77" s="144"/>
      <c r="EA77" s="144"/>
      <c r="EB77" s="144"/>
      <c r="EC77" s="144"/>
      <c r="ED77" s="144"/>
      <c r="EE77" s="144"/>
      <c r="EF77" s="144"/>
      <c r="EG77" s="144"/>
      <c r="EH77" s="144"/>
      <c r="EO77" s="144"/>
      <c r="EP77" s="144"/>
      <c r="EQ77" s="144"/>
      <c r="EX77" s="144"/>
      <c r="EY77" s="144"/>
      <c r="EZ77" s="144"/>
      <c r="FG77" s="144"/>
      <c r="FH77" s="144"/>
      <c r="FI77" s="144"/>
    </row>
    <row r="78" spans="6:165"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44"/>
      <c r="BZ78" s="144"/>
      <c r="CC78" s="144"/>
      <c r="CD78" s="144"/>
      <c r="CE78" s="144"/>
      <c r="CF78" s="144"/>
      <c r="CG78" s="144"/>
      <c r="CH78" s="144"/>
      <c r="CI78" s="144"/>
      <c r="CJ78" s="144"/>
      <c r="CK78" s="144"/>
      <c r="CL78" s="144"/>
      <c r="CM78" s="144"/>
      <c r="CN78" s="144"/>
      <c r="CO78" s="144"/>
      <c r="CR78" s="144"/>
      <c r="CS78" s="144"/>
      <c r="CT78" s="144"/>
      <c r="CU78" s="144"/>
      <c r="CV78" s="144"/>
      <c r="CW78" s="144"/>
      <c r="CX78" s="144"/>
      <c r="CY78" s="144"/>
      <c r="CZ78" s="144"/>
      <c r="DA78" s="144"/>
      <c r="DB78" s="144"/>
      <c r="DC78" s="144"/>
      <c r="DD78" s="144"/>
      <c r="DG78" s="144"/>
      <c r="DH78" s="144"/>
      <c r="DI78" s="144"/>
      <c r="DJ78" s="144"/>
      <c r="DK78" s="144"/>
      <c r="DL78" s="144"/>
      <c r="DM78" s="144"/>
      <c r="DN78" s="144"/>
      <c r="DO78" s="144"/>
      <c r="DP78" s="144"/>
      <c r="DQ78" s="144"/>
      <c r="DR78" s="144"/>
      <c r="DS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O78" s="144"/>
      <c r="EP78" s="144"/>
      <c r="EQ78" s="144"/>
      <c r="EX78" s="144"/>
      <c r="EY78" s="144"/>
      <c r="EZ78" s="144"/>
      <c r="FG78" s="144"/>
      <c r="FH78" s="144"/>
      <c r="FI78" s="144"/>
    </row>
    <row r="79" spans="6:165"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4"/>
      <c r="DB79" s="144"/>
      <c r="DC79" s="144"/>
      <c r="DD79" s="144"/>
      <c r="DG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V79" s="144"/>
      <c r="DW79" s="144"/>
      <c r="DX79" s="144"/>
      <c r="DY79" s="144"/>
      <c r="DZ79" s="144"/>
      <c r="EA79" s="144"/>
      <c r="EB79" s="144"/>
      <c r="EC79" s="144"/>
      <c r="ED79" s="144"/>
      <c r="EE79" s="144"/>
      <c r="EF79" s="144"/>
      <c r="EG79" s="144"/>
      <c r="EH79" s="144"/>
      <c r="EO79" s="144"/>
      <c r="EP79" s="144"/>
      <c r="EQ79" s="144"/>
      <c r="EX79" s="144"/>
      <c r="EY79" s="144"/>
      <c r="EZ79" s="144"/>
      <c r="FG79" s="144"/>
      <c r="FH79" s="144"/>
      <c r="FI79" s="144"/>
    </row>
    <row r="80" spans="6:165"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R80" s="144"/>
      <c r="CS80" s="144"/>
      <c r="CT80" s="144"/>
      <c r="CU80" s="144"/>
      <c r="CV80" s="144"/>
      <c r="CW80" s="144"/>
      <c r="CX80" s="144"/>
      <c r="CY80" s="144"/>
      <c r="CZ80" s="144"/>
      <c r="DA80" s="144"/>
      <c r="DB80" s="144"/>
      <c r="DC80" s="144"/>
      <c r="DD80" s="144"/>
      <c r="DG80" s="144"/>
      <c r="DH80" s="144"/>
      <c r="DI80" s="144"/>
      <c r="DJ80" s="144"/>
      <c r="DK80" s="144"/>
      <c r="DL80" s="144"/>
      <c r="DM80" s="144"/>
      <c r="DN80" s="144"/>
      <c r="DO80" s="144"/>
      <c r="DP80" s="144"/>
      <c r="DQ80" s="144"/>
      <c r="DR80" s="144"/>
      <c r="DS80" s="144"/>
      <c r="DV80" s="144"/>
      <c r="DW80" s="144"/>
      <c r="DX80" s="144"/>
      <c r="DY80" s="144"/>
      <c r="DZ80" s="144"/>
      <c r="EA80" s="144"/>
      <c r="EB80" s="144"/>
      <c r="EC80" s="144"/>
      <c r="ED80" s="144"/>
      <c r="EE80" s="144"/>
      <c r="EF80" s="144"/>
      <c r="EG80" s="144"/>
      <c r="EH80" s="144"/>
      <c r="EO80" s="144"/>
      <c r="EP80" s="144"/>
      <c r="EQ80" s="144"/>
      <c r="EX80" s="144"/>
      <c r="EY80" s="144"/>
      <c r="EZ80" s="144"/>
      <c r="FG80" s="144"/>
      <c r="FH80" s="144"/>
      <c r="FI80" s="144"/>
    </row>
    <row r="81" spans="6:165"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G81" s="144"/>
      <c r="DH81" s="144"/>
      <c r="DI81" s="144"/>
      <c r="DJ81" s="144"/>
      <c r="DK81" s="144"/>
      <c r="DL81" s="144"/>
      <c r="DM81" s="144"/>
      <c r="DN81" s="144"/>
      <c r="DO81" s="144"/>
      <c r="DP81" s="144"/>
      <c r="DQ81" s="144"/>
      <c r="DR81" s="144"/>
      <c r="DS81" s="144"/>
      <c r="DV81" s="144"/>
      <c r="DW81" s="144"/>
      <c r="DX81" s="144"/>
      <c r="DY81" s="144"/>
      <c r="DZ81" s="144"/>
      <c r="EA81" s="144"/>
      <c r="EB81" s="144"/>
      <c r="EC81" s="144"/>
      <c r="ED81" s="144"/>
      <c r="EE81" s="144"/>
      <c r="EF81" s="144"/>
      <c r="EG81" s="144"/>
      <c r="EH81" s="144"/>
      <c r="EO81" s="144"/>
      <c r="EP81" s="144"/>
      <c r="EQ81" s="144"/>
      <c r="EX81" s="144"/>
      <c r="EY81" s="144"/>
      <c r="EZ81" s="144"/>
      <c r="FG81" s="144"/>
      <c r="FH81" s="144"/>
      <c r="FI81" s="144"/>
    </row>
    <row r="82" spans="6:165"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N82" s="144"/>
      <c r="BO82" s="144"/>
      <c r="BP82" s="144"/>
      <c r="BQ82" s="144"/>
      <c r="BR82" s="144"/>
      <c r="BS82" s="144"/>
      <c r="BT82" s="144"/>
      <c r="BU82" s="144"/>
      <c r="BV82" s="144"/>
      <c r="BW82" s="144"/>
      <c r="BX82" s="144"/>
      <c r="BY82" s="144"/>
      <c r="BZ82" s="144"/>
      <c r="CC82" s="144"/>
      <c r="CD82" s="144"/>
      <c r="CE82" s="144"/>
      <c r="CF82" s="144"/>
      <c r="CG82" s="144"/>
      <c r="CH82" s="144"/>
      <c r="CI82" s="144"/>
      <c r="CJ82" s="144"/>
      <c r="CK82" s="144"/>
      <c r="CL82" s="144"/>
      <c r="CM82" s="144"/>
      <c r="CN82" s="144"/>
      <c r="CO82" s="144"/>
      <c r="CR82" s="144"/>
      <c r="CS82" s="144"/>
      <c r="CT82" s="144"/>
      <c r="CU82" s="144"/>
      <c r="CV82" s="144"/>
      <c r="CW82" s="144"/>
      <c r="CX82" s="144"/>
      <c r="CY82" s="144"/>
      <c r="CZ82" s="144"/>
      <c r="DA82" s="144"/>
      <c r="DB82" s="144"/>
      <c r="DC82" s="144"/>
      <c r="DD82" s="144"/>
      <c r="DG82" s="144"/>
      <c r="DH82" s="144"/>
      <c r="DI82" s="144"/>
      <c r="DJ82" s="144"/>
      <c r="DK82" s="144"/>
      <c r="DL82" s="144"/>
      <c r="DM82" s="144"/>
      <c r="DN82" s="144"/>
      <c r="DO82" s="144"/>
      <c r="DP82" s="144"/>
      <c r="DQ82" s="144"/>
      <c r="DR82" s="144"/>
      <c r="DS82" s="144"/>
      <c r="DV82" s="144"/>
      <c r="DW82" s="144"/>
      <c r="DX82" s="144"/>
      <c r="DY82" s="144"/>
      <c r="DZ82" s="144"/>
      <c r="EA82" s="144"/>
      <c r="EB82" s="144"/>
      <c r="EC82" s="144"/>
      <c r="ED82" s="144"/>
      <c r="EE82" s="144"/>
      <c r="EF82" s="144"/>
      <c r="EG82" s="144"/>
      <c r="EH82" s="144"/>
      <c r="EO82" s="144"/>
      <c r="EP82" s="144"/>
      <c r="EQ82" s="144"/>
      <c r="EX82" s="144"/>
      <c r="EY82" s="144"/>
      <c r="EZ82" s="144"/>
      <c r="FG82" s="144"/>
      <c r="FH82" s="144"/>
      <c r="FI82" s="144"/>
    </row>
    <row r="83" spans="6:165"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N83" s="144"/>
      <c r="BO83" s="144"/>
      <c r="BP83" s="144"/>
      <c r="BQ83" s="144"/>
      <c r="BR83" s="144"/>
      <c r="BS83" s="144"/>
      <c r="BT83" s="144"/>
      <c r="BU83" s="144"/>
      <c r="BV83" s="144"/>
      <c r="BW83" s="144"/>
      <c r="BX83" s="144"/>
      <c r="BY83" s="144"/>
      <c r="BZ83" s="144"/>
      <c r="CC83" s="144"/>
      <c r="CD83" s="144"/>
      <c r="CE83" s="144"/>
      <c r="CF83" s="144"/>
      <c r="CG83" s="144"/>
      <c r="CH83" s="144"/>
      <c r="CI83" s="144"/>
      <c r="CJ83" s="144"/>
      <c r="CK83" s="144"/>
      <c r="CL83" s="144"/>
      <c r="CM83" s="144"/>
      <c r="CN83" s="144"/>
      <c r="CO83" s="144"/>
      <c r="CR83" s="144"/>
      <c r="CS83" s="144"/>
      <c r="CT83" s="144"/>
      <c r="CU83" s="144"/>
      <c r="CV83" s="144"/>
      <c r="CW83" s="144"/>
      <c r="CX83" s="144"/>
      <c r="CY83" s="144"/>
      <c r="CZ83" s="144"/>
      <c r="DA83" s="144"/>
      <c r="DB83" s="144"/>
      <c r="DC83" s="144"/>
      <c r="DD83" s="144"/>
      <c r="DG83" s="144"/>
      <c r="DH83" s="144"/>
      <c r="DI83" s="144"/>
      <c r="DJ83" s="144"/>
      <c r="DK83" s="144"/>
      <c r="DL83" s="144"/>
      <c r="DM83" s="144"/>
      <c r="DN83" s="144"/>
      <c r="DO83" s="144"/>
      <c r="DP83" s="144"/>
      <c r="DQ83" s="144"/>
      <c r="DR83" s="144"/>
      <c r="DS83" s="144"/>
      <c r="DV83" s="144"/>
      <c r="DW83" s="144"/>
      <c r="DX83" s="144"/>
      <c r="DY83" s="144"/>
      <c r="DZ83" s="144"/>
      <c r="EA83" s="144"/>
      <c r="EB83" s="144"/>
      <c r="EC83" s="144"/>
      <c r="ED83" s="144"/>
      <c r="EE83" s="144"/>
      <c r="EF83" s="144"/>
      <c r="EG83" s="144"/>
      <c r="EH83" s="144"/>
      <c r="EO83" s="144"/>
      <c r="EP83" s="144"/>
      <c r="EQ83" s="144"/>
      <c r="EX83" s="144"/>
      <c r="EY83" s="144"/>
      <c r="EZ83" s="144"/>
      <c r="FG83" s="144"/>
      <c r="FH83" s="144"/>
      <c r="FI83" s="144"/>
    </row>
    <row r="84" spans="6:165"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  <c r="CM84" s="144"/>
      <c r="CN84" s="144"/>
      <c r="CO84" s="144"/>
      <c r="CR84" s="144"/>
      <c r="CS84" s="144"/>
      <c r="CT84" s="144"/>
      <c r="CU84" s="144"/>
      <c r="CV84" s="144"/>
      <c r="CW84" s="144"/>
      <c r="CX84" s="144"/>
      <c r="CY84" s="144"/>
      <c r="CZ84" s="144"/>
      <c r="DA84" s="144"/>
      <c r="DB84" s="144"/>
      <c r="DC84" s="144"/>
      <c r="DD84" s="144"/>
      <c r="DG84" s="144"/>
      <c r="DH84" s="144"/>
      <c r="DI84" s="144"/>
      <c r="DJ84" s="144"/>
      <c r="DK84" s="144"/>
      <c r="DL84" s="144"/>
      <c r="DM84" s="144"/>
      <c r="DN84" s="144"/>
      <c r="DO84" s="144"/>
      <c r="DP84" s="144"/>
      <c r="DQ84" s="144"/>
      <c r="DR84" s="144"/>
      <c r="DS84" s="144"/>
      <c r="DV84" s="144"/>
      <c r="DW84" s="144"/>
      <c r="DX84" s="144"/>
      <c r="DY84" s="144"/>
      <c r="DZ84" s="144"/>
      <c r="EA84" s="144"/>
      <c r="EB84" s="144"/>
      <c r="EC84" s="144"/>
      <c r="ED84" s="144"/>
      <c r="EE84" s="144"/>
      <c r="EF84" s="144"/>
      <c r="EG84" s="144"/>
      <c r="EH84" s="144"/>
      <c r="EO84" s="144"/>
      <c r="EP84" s="144"/>
      <c r="EQ84" s="144"/>
      <c r="EX84" s="144"/>
      <c r="EY84" s="144"/>
      <c r="EZ84" s="144"/>
      <c r="FG84" s="144"/>
      <c r="FH84" s="144"/>
      <c r="FI84" s="144"/>
    </row>
    <row r="85" spans="6:165"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O85" s="144"/>
      <c r="EP85" s="144"/>
      <c r="EQ85" s="144"/>
      <c r="EX85" s="144"/>
      <c r="EY85" s="144"/>
      <c r="EZ85" s="144"/>
      <c r="FG85" s="144"/>
      <c r="FH85" s="144"/>
      <c r="FI85" s="144"/>
    </row>
    <row r="86" spans="6:165"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N86" s="144"/>
      <c r="BO86" s="144"/>
      <c r="BP86" s="144"/>
      <c r="BQ86" s="144"/>
      <c r="BR86" s="144"/>
      <c r="BS86" s="144"/>
      <c r="BT86" s="144"/>
      <c r="BU86" s="144"/>
      <c r="BV86" s="144"/>
      <c r="BW86" s="144"/>
      <c r="BX86" s="144"/>
      <c r="BY86" s="144"/>
      <c r="BZ86" s="144"/>
      <c r="CC86" s="144"/>
      <c r="CD86" s="144"/>
      <c r="CE86" s="144"/>
      <c r="CF86" s="144"/>
      <c r="CG86" s="144"/>
      <c r="CH86" s="144"/>
      <c r="CI86" s="144"/>
      <c r="CJ86" s="144"/>
      <c r="CK86" s="144"/>
      <c r="CL86" s="144"/>
      <c r="CM86" s="144"/>
      <c r="CN86" s="144"/>
      <c r="CO86" s="144"/>
      <c r="CR86" s="144"/>
      <c r="CS86" s="144"/>
      <c r="CT86" s="144"/>
      <c r="CU86" s="144"/>
      <c r="CV86" s="144"/>
      <c r="CW86" s="144"/>
      <c r="CX86" s="144"/>
      <c r="CY86" s="144"/>
      <c r="CZ86" s="144"/>
      <c r="DA86" s="144"/>
      <c r="DB86" s="144"/>
      <c r="DC86" s="144"/>
      <c r="DD86" s="144"/>
      <c r="DG86" s="144"/>
      <c r="DH86" s="144"/>
      <c r="DI86" s="144"/>
      <c r="DJ86" s="144"/>
      <c r="DK86" s="144"/>
      <c r="DL86" s="144"/>
      <c r="DM86" s="144"/>
      <c r="DN86" s="144"/>
      <c r="DO86" s="144"/>
      <c r="DP86" s="144"/>
      <c r="DQ86" s="144"/>
      <c r="DR86" s="144"/>
      <c r="DS86" s="144"/>
      <c r="DV86" s="144"/>
      <c r="DW86" s="144"/>
      <c r="DX86" s="144"/>
      <c r="DY86" s="144"/>
      <c r="DZ86" s="144"/>
      <c r="EA86" s="144"/>
      <c r="EB86" s="144"/>
      <c r="EC86" s="144"/>
      <c r="ED86" s="144"/>
      <c r="EE86" s="144"/>
      <c r="EF86" s="144"/>
      <c r="EG86" s="144"/>
      <c r="EH86" s="144"/>
      <c r="EO86" s="144"/>
      <c r="EP86" s="144"/>
      <c r="EQ86" s="144"/>
      <c r="EX86" s="144"/>
      <c r="EY86" s="144"/>
      <c r="EZ86" s="144"/>
      <c r="FG86" s="144"/>
      <c r="FH86" s="144"/>
      <c r="FI86" s="144"/>
    </row>
    <row r="87" spans="6:165"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N87" s="144"/>
      <c r="BO87" s="144"/>
      <c r="BP87" s="144"/>
      <c r="BQ87" s="144"/>
      <c r="BR87" s="144"/>
      <c r="BS87" s="144"/>
      <c r="BT87" s="144"/>
      <c r="BU87" s="144"/>
      <c r="BV87" s="144"/>
      <c r="BW87" s="144"/>
      <c r="BX87" s="144"/>
      <c r="BY87" s="144"/>
      <c r="BZ87" s="144"/>
      <c r="CC87" s="144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4"/>
      <c r="CO87" s="144"/>
      <c r="CR87" s="144"/>
      <c r="CS87" s="144"/>
      <c r="CT87" s="144"/>
      <c r="CU87" s="144"/>
      <c r="CV87" s="144"/>
      <c r="CW87" s="144"/>
      <c r="CX87" s="144"/>
      <c r="CY87" s="144"/>
      <c r="CZ87" s="144"/>
      <c r="DA87" s="144"/>
      <c r="DB87" s="144"/>
      <c r="DC87" s="144"/>
      <c r="DD87" s="144"/>
      <c r="DG87" s="144"/>
      <c r="DH87" s="144"/>
      <c r="DI87" s="144"/>
      <c r="DJ87" s="144"/>
      <c r="DK87" s="144"/>
      <c r="DL87" s="144"/>
      <c r="DM87" s="144"/>
      <c r="DN87" s="144"/>
      <c r="DO87" s="144"/>
      <c r="DP87" s="144"/>
      <c r="DQ87" s="144"/>
      <c r="DR87" s="144"/>
      <c r="DS87" s="144"/>
      <c r="DV87" s="144"/>
      <c r="DW87" s="144"/>
      <c r="DX87" s="144"/>
      <c r="DY87" s="144"/>
      <c r="DZ87" s="144"/>
      <c r="EA87" s="144"/>
      <c r="EB87" s="144"/>
      <c r="EC87" s="144"/>
      <c r="ED87" s="144"/>
      <c r="EE87" s="144"/>
      <c r="EF87" s="144"/>
      <c r="EG87" s="144"/>
      <c r="EH87" s="144"/>
      <c r="EO87" s="144"/>
      <c r="EP87" s="144"/>
      <c r="EQ87" s="144"/>
      <c r="EX87" s="144"/>
      <c r="EY87" s="144"/>
      <c r="EZ87" s="144"/>
      <c r="FG87" s="144"/>
      <c r="FH87" s="144"/>
      <c r="FI87" s="144"/>
    </row>
    <row r="88" spans="6:165"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N88" s="144"/>
      <c r="BO88" s="144"/>
      <c r="BP88" s="144"/>
      <c r="BQ88" s="144"/>
      <c r="BR88" s="144"/>
      <c r="BS88" s="144"/>
      <c r="BT88" s="144"/>
      <c r="BU88" s="144"/>
      <c r="BV88" s="144"/>
      <c r="BW88" s="144"/>
      <c r="BX88" s="144"/>
      <c r="BY88" s="144"/>
      <c r="BZ88" s="144"/>
      <c r="CC88" s="144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44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  <c r="DB88" s="144"/>
      <c r="DC88" s="144"/>
      <c r="DD88" s="144"/>
      <c r="DG88" s="144"/>
      <c r="DH88" s="144"/>
      <c r="DI88" s="144"/>
      <c r="DJ88" s="144"/>
      <c r="DK88" s="144"/>
      <c r="DL88" s="144"/>
      <c r="DM88" s="144"/>
      <c r="DN88" s="144"/>
      <c r="DO88" s="144"/>
      <c r="DP88" s="144"/>
      <c r="DQ88" s="144"/>
      <c r="DR88" s="144"/>
      <c r="DS88" s="144"/>
      <c r="DV88" s="144"/>
      <c r="DW88" s="144"/>
      <c r="DX88" s="144"/>
      <c r="DY88" s="144"/>
      <c r="DZ88" s="144"/>
      <c r="EA88" s="144"/>
      <c r="EB88" s="144"/>
      <c r="EC88" s="144"/>
      <c r="ED88" s="144"/>
      <c r="EE88" s="144"/>
      <c r="EF88" s="144"/>
      <c r="EG88" s="144"/>
      <c r="EH88" s="144"/>
      <c r="EO88" s="144"/>
      <c r="EP88" s="144"/>
      <c r="EQ88" s="144"/>
      <c r="EX88" s="144"/>
      <c r="EY88" s="144"/>
      <c r="EZ88" s="144"/>
      <c r="FG88" s="144"/>
      <c r="FH88" s="144"/>
      <c r="FI88" s="144"/>
    </row>
    <row r="89" spans="6:165"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C89" s="144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G89" s="144"/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/>
      <c r="EO89" s="144"/>
      <c r="EP89" s="144"/>
      <c r="EQ89" s="144"/>
      <c r="EX89" s="144"/>
      <c r="EY89" s="144"/>
      <c r="EZ89" s="144"/>
      <c r="FG89" s="144"/>
      <c r="FH89" s="144"/>
      <c r="FI89" s="144"/>
    </row>
    <row r="90" spans="6:165"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  <c r="CM90" s="144"/>
      <c r="CN90" s="144"/>
      <c r="CO90" s="144"/>
      <c r="CR90" s="144"/>
      <c r="CS90" s="144"/>
      <c r="CT90" s="144"/>
      <c r="CU90" s="144"/>
      <c r="CV90" s="144"/>
      <c r="CW90" s="144"/>
      <c r="CX90" s="144"/>
      <c r="CY90" s="144"/>
      <c r="CZ90" s="144"/>
      <c r="DA90" s="144"/>
      <c r="DB90" s="144"/>
      <c r="DC90" s="144"/>
      <c r="DD90" s="144"/>
      <c r="DG90" s="144"/>
      <c r="DH90" s="144"/>
      <c r="DI90" s="144"/>
      <c r="DJ90" s="144"/>
      <c r="DK90" s="144"/>
      <c r="DL90" s="144"/>
      <c r="DM90" s="144"/>
      <c r="DN90" s="144"/>
      <c r="DO90" s="144"/>
      <c r="DP90" s="144"/>
      <c r="DQ90" s="144"/>
      <c r="DR90" s="144"/>
      <c r="DS90" s="144"/>
      <c r="DV90" s="144"/>
      <c r="DW90" s="144"/>
      <c r="DX90" s="144"/>
      <c r="DY90" s="144"/>
      <c r="DZ90" s="144"/>
      <c r="EA90" s="144"/>
      <c r="EB90" s="144"/>
      <c r="EC90" s="144"/>
      <c r="ED90" s="144"/>
      <c r="EE90" s="144"/>
      <c r="EF90" s="144"/>
      <c r="EG90" s="144"/>
      <c r="EH90" s="144"/>
      <c r="EO90" s="144"/>
      <c r="EP90" s="144"/>
      <c r="EQ90" s="144"/>
      <c r="EX90" s="144"/>
      <c r="EY90" s="144"/>
      <c r="EZ90" s="144"/>
      <c r="FG90" s="144"/>
      <c r="FH90" s="144"/>
      <c r="FI90" s="144"/>
    </row>
    <row r="91" spans="6:165"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N91" s="144"/>
      <c r="BO91" s="144"/>
      <c r="BP91" s="144"/>
      <c r="BQ91" s="144"/>
      <c r="BR91" s="144"/>
      <c r="BS91" s="144"/>
      <c r="BT91" s="144"/>
      <c r="BU91" s="144"/>
      <c r="BV91" s="144"/>
      <c r="BW91" s="144"/>
      <c r="BX91" s="144"/>
      <c r="BY91" s="144"/>
      <c r="BZ91" s="144"/>
      <c r="CC91" s="144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144"/>
      <c r="CR91" s="144"/>
      <c r="CS91" s="144"/>
      <c r="CT91" s="144"/>
      <c r="CU91" s="144"/>
      <c r="CV91" s="144"/>
      <c r="CW91" s="144"/>
      <c r="CX91" s="144"/>
      <c r="CY91" s="144"/>
      <c r="CZ91" s="144"/>
      <c r="DA91" s="144"/>
      <c r="DB91" s="144"/>
      <c r="DC91" s="144"/>
      <c r="DD91" s="144"/>
      <c r="DG91" s="144"/>
      <c r="DH91" s="144"/>
      <c r="DI91" s="144"/>
      <c r="DJ91" s="144"/>
      <c r="DK91" s="144"/>
      <c r="DL91" s="144"/>
      <c r="DM91" s="144"/>
      <c r="DN91" s="144"/>
      <c r="DO91" s="144"/>
      <c r="DP91" s="144"/>
      <c r="DQ91" s="144"/>
      <c r="DR91" s="144"/>
      <c r="DS91" s="144"/>
      <c r="DV91" s="144"/>
      <c r="DW91" s="144"/>
      <c r="DX91" s="144"/>
      <c r="DY91" s="144"/>
      <c r="DZ91" s="144"/>
      <c r="EA91" s="144"/>
      <c r="EB91" s="144"/>
      <c r="EC91" s="144"/>
      <c r="ED91" s="144"/>
      <c r="EE91" s="144"/>
      <c r="EF91" s="144"/>
      <c r="EG91" s="144"/>
      <c r="EH91" s="144"/>
      <c r="EO91" s="144"/>
      <c r="EP91" s="144"/>
      <c r="EQ91" s="144"/>
      <c r="EX91" s="144"/>
      <c r="EY91" s="144"/>
      <c r="EZ91" s="144"/>
      <c r="FG91" s="144"/>
      <c r="FH91" s="144"/>
      <c r="FI91" s="144"/>
    </row>
    <row r="92" spans="6:165"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N92" s="144"/>
      <c r="BO92" s="144"/>
      <c r="BP92" s="144"/>
      <c r="BQ92" s="144"/>
      <c r="BR92" s="144"/>
      <c r="BS92" s="144"/>
      <c r="BT92" s="144"/>
      <c r="BU92" s="144"/>
      <c r="BV92" s="144"/>
      <c r="BW92" s="144"/>
      <c r="BX92" s="144"/>
      <c r="BY92" s="144"/>
      <c r="BZ92" s="144"/>
      <c r="CC92" s="144"/>
      <c r="CD92" s="144"/>
      <c r="CE92" s="144"/>
      <c r="CF92" s="144"/>
      <c r="CG92" s="144"/>
      <c r="CH92" s="144"/>
      <c r="CI92" s="144"/>
      <c r="CJ92" s="144"/>
      <c r="CK92" s="144"/>
      <c r="CL92" s="144"/>
      <c r="CM92" s="144"/>
      <c r="CN92" s="144"/>
      <c r="CO92" s="144"/>
      <c r="CR92" s="144"/>
      <c r="CS92" s="144"/>
      <c r="CT92" s="144"/>
      <c r="CU92" s="144"/>
      <c r="CV92" s="144"/>
      <c r="CW92" s="144"/>
      <c r="CX92" s="144"/>
      <c r="CY92" s="144"/>
      <c r="CZ92" s="144"/>
      <c r="DA92" s="144"/>
      <c r="DB92" s="144"/>
      <c r="DC92" s="144"/>
      <c r="DD92" s="144"/>
      <c r="DG92" s="144"/>
      <c r="DH92" s="144"/>
      <c r="DI92" s="144"/>
      <c r="DJ92" s="144"/>
      <c r="DK92" s="144"/>
      <c r="DL92" s="144"/>
      <c r="DM92" s="144"/>
      <c r="DN92" s="144"/>
      <c r="DO92" s="144"/>
      <c r="DP92" s="144"/>
      <c r="DQ92" s="144"/>
      <c r="DR92" s="144"/>
      <c r="DS92" s="144"/>
      <c r="DV92" s="144"/>
      <c r="DW92" s="144"/>
      <c r="DX92" s="144"/>
      <c r="DY92" s="144"/>
      <c r="DZ92" s="144"/>
      <c r="EA92" s="144"/>
      <c r="EB92" s="144"/>
      <c r="EC92" s="144"/>
      <c r="ED92" s="144"/>
      <c r="EE92" s="144"/>
      <c r="EF92" s="144"/>
      <c r="EG92" s="144"/>
      <c r="EH92" s="144"/>
      <c r="EO92" s="144"/>
      <c r="EP92" s="144"/>
      <c r="EQ92" s="144"/>
      <c r="EX92" s="144"/>
      <c r="EY92" s="144"/>
      <c r="EZ92" s="144"/>
      <c r="FG92" s="144"/>
      <c r="FH92" s="144"/>
      <c r="FI92" s="144"/>
    </row>
    <row r="93" spans="6:165"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C93" s="144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4"/>
      <c r="CO93" s="144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G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144"/>
      <c r="DS93" s="144"/>
      <c r="DV93" s="144"/>
      <c r="DW93" s="144"/>
      <c r="DX93" s="144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O93" s="144"/>
      <c r="EP93" s="144"/>
      <c r="EQ93" s="144"/>
      <c r="EX93" s="144"/>
      <c r="EY93" s="144"/>
      <c r="EZ93" s="144"/>
      <c r="FG93" s="144"/>
      <c r="FH93" s="144"/>
      <c r="FI93" s="144"/>
    </row>
    <row r="94" spans="6:165"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N94" s="144"/>
      <c r="BO94" s="144"/>
      <c r="BP94" s="144"/>
      <c r="BQ94" s="144"/>
      <c r="BR94" s="144"/>
      <c r="BS94" s="144"/>
      <c r="BT94" s="144"/>
      <c r="BU94" s="144"/>
      <c r="BV94" s="144"/>
      <c r="BW94" s="144"/>
      <c r="BX94" s="144"/>
      <c r="BY94" s="144"/>
      <c r="BZ94" s="144"/>
      <c r="CC94" s="144"/>
      <c r="CD94" s="144"/>
      <c r="CE94" s="144"/>
      <c r="CF94" s="144"/>
      <c r="CG94" s="144"/>
      <c r="CH94" s="144"/>
      <c r="CI94" s="144"/>
      <c r="CJ94" s="144"/>
      <c r="CK94" s="144"/>
      <c r="CL94" s="144"/>
      <c r="CM94" s="144"/>
      <c r="CN94" s="144"/>
      <c r="CO94" s="144"/>
      <c r="CR94" s="144"/>
      <c r="CS94" s="144"/>
      <c r="CT94" s="144"/>
      <c r="CU94" s="144"/>
      <c r="CV94" s="144"/>
      <c r="CW94" s="144"/>
      <c r="CX94" s="144"/>
      <c r="CY94" s="144"/>
      <c r="CZ94" s="144"/>
      <c r="DA94" s="144"/>
      <c r="DB94" s="144"/>
      <c r="DC94" s="144"/>
      <c r="DD94" s="144"/>
      <c r="DG94" s="144"/>
      <c r="DH94" s="144"/>
      <c r="DI94" s="144"/>
      <c r="DJ94" s="144"/>
      <c r="DK94" s="144"/>
      <c r="DL94" s="144"/>
      <c r="DM94" s="144"/>
      <c r="DN94" s="144"/>
      <c r="DO94" s="144"/>
      <c r="DP94" s="144"/>
      <c r="DQ94" s="144"/>
      <c r="DR94" s="144"/>
      <c r="DS94" s="144"/>
      <c r="DV94" s="144"/>
      <c r="DW94" s="144"/>
      <c r="DX94" s="144"/>
      <c r="DY94" s="144"/>
      <c r="DZ94" s="144"/>
      <c r="EA94" s="144"/>
      <c r="EB94" s="144"/>
      <c r="EC94" s="144"/>
      <c r="ED94" s="144"/>
      <c r="EE94" s="144"/>
      <c r="EF94" s="144"/>
      <c r="EG94" s="144"/>
      <c r="EH94" s="144"/>
      <c r="EO94" s="144"/>
      <c r="EP94" s="144"/>
      <c r="EQ94" s="144"/>
      <c r="EX94" s="144"/>
      <c r="EY94" s="144"/>
      <c r="EZ94" s="144"/>
      <c r="FG94" s="144"/>
      <c r="FH94" s="144"/>
      <c r="FI94" s="144"/>
    </row>
    <row r="95" spans="6:165"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4"/>
      <c r="BY95" s="144"/>
      <c r="BZ95" s="144"/>
      <c r="CC95" s="144"/>
      <c r="CD95" s="144"/>
      <c r="CE95" s="144"/>
      <c r="CF95" s="144"/>
      <c r="CG95" s="144"/>
      <c r="CH95" s="144"/>
      <c r="CI95" s="144"/>
      <c r="CJ95" s="144"/>
      <c r="CK95" s="144"/>
      <c r="CL95" s="144"/>
      <c r="CM95" s="144"/>
      <c r="CN95" s="144"/>
      <c r="CO95" s="144"/>
      <c r="CR95" s="144"/>
      <c r="CS95" s="144"/>
      <c r="CT95" s="144"/>
      <c r="CU95" s="144"/>
      <c r="CV95" s="144"/>
      <c r="CW95" s="144"/>
      <c r="CX95" s="144"/>
      <c r="CY95" s="144"/>
      <c r="CZ95" s="144"/>
      <c r="DA95" s="144"/>
      <c r="DB95" s="144"/>
      <c r="DC95" s="144"/>
      <c r="DD95" s="144"/>
      <c r="DG95" s="144"/>
      <c r="DH95" s="144"/>
      <c r="DI95" s="144"/>
      <c r="DJ95" s="144"/>
      <c r="DK95" s="144"/>
      <c r="DL95" s="144"/>
      <c r="DM95" s="144"/>
      <c r="DN95" s="144"/>
      <c r="DO95" s="144"/>
      <c r="DP95" s="144"/>
      <c r="DQ95" s="144"/>
      <c r="DR95" s="144"/>
      <c r="DS95" s="144"/>
      <c r="DV95" s="144"/>
      <c r="DW95" s="144"/>
      <c r="DX95" s="144"/>
      <c r="DY95" s="144"/>
      <c r="DZ95" s="144"/>
      <c r="EA95" s="144"/>
      <c r="EB95" s="144"/>
      <c r="EC95" s="144"/>
      <c r="ED95" s="144"/>
      <c r="EE95" s="144"/>
      <c r="EF95" s="144"/>
      <c r="EG95" s="144"/>
      <c r="EH95" s="144"/>
      <c r="EO95" s="144"/>
      <c r="EP95" s="144"/>
      <c r="EQ95" s="144"/>
      <c r="EX95" s="144"/>
      <c r="EY95" s="144"/>
      <c r="EZ95" s="144"/>
      <c r="FG95" s="144"/>
      <c r="FH95" s="144"/>
      <c r="FI95" s="144"/>
    </row>
    <row r="96" spans="6:165"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4"/>
      <c r="BY96" s="144"/>
      <c r="BZ96" s="144"/>
      <c r="CC96" s="144"/>
      <c r="CD96" s="144"/>
      <c r="CE96" s="144"/>
      <c r="CF96" s="144"/>
      <c r="CG96" s="144"/>
      <c r="CH96" s="144"/>
      <c r="CI96" s="144"/>
      <c r="CJ96" s="144"/>
      <c r="CK96" s="144"/>
      <c r="CL96" s="144"/>
      <c r="CM96" s="144"/>
      <c r="CN96" s="144"/>
      <c r="CO96" s="144"/>
      <c r="CR96" s="144"/>
      <c r="CS96" s="144"/>
      <c r="CT96" s="144"/>
      <c r="CU96" s="144"/>
      <c r="CV96" s="144"/>
      <c r="CW96" s="144"/>
      <c r="CX96" s="144"/>
      <c r="CY96" s="144"/>
      <c r="CZ96" s="144"/>
      <c r="DA96" s="144"/>
      <c r="DB96" s="144"/>
      <c r="DC96" s="144"/>
      <c r="DD96" s="144"/>
      <c r="DG96" s="144"/>
      <c r="DH96" s="144"/>
      <c r="DI96" s="144"/>
      <c r="DJ96" s="144"/>
      <c r="DK96" s="144"/>
      <c r="DL96" s="144"/>
      <c r="DM96" s="144"/>
      <c r="DN96" s="144"/>
      <c r="DO96" s="144"/>
      <c r="DP96" s="144"/>
      <c r="DQ96" s="144"/>
      <c r="DR96" s="144"/>
      <c r="DS96" s="144"/>
      <c r="DV96" s="144"/>
      <c r="DW96" s="144"/>
      <c r="DX96" s="144"/>
      <c r="DY96" s="144"/>
      <c r="DZ96" s="144"/>
      <c r="EA96" s="144"/>
      <c r="EB96" s="144"/>
      <c r="EC96" s="144"/>
      <c r="ED96" s="144"/>
      <c r="EE96" s="144"/>
      <c r="EF96" s="144"/>
      <c r="EG96" s="144"/>
      <c r="EH96" s="144"/>
      <c r="EO96" s="144"/>
      <c r="EP96" s="144"/>
      <c r="EQ96" s="144"/>
      <c r="EX96" s="144"/>
      <c r="EY96" s="144"/>
      <c r="EZ96" s="144"/>
      <c r="FG96" s="144"/>
      <c r="FH96" s="144"/>
      <c r="FI96" s="144"/>
    </row>
    <row r="97" spans="6:165"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N97" s="144"/>
      <c r="BO97" s="144"/>
      <c r="BP97" s="144"/>
      <c r="BQ97" s="144"/>
      <c r="BR97" s="144"/>
      <c r="BS97" s="144"/>
      <c r="BT97" s="144"/>
      <c r="BU97" s="144"/>
      <c r="BV97" s="144"/>
      <c r="BW97" s="144"/>
      <c r="BX97" s="144"/>
      <c r="BY97" s="144"/>
      <c r="BZ97" s="144"/>
      <c r="CC97" s="144"/>
      <c r="CD97" s="144"/>
      <c r="CE97" s="144"/>
      <c r="CF97" s="144"/>
      <c r="CG97" s="144"/>
      <c r="CH97" s="144"/>
      <c r="CI97" s="144"/>
      <c r="CJ97" s="144"/>
      <c r="CK97" s="144"/>
      <c r="CL97" s="144"/>
      <c r="CM97" s="144"/>
      <c r="CN97" s="144"/>
      <c r="CO97" s="144"/>
      <c r="CR97" s="144"/>
      <c r="CS97" s="144"/>
      <c r="CT97" s="144"/>
      <c r="CU97" s="144"/>
      <c r="CV97" s="144"/>
      <c r="CW97" s="144"/>
      <c r="CX97" s="144"/>
      <c r="CY97" s="144"/>
      <c r="CZ97" s="144"/>
      <c r="DA97" s="144"/>
      <c r="DB97" s="144"/>
      <c r="DC97" s="144"/>
      <c r="DD97" s="144"/>
      <c r="DG97" s="144"/>
      <c r="DH97" s="144"/>
      <c r="DI97" s="144"/>
      <c r="DJ97" s="144"/>
      <c r="DK97" s="144"/>
      <c r="DL97" s="144"/>
      <c r="DM97" s="144"/>
      <c r="DN97" s="144"/>
      <c r="DO97" s="144"/>
      <c r="DP97" s="144"/>
      <c r="DQ97" s="144"/>
      <c r="DR97" s="144"/>
      <c r="DS97" s="144"/>
      <c r="DV97" s="144"/>
      <c r="DW97" s="144"/>
      <c r="DX97" s="144"/>
      <c r="DY97" s="144"/>
      <c r="DZ97" s="144"/>
      <c r="EA97" s="144"/>
      <c r="EB97" s="144"/>
      <c r="EC97" s="144"/>
      <c r="ED97" s="144"/>
      <c r="EE97" s="144"/>
      <c r="EF97" s="144"/>
      <c r="EG97" s="144"/>
      <c r="EH97" s="144"/>
      <c r="EO97" s="144"/>
      <c r="EP97" s="144"/>
      <c r="EQ97" s="144"/>
      <c r="EX97" s="144"/>
      <c r="EY97" s="144"/>
      <c r="EZ97" s="144"/>
      <c r="FG97" s="144"/>
      <c r="FH97" s="144"/>
      <c r="FI97" s="144"/>
    </row>
    <row r="98" spans="6:165"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N98" s="144"/>
      <c r="BO98" s="144"/>
      <c r="BP98" s="144"/>
      <c r="BQ98" s="144"/>
      <c r="BR98" s="144"/>
      <c r="BS98" s="144"/>
      <c r="BT98" s="144"/>
      <c r="BU98" s="144"/>
      <c r="BV98" s="144"/>
      <c r="BW98" s="144"/>
      <c r="BX98" s="144"/>
      <c r="BY98" s="144"/>
      <c r="BZ98" s="144"/>
      <c r="CC98" s="144"/>
      <c r="CD98" s="144"/>
      <c r="CE98" s="144"/>
      <c r="CF98" s="144"/>
      <c r="CG98" s="144"/>
      <c r="CH98" s="144"/>
      <c r="CI98" s="144"/>
      <c r="CJ98" s="144"/>
      <c r="CK98" s="144"/>
      <c r="CL98" s="144"/>
      <c r="CM98" s="144"/>
      <c r="CN98" s="144"/>
      <c r="CO98" s="144"/>
      <c r="CR98" s="144"/>
      <c r="CS98" s="144"/>
      <c r="CT98" s="144"/>
      <c r="CU98" s="144"/>
      <c r="CV98" s="144"/>
      <c r="CW98" s="144"/>
      <c r="CX98" s="144"/>
      <c r="CY98" s="144"/>
      <c r="CZ98" s="144"/>
      <c r="DA98" s="144"/>
      <c r="DB98" s="144"/>
      <c r="DC98" s="144"/>
      <c r="DD98" s="144"/>
      <c r="DG98" s="144"/>
      <c r="DH98" s="144"/>
      <c r="DI98" s="144"/>
      <c r="DJ98" s="144"/>
      <c r="DK98" s="144"/>
      <c r="DL98" s="144"/>
      <c r="DM98" s="144"/>
      <c r="DN98" s="144"/>
      <c r="DO98" s="144"/>
      <c r="DP98" s="144"/>
      <c r="DQ98" s="144"/>
      <c r="DR98" s="144"/>
      <c r="DS98" s="144"/>
      <c r="DV98" s="144"/>
      <c r="DW98" s="144"/>
      <c r="DX98" s="144"/>
      <c r="DY98" s="144"/>
      <c r="DZ98" s="144"/>
      <c r="EA98" s="144"/>
      <c r="EB98" s="144"/>
      <c r="EC98" s="144"/>
      <c r="ED98" s="144"/>
      <c r="EE98" s="144"/>
      <c r="EF98" s="144"/>
      <c r="EG98" s="144"/>
      <c r="EH98" s="144"/>
      <c r="EO98" s="144"/>
      <c r="EP98" s="144"/>
      <c r="EQ98" s="144"/>
      <c r="EX98" s="144"/>
      <c r="EY98" s="144"/>
      <c r="EZ98" s="144"/>
      <c r="FG98" s="144"/>
      <c r="FH98" s="144"/>
      <c r="FI98" s="144"/>
    </row>
  </sheetData>
  <mergeCells count="114">
    <mergeCell ref="FD5:FF5"/>
    <mergeCell ref="FG5:FI5"/>
    <mergeCell ref="EI2:EQ2"/>
    <mergeCell ref="EL3:EN4"/>
    <mergeCell ref="EO3:EQ4"/>
    <mergeCell ref="EL5:EN5"/>
    <mergeCell ref="EO5:EQ5"/>
    <mergeCell ref="ER3:ET5"/>
    <mergeCell ref="EU3:EW4"/>
    <mergeCell ref="EX3:EZ4"/>
    <mergeCell ref="FA3:FC5"/>
    <mergeCell ref="FD3:FF4"/>
    <mergeCell ref="FG3:FI4"/>
    <mergeCell ref="EU5:EW5"/>
    <mergeCell ref="EX5:EZ5"/>
    <mergeCell ref="D52:R52"/>
    <mergeCell ref="D53:R53"/>
    <mergeCell ref="CA4:CC5"/>
    <mergeCell ref="CD4:CL4"/>
    <mergeCell ref="CP4:CR5"/>
    <mergeCell ref="CS4:DA4"/>
    <mergeCell ref="D54:R54"/>
    <mergeCell ref="DK5:DM5"/>
    <mergeCell ref="DN5:DP5"/>
    <mergeCell ref="D51:R51"/>
    <mergeCell ref="BI3:BK5"/>
    <mergeCell ref="AW4:AY5"/>
    <mergeCell ref="AZ4:BH4"/>
    <mergeCell ref="AK5:AM5"/>
    <mergeCell ref="AN5:AP5"/>
    <mergeCell ref="AQ5:AS5"/>
    <mergeCell ref="AE3:AG5"/>
    <mergeCell ref="AH3:AS3"/>
    <mergeCell ref="AT3:AV5"/>
    <mergeCell ref="AW3:BH3"/>
    <mergeCell ref="BL3:BW3"/>
    <mergeCell ref="BL4:BN5"/>
    <mergeCell ref="BO4:BW4"/>
    <mergeCell ref="DH5:DJ5"/>
    <mergeCell ref="CD5:CF5"/>
    <mergeCell ref="CG5:CI5"/>
    <mergeCell ref="CJ5:CL5"/>
    <mergeCell ref="CS5:CU5"/>
    <mergeCell ref="CV5:CX5"/>
    <mergeCell ref="CY5:DA5"/>
    <mergeCell ref="AZ5:BB5"/>
    <mergeCell ref="BC5:BE5"/>
    <mergeCell ref="BF5:BH5"/>
    <mergeCell ref="BO5:BQ5"/>
    <mergeCell ref="BR5:BT5"/>
    <mergeCell ref="BU5:BW5"/>
    <mergeCell ref="DE4:DG5"/>
    <mergeCell ref="A3:A6"/>
    <mergeCell ref="C3:C6"/>
    <mergeCell ref="D3:O3"/>
    <mergeCell ref="P3:R5"/>
    <mergeCell ref="S3:AD3"/>
    <mergeCell ref="B3:B6"/>
    <mergeCell ref="A50:C50"/>
    <mergeCell ref="G5:I5"/>
    <mergeCell ref="Y5:AA5"/>
    <mergeCell ref="AB5:AD5"/>
    <mergeCell ref="D4:F5"/>
    <mergeCell ref="G4:O4"/>
    <mergeCell ref="S4:U5"/>
    <mergeCell ref="AH4:AJ5"/>
    <mergeCell ref="AK4:AS4"/>
    <mergeCell ref="B11:B12"/>
    <mergeCell ref="B13:B15"/>
    <mergeCell ref="B16:B18"/>
    <mergeCell ref="B8:B9"/>
    <mergeCell ref="J5:L5"/>
    <mergeCell ref="M5:O5"/>
    <mergeCell ref="V5:X5"/>
    <mergeCell ref="V4:AD4"/>
    <mergeCell ref="FA1:FI1"/>
    <mergeCell ref="D1:R1"/>
    <mergeCell ref="S1:AG1"/>
    <mergeCell ref="AH1:AV1"/>
    <mergeCell ref="AW1:BK1"/>
    <mergeCell ref="BL1:BZ1"/>
    <mergeCell ref="CA1:CO1"/>
    <mergeCell ref="DE2:DS2"/>
    <mergeCell ref="DT2:EH2"/>
    <mergeCell ref="ER2:EZ2"/>
    <mergeCell ref="FA2:FI2"/>
    <mergeCell ref="BL2:BZ2"/>
    <mergeCell ref="CA2:CO2"/>
    <mergeCell ref="CP2:DD2"/>
    <mergeCell ref="D2:R2"/>
    <mergeCell ref="S2:AG2"/>
    <mergeCell ref="AH2:AV2"/>
    <mergeCell ref="AW2:BK2"/>
    <mergeCell ref="CP1:DD1"/>
    <mergeCell ref="DE1:DS1"/>
    <mergeCell ref="DT1:EH1"/>
    <mergeCell ref="EI1:EQ1"/>
    <mergeCell ref="EF3:EH5"/>
    <mergeCell ref="EI3:EK5"/>
    <mergeCell ref="BX3:BZ5"/>
    <mergeCell ref="CA3:CL3"/>
    <mergeCell ref="CM3:CO5"/>
    <mergeCell ref="CP3:DA3"/>
    <mergeCell ref="DB3:DD5"/>
    <mergeCell ref="DE3:DP3"/>
    <mergeCell ref="ER1:EZ1"/>
    <mergeCell ref="DH4:DP4"/>
    <mergeCell ref="DW5:DY5"/>
    <mergeCell ref="DZ5:EB5"/>
    <mergeCell ref="EC5:EE5"/>
    <mergeCell ref="DT4:DV5"/>
    <mergeCell ref="DW4:EE4"/>
    <mergeCell ref="DQ3:DS5"/>
    <mergeCell ref="DT3:EE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1" manualBreakCount="1">
    <brk id="26" max="164" man="1"/>
  </rowBreaks>
  <colBreaks count="11" manualBreakCount="11">
    <brk id="18" max="1048575" man="1"/>
    <brk id="33" max="53" man="1"/>
    <brk id="48" max="1048575" man="1"/>
    <brk id="63" max="53" man="1"/>
    <brk id="78" max="53" man="1"/>
    <brk id="93" max="53" man="1"/>
    <brk id="108" max="53" man="1"/>
    <brk id="123" max="53" man="1"/>
    <brk id="138" max="53" man="1"/>
    <brk id="147" max="53" man="1"/>
    <brk id="156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V25"/>
  <sheetViews>
    <sheetView view="pageBreakPreview" zoomScale="90" zoomScaleSheetLayoutView="90" workbookViewId="0">
      <selection activeCell="F10" sqref="F10"/>
    </sheetView>
  </sheetViews>
  <sheetFormatPr defaultRowHeight="15"/>
  <cols>
    <col min="2" max="2" width="14.42578125" customWidth="1"/>
    <col min="3" max="3" width="29.85546875" customWidth="1"/>
    <col min="4" max="5" width="10" bestFit="1" customWidth="1"/>
    <col min="6" max="6" width="11.42578125" bestFit="1" customWidth="1"/>
    <col min="7" max="9" width="10" bestFit="1" customWidth="1"/>
    <col min="11" max="15" width="10.42578125" bestFit="1" customWidth="1"/>
    <col min="16" max="21" width="9.28515625" bestFit="1" customWidth="1"/>
    <col min="37" max="37" width="9.5703125" bestFit="1" customWidth="1"/>
    <col min="46" max="46" width="11.28515625" customWidth="1"/>
    <col min="47" max="47" width="13.5703125" customWidth="1"/>
  </cols>
  <sheetData>
    <row r="1" spans="1:48" ht="23.25" customHeight="1">
      <c r="D1" s="476" t="s">
        <v>362</v>
      </c>
      <c r="E1" s="476"/>
      <c r="F1" s="476"/>
      <c r="G1" s="476"/>
      <c r="H1" s="476"/>
      <c r="I1" s="476"/>
      <c r="J1" s="475" t="s">
        <v>362</v>
      </c>
      <c r="K1" s="475"/>
      <c r="L1" s="475"/>
      <c r="M1" s="475"/>
      <c r="N1" s="475"/>
      <c r="O1" s="475"/>
      <c r="P1" s="475" t="s">
        <v>362</v>
      </c>
      <c r="Q1" s="475"/>
      <c r="R1" s="475"/>
      <c r="S1" s="475"/>
      <c r="T1" s="475"/>
      <c r="U1" s="475"/>
      <c r="V1" s="476" t="str">
        <f>D1</f>
        <v>RESULTS OF SECONDARY EXAMINATION- 2020</v>
      </c>
      <c r="W1" s="476"/>
      <c r="X1" s="476"/>
      <c r="Y1" s="476"/>
      <c r="Z1" s="476"/>
      <c r="AA1" s="476"/>
      <c r="AB1" s="476"/>
      <c r="AC1" s="476"/>
      <c r="AD1" s="476"/>
      <c r="AE1" s="476" t="str">
        <f>D1</f>
        <v>RESULTS OF SECONDARY EXAMINATION- 2020</v>
      </c>
      <c r="AF1" s="476"/>
      <c r="AG1" s="476"/>
      <c r="AH1" s="476"/>
      <c r="AI1" s="476"/>
      <c r="AJ1" s="476"/>
      <c r="AK1" s="476"/>
      <c r="AL1" s="476"/>
      <c r="AM1" s="476"/>
      <c r="AN1" s="476" t="s">
        <v>362</v>
      </c>
      <c r="AO1" s="476"/>
      <c r="AP1" s="476"/>
      <c r="AQ1" s="476"/>
      <c r="AR1" s="476"/>
      <c r="AS1" s="476"/>
      <c r="AT1" s="476"/>
      <c r="AU1" s="476"/>
      <c r="AV1" s="476"/>
    </row>
    <row r="2" spans="1:48" ht="15.75">
      <c r="A2" s="145"/>
      <c r="B2" s="145"/>
      <c r="C2" s="145"/>
      <c r="D2" s="464" t="s">
        <v>320</v>
      </c>
      <c r="E2" s="464"/>
      <c r="F2" s="464"/>
      <c r="G2" s="464"/>
      <c r="H2" s="464"/>
      <c r="I2" s="464"/>
      <c r="J2" s="464" t="s">
        <v>357</v>
      </c>
      <c r="K2" s="464"/>
      <c r="L2" s="464"/>
      <c r="M2" s="464"/>
      <c r="N2" s="464"/>
      <c r="O2" s="464"/>
      <c r="P2" s="464" t="s">
        <v>358</v>
      </c>
      <c r="Q2" s="464"/>
      <c r="R2" s="464"/>
      <c r="S2" s="464"/>
      <c r="T2" s="464"/>
      <c r="U2" s="464"/>
      <c r="V2" s="464" t="s">
        <v>359</v>
      </c>
      <c r="W2" s="464"/>
      <c r="X2" s="464"/>
      <c r="Y2" s="464"/>
      <c r="Z2" s="464"/>
      <c r="AA2" s="464"/>
      <c r="AB2" s="464"/>
      <c r="AC2" s="464"/>
      <c r="AD2" s="464"/>
      <c r="AE2" s="464" t="s">
        <v>360</v>
      </c>
      <c r="AF2" s="464"/>
      <c r="AG2" s="464"/>
      <c r="AH2" s="464"/>
      <c r="AI2" s="464"/>
      <c r="AJ2" s="464"/>
      <c r="AK2" s="464"/>
      <c r="AL2" s="464"/>
      <c r="AM2" s="464"/>
      <c r="AN2" s="464" t="s">
        <v>361</v>
      </c>
      <c r="AO2" s="464"/>
      <c r="AP2" s="464"/>
      <c r="AQ2" s="464"/>
      <c r="AR2" s="464"/>
      <c r="AS2" s="464"/>
      <c r="AT2" s="464"/>
      <c r="AU2" s="464"/>
      <c r="AV2" s="464"/>
    </row>
    <row r="3" spans="1:48" ht="15" customHeight="1">
      <c r="A3" s="470" t="s">
        <v>192</v>
      </c>
      <c r="B3" s="470" t="s">
        <v>368</v>
      </c>
      <c r="C3" s="470" t="s">
        <v>42</v>
      </c>
      <c r="D3" s="473" t="s">
        <v>188</v>
      </c>
      <c r="E3" s="474"/>
      <c r="F3" s="474"/>
      <c r="G3" s="474"/>
      <c r="H3" s="474"/>
      <c r="I3" s="474"/>
      <c r="J3" s="474" t="s">
        <v>188</v>
      </c>
      <c r="K3" s="474"/>
      <c r="L3" s="474"/>
      <c r="M3" s="474"/>
      <c r="N3" s="474"/>
      <c r="O3" s="474"/>
      <c r="P3" s="474" t="s">
        <v>188</v>
      </c>
      <c r="Q3" s="474"/>
      <c r="R3" s="474"/>
      <c r="S3" s="474"/>
      <c r="T3" s="474"/>
      <c r="U3" s="474"/>
      <c r="V3" s="447" t="s">
        <v>219</v>
      </c>
      <c r="W3" s="447"/>
      <c r="X3" s="447"/>
      <c r="Y3" s="447"/>
      <c r="Z3" s="447"/>
      <c r="AA3" s="447"/>
      <c r="AB3" s="447"/>
      <c r="AC3" s="447"/>
      <c r="AD3" s="447"/>
      <c r="AE3" s="447" t="s">
        <v>324</v>
      </c>
      <c r="AF3" s="447"/>
      <c r="AG3" s="447"/>
      <c r="AH3" s="447"/>
      <c r="AI3" s="447"/>
      <c r="AJ3" s="447"/>
      <c r="AK3" s="447"/>
      <c r="AL3" s="447"/>
      <c r="AM3" s="447"/>
      <c r="AN3" s="447" t="s">
        <v>325</v>
      </c>
      <c r="AO3" s="447"/>
      <c r="AP3" s="447"/>
      <c r="AQ3" s="447"/>
      <c r="AR3" s="447"/>
      <c r="AS3" s="447"/>
      <c r="AT3" s="447"/>
      <c r="AU3" s="447"/>
      <c r="AV3" s="447"/>
    </row>
    <row r="4" spans="1:48" ht="15" customHeight="1">
      <c r="A4" s="471"/>
      <c r="B4" s="471"/>
      <c r="C4" s="471"/>
      <c r="D4" s="458" t="s">
        <v>219</v>
      </c>
      <c r="E4" s="458"/>
      <c r="F4" s="458"/>
      <c r="G4" s="458"/>
      <c r="H4" s="458"/>
      <c r="I4" s="458"/>
      <c r="J4" s="458" t="s">
        <v>220</v>
      </c>
      <c r="K4" s="458"/>
      <c r="L4" s="458"/>
      <c r="M4" s="458"/>
      <c r="N4" s="458"/>
      <c r="O4" s="458"/>
      <c r="P4" s="458" t="s">
        <v>221</v>
      </c>
      <c r="Q4" s="458"/>
      <c r="R4" s="458"/>
      <c r="S4" s="458"/>
      <c r="T4" s="458"/>
      <c r="U4" s="458"/>
      <c r="V4" s="447" t="s">
        <v>193</v>
      </c>
      <c r="W4" s="447"/>
      <c r="X4" s="447"/>
      <c r="Y4" s="447" t="s">
        <v>194</v>
      </c>
      <c r="Z4" s="447"/>
      <c r="AA4" s="447"/>
      <c r="AB4" s="447" t="s">
        <v>195</v>
      </c>
      <c r="AC4" s="447"/>
      <c r="AD4" s="447"/>
      <c r="AE4" s="447" t="s">
        <v>193</v>
      </c>
      <c r="AF4" s="447"/>
      <c r="AG4" s="447"/>
      <c r="AH4" s="447" t="s">
        <v>194</v>
      </c>
      <c r="AI4" s="447"/>
      <c r="AJ4" s="447"/>
      <c r="AK4" s="447" t="s">
        <v>195</v>
      </c>
      <c r="AL4" s="447"/>
      <c r="AM4" s="447"/>
      <c r="AN4" s="447" t="s">
        <v>193</v>
      </c>
      <c r="AO4" s="447"/>
      <c r="AP4" s="447"/>
      <c r="AQ4" s="447" t="s">
        <v>194</v>
      </c>
      <c r="AR4" s="447"/>
      <c r="AS4" s="447"/>
      <c r="AT4" s="447" t="s">
        <v>195</v>
      </c>
      <c r="AU4" s="447"/>
      <c r="AV4" s="447"/>
    </row>
    <row r="5" spans="1:48" ht="30.75" customHeight="1">
      <c r="A5" s="471"/>
      <c r="B5" s="471"/>
      <c r="C5" s="471"/>
      <c r="D5" s="458" t="s">
        <v>5</v>
      </c>
      <c r="E5" s="458"/>
      <c r="F5" s="458"/>
      <c r="G5" s="458" t="s">
        <v>6</v>
      </c>
      <c r="H5" s="458"/>
      <c r="I5" s="458"/>
      <c r="J5" s="458" t="s">
        <v>5</v>
      </c>
      <c r="K5" s="458"/>
      <c r="L5" s="458"/>
      <c r="M5" s="458" t="s">
        <v>6</v>
      </c>
      <c r="N5" s="458"/>
      <c r="O5" s="458"/>
      <c r="P5" s="458" t="s">
        <v>5</v>
      </c>
      <c r="Q5" s="458"/>
      <c r="R5" s="458"/>
      <c r="S5" s="458" t="s">
        <v>6</v>
      </c>
      <c r="T5" s="458"/>
      <c r="U5" s="458"/>
      <c r="V5" s="447"/>
      <c r="W5" s="447"/>
      <c r="X5" s="447"/>
      <c r="Y5" s="447" t="s">
        <v>196</v>
      </c>
      <c r="Z5" s="447"/>
      <c r="AA5" s="447"/>
      <c r="AB5" s="447" t="s">
        <v>196</v>
      </c>
      <c r="AC5" s="447"/>
      <c r="AD5" s="447"/>
      <c r="AE5" s="447"/>
      <c r="AF5" s="447"/>
      <c r="AG5" s="447"/>
      <c r="AH5" s="447" t="s">
        <v>196</v>
      </c>
      <c r="AI5" s="447"/>
      <c r="AJ5" s="447"/>
      <c r="AK5" s="447" t="s">
        <v>196</v>
      </c>
      <c r="AL5" s="447"/>
      <c r="AM5" s="447"/>
      <c r="AN5" s="447"/>
      <c r="AO5" s="447"/>
      <c r="AP5" s="447"/>
      <c r="AQ5" s="447" t="s">
        <v>196</v>
      </c>
      <c r="AR5" s="447"/>
      <c r="AS5" s="447"/>
      <c r="AT5" s="447" t="s">
        <v>196</v>
      </c>
      <c r="AU5" s="447"/>
      <c r="AV5" s="447"/>
    </row>
    <row r="6" spans="1:48">
      <c r="A6" s="472"/>
      <c r="B6" s="472"/>
      <c r="C6" s="472"/>
      <c r="D6" s="375" t="s">
        <v>43</v>
      </c>
      <c r="E6" s="375" t="s">
        <v>44</v>
      </c>
      <c r="F6" s="375" t="s">
        <v>3</v>
      </c>
      <c r="G6" s="375" t="s">
        <v>43</v>
      </c>
      <c r="H6" s="375" t="s">
        <v>44</v>
      </c>
      <c r="I6" s="375" t="s">
        <v>3</v>
      </c>
      <c r="J6" s="375" t="s">
        <v>43</v>
      </c>
      <c r="K6" s="375" t="s">
        <v>44</v>
      </c>
      <c r="L6" s="375" t="s">
        <v>3</v>
      </c>
      <c r="M6" s="375" t="s">
        <v>43</v>
      </c>
      <c r="N6" s="375" t="s">
        <v>44</v>
      </c>
      <c r="O6" s="375" t="s">
        <v>3</v>
      </c>
      <c r="P6" s="379" t="s">
        <v>43</v>
      </c>
      <c r="Q6" s="379" t="s">
        <v>44</v>
      </c>
      <c r="R6" s="379" t="s">
        <v>3</v>
      </c>
      <c r="S6" s="379" t="s">
        <v>43</v>
      </c>
      <c r="T6" s="379" t="s">
        <v>44</v>
      </c>
      <c r="U6" s="379" t="s">
        <v>3</v>
      </c>
      <c r="V6" s="375" t="s">
        <v>43</v>
      </c>
      <c r="W6" s="375" t="s">
        <v>44</v>
      </c>
      <c r="X6" s="375" t="s">
        <v>3</v>
      </c>
      <c r="Y6" s="375" t="s">
        <v>43</v>
      </c>
      <c r="Z6" s="375" t="s">
        <v>44</v>
      </c>
      <c r="AA6" s="375" t="s">
        <v>3</v>
      </c>
      <c r="AB6" s="375" t="s">
        <v>43</v>
      </c>
      <c r="AC6" s="375" t="s">
        <v>44</v>
      </c>
      <c r="AD6" s="375" t="s">
        <v>3</v>
      </c>
      <c r="AE6" s="375" t="s">
        <v>43</v>
      </c>
      <c r="AF6" s="375" t="s">
        <v>44</v>
      </c>
      <c r="AG6" s="375" t="s">
        <v>3</v>
      </c>
      <c r="AH6" s="375" t="s">
        <v>43</v>
      </c>
      <c r="AI6" s="375" t="s">
        <v>44</v>
      </c>
      <c r="AJ6" s="375" t="s">
        <v>3</v>
      </c>
      <c r="AK6" s="375" t="s">
        <v>43</v>
      </c>
      <c r="AL6" s="375" t="s">
        <v>44</v>
      </c>
      <c r="AM6" s="375" t="s">
        <v>3</v>
      </c>
      <c r="AN6" s="375" t="s">
        <v>43</v>
      </c>
      <c r="AO6" s="375" t="s">
        <v>44</v>
      </c>
      <c r="AP6" s="375" t="s">
        <v>3</v>
      </c>
      <c r="AQ6" s="375" t="s">
        <v>43</v>
      </c>
      <c r="AR6" s="375" t="s">
        <v>44</v>
      </c>
      <c r="AS6" s="375" t="s">
        <v>3</v>
      </c>
      <c r="AT6" s="375" t="s">
        <v>43</v>
      </c>
      <c r="AU6" s="375" t="s">
        <v>44</v>
      </c>
      <c r="AV6" s="375" t="s">
        <v>3</v>
      </c>
    </row>
    <row r="7" spans="1:48" ht="15.75">
      <c r="A7" s="357">
        <v>1</v>
      </c>
      <c r="B7" s="357">
        <v>2</v>
      </c>
      <c r="C7" s="357">
        <v>3</v>
      </c>
      <c r="D7" s="357">
        <v>4</v>
      </c>
      <c r="E7" s="357">
        <v>5</v>
      </c>
      <c r="F7" s="357">
        <v>6</v>
      </c>
      <c r="G7" s="357">
        <v>7</v>
      </c>
      <c r="H7" s="357">
        <v>8</v>
      </c>
      <c r="I7" s="357">
        <v>9</v>
      </c>
      <c r="J7" s="357">
        <v>10</v>
      </c>
      <c r="K7" s="357">
        <v>11</v>
      </c>
      <c r="L7" s="357">
        <v>12</v>
      </c>
      <c r="M7" s="357">
        <v>13</v>
      </c>
      <c r="N7" s="357">
        <v>14</v>
      </c>
      <c r="O7" s="357">
        <v>15</v>
      </c>
      <c r="P7" s="357">
        <v>16</v>
      </c>
      <c r="Q7" s="357">
        <v>17</v>
      </c>
      <c r="R7" s="357">
        <v>18</v>
      </c>
      <c r="S7" s="357">
        <v>19</v>
      </c>
      <c r="T7" s="357">
        <v>20</v>
      </c>
      <c r="U7" s="357">
        <v>21</v>
      </c>
      <c r="V7" s="358">
        <v>4</v>
      </c>
      <c r="W7" s="358">
        <v>5</v>
      </c>
      <c r="X7" s="358">
        <v>6</v>
      </c>
      <c r="Y7" s="358">
        <v>7</v>
      </c>
      <c r="Z7" s="358">
        <v>8</v>
      </c>
      <c r="AA7" s="358">
        <v>9</v>
      </c>
      <c r="AB7" s="358">
        <v>10</v>
      </c>
      <c r="AC7" s="358">
        <v>11</v>
      </c>
      <c r="AD7" s="358">
        <v>12</v>
      </c>
      <c r="AE7" s="358">
        <v>4</v>
      </c>
      <c r="AF7" s="358">
        <v>5</v>
      </c>
      <c r="AG7" s="358">
        <v>6</v>
      </c>
      <c r="AH7" s="358">
        <v>7</v>
      </c>
      <c r="AI7" s="358">
        <v>8</v>
      </c>
      <c r="AJ7" s="358">
        <v>9</v>
      </c>
      <c r="AK7" s="358">
        <v>10</v>
      </c>
      <c r="AL7" s="358">
        <v>11</v>
      </c>
      <c r="AM7" s="358">
        <v>12</v>
      </c>
      <c r="AN7" s="358">
        <v>4</v>
      </c>
      <c r="AO7" s="358">
        <v>5</v>
      </c>
      <c r="AP7" s="358">
        <v>6</v>
      </c>
      <c r="AQ7" s="358">
        <v>7</v>
      </c>
      <c r="AR7" s="358">
        <v>8</v>
      </c>
      <c r="AS7" s="358">
        <v>9</v>
      </c>
      <c r="AT7" s="358">
        <v>10</v>
      </c>
      <c r="AU7" s="358">
        <v>11</v>
      </c>
      <c r="AV7" s="358">
        <v>12</v>
      </c>
    </row>
    <row r="8" spans="1:48" ht="31.5">
      <c r="A8" s="403">
        <v>1</v>
      </c>
      <c r="B8" s="403" t="s">
        <v>369</v>
      </c>
      <c r="C8" s="404" t="s">
        <v>226</v>
      </c>
      <c r="D8" s="360">
        <f>98661+60106</f>
        <v>158767</v>
      </c>
      <c r="E8" s="360">
        <f>54020+24373</f>
        <v>78393</v>
      </c>
      <c r="F8" s="360">
        <f>D8+E8</f>
        <v>237160</v>
      </c>
      <c r="G8" s="360">
        <f>80546+31648</f>
        <v>112194</v>
      </c>
      <c r="H8" s="360">
        <f>42189+12530</f>
        <v>54719</v>
      </c>
      <c r="I8" s="360">
        <f>G8+H8</f>
        <v>166913</v>
      </c>
      <c r="J8" s="360">
        <f>9436+4467</f>
        <v>13903</v>
      </c>
      <c r="K8" s="360">
        <f>5564+1964</f>
        <v>7528</v>
      </c>
      <c r="L8" s="360">
        <f>J8+K8</f>
        <v>21431</v>
      </c>
      <c r="M8" s="360">
        <f>7523+2065</f>
        <v>9588</v>
      </c>
      <c r="N8" s="360">
        <f>4226+906</f>
        <v>5132</v>
      </c>
      <c r="O8" s="360">
        <f>M8+N8</f>
        <v>14720</v>
      </c>
      <c r="P8" s="360">
        <f>5093+6395</f>
        <v>11488</v>
      </c>
      <c r="Q8" s="360">
        <f>4202+1696</f>
        <v>5898</v>
      </c>
      <c r="R8" s="360">
        <f>P8+Q8</f>
        <v>17386</v>
      </c>
      <c r="S8" s="360">
        <v>6148</v>
      </c>
      <c r="T8" s="360">
        <v>4969</v>
      </c>
      <c r="U8" s="360">
        <f>S8+T8</f>
        <v>11117</v>
      </c>
      <c r="V8" s="360">
        <f t="shared" ref="V8:X15" si="0">G8</f>
        <v>112194</v>
      </c>
      <c r="W8" s="360">
        <f t="shared" si="0"/>
        <v>54719</v>
      </c>
      <c r="X8" s="360">
        <f t="shared" si="0"/>
        <v>166913</v>
      </c>
      <c r="Y8" s="360">
        <f>1470+42226</f>
        <v>43696</v>
      </c>
      <c r="Z8" s="360">
        <f>760+23333</f>
        <v>24093</v>
      </c>
      <c r="AA8" s="360">
        <f>Y8+Z8</f>
        <v>67789</v>
      </c>
      <c r="AB8" s="361">
        <f t="shared" ref="AB8:AD10" si="1">Y8/V8%</f>
        <v>38.946824250851201</v>
      </c>
      <c r="AC8" s="361">
        <f t="shared" si="1"/>
        <v>44.030409912461849</v>
      </c>
      <c r="AD8" s="361">
        <f t="shared" si="1"/>
        <v>40.613373434064449</v>
      </c>
      <c r="AE8" s="360">
        <f t="shared" ref="AE8:AG15" si="2">M8</f>
        <v>9588</v>
      </c>
      <c r="AF8" s="360">
        <f t="shared" si="2"/>
        <v>5132</v>
      </c>
      <c r="AG8" s="360">
        <f t="shared" si="2"/>
        <v>14720</v>
      </c>
      <c r="AH8" s="360">
        <f>111+3597</f>
        <v>3708</v>
      </c>
      <c r="AI8" s="360">
        <f>38+2286</f>
        <v>2324</v>
      </c>
      <c r="AJ8" s="360">
        <f>AH8+AI8</f>
        <v>6032</v>
      </c>
      <c r="AK8" s="361">
        <f t="shared" ref="AK8:AM10" si="3">AH8/AE8%</f>
        <v>38.673341677096374</v>
      </c>
      <c r="AL8" s="361">
        <f t="shared" si="3"/>
        <v>45.284489477786437</v>
      </c>
      <c r="AM8" s="361">
        <f t="shared" si="3"/>
        <v>40.978260869565219</v>
      </c>
      <c r="AN8" s="360">
        <f t="shared" ref="AN8:AP15" si="4">S8</f>
        <v>6148</v>
      </c>
      <c r="AO8" s="360">
        <f t="shared" si="4"/>
        <v>4969</v>
      </c>
      <c r="AP8" s="360">
        <f t="shared" si="4"/>
        <v>11117</v>
      </c>
      <c r="AQ8" s="360">
        <f>44+1685</f>
        <v>1729</v>
      </c>
      <c r="AR8" s="360">
        <f>56+1411</f>
        <v>1467</v>
      </c>
      <c r="AS8" s="360">
        <f>AQ8+AR8</f>
        <v>3196</v>
      </c>
      <c r="AT8" s="361">
        <f t="shared" ref="AT8:AV10" si="5">AQ8/AN8%</f>
        <v>28.122966818477554</v>
      </c>
      <c r="AU8" s="361">
        <f t="shared" si="5"/>
        <v>29.52304286576776</v>
      </c>
      <c r="AV8" s="361">
        <f t="shared" si="5"/>
        <v>28.74876315552757</v>
      </c>
    </row>
    <row r="9" spans="1:48" ht="31.5">
      <c r="A9" s="403">
        <v>2</v>
      </c>
      <c r="B9" s="408" t="s">
        <v>370</v>
      </c>
      <c r="C9" s="404" t="s">
        <v>322</v>
      </c>
      <c r="D9" s="360">
        <v>35324</v>
      </c>
      <c r="E9" s="360">
        <v>35884</v>
      </c>
      <c r="F9" s="360">
        <f t="shared" ref="F9:F15" si="6">D9+E9</f>
        <v>71208</v>
      </c>
      <c r="G9" s="360">
        <v>35175</v>
      </c>
      <c r="H9" s="360">
        <v>35831</v>
      </c>
      <c r="I9" s="360">
        <f t="shared" ref="I9:I15" si="7">G9+H9</f>
        <v>71006</v>
      </c>
      <c r="J9" s="360">
        <v>7646</v>
      </c>
      <c r="K9" s="360">
        <v>8654</v>
      </c>
      <c r="L9" s="360">
        <f t="shared" ref="L9:L15" si="8">J9+K9</f>
        <v>16300</v>
      </c>
      <c r="M9" s="360">
        <f>6655+973</f>
        <v>7628</v>
      </c>
      <c r="N9" s="360">
        <v>8548</v>
      </c>
      <c r="O9" s="360">
        <f t="shared" ref="O9:O15" si="9">M9+N9</f>
        <v>16176</v>
      </c>
      <c r="P9" s="360">
        <v>3163</v>
      </c>
      <c r="Q9" s="360">
        <v>2581</v>
      </c>
      <c r="R9" s="360">
        <f>P9+Q9</f>
        <v>5744</v>
      </c>
      <c r="S9" s="360">
        <f>2762+395</f>
        <v>3157</v>
      </c>
      <c r="T9" s="360">
        <f>2353+223</f>
        <v>2576</v>
      </c>
      <c r="U9" s="360">
        <f t="shared" ref="U9:U15" si="10">S9+T9</f>
        <v>5733</v>
      </c>
      <c r="V9" s="360">
        <f t="shared" si="0"/>
        <v>35175</v>
      </c>
      <c r="W9" s="360">
        <f t="shared" si="0"/>
        <v>35831</v>
      </c>
      <c r="X9" s="360">
        <f t="shared" si="0"/>
        <v>71006</v>
      </c>
      <c r="Y9" s="360">
        <v>429</v>
      </c>
      <c r="Z9" s="360">
        <v>398</v>
      </c>
      <c r="AA9" s="360">
        <f t="shared" ref="AA9" si="11">Y9+Z9</f>
        <v>827</v>
      </c>
      <c r="AB9" s="361">
        <f t="shared" si="1"/>
        <v>1.2196162046908317</v>
      </c>
      <c r="AC9" s="361">
        <f t="shared" si="1"/>
        <v>1.1107700036281432</v>
      </c>
      <c r="AD9" s="361">
        <f t="shared" si="1"/>
        <v>1.1646903078613076</v>
      </c>
      <c r="AE9" s="360">
        <f t="shared" si="2"/>
        <v>7628</v>
      </c>
      <c r="AF9" s="360">
        <f t="shared" si="2"/>
        <v>8548</v>
      </c>
      <c r="AG9" s="360">
        <f t="shared" si="2"/>
        <v>16176</v>
      </c>
      <c r="AH9" s="360">
        <v>70</v>
      </c>
      <c r="AI9" s="360">
        <v>86</v>
      </c>
      <c r="AJ9" s="360">
        <f t="shared" ref="AJ9" si="12">AH9+AI9</f>
        <v>156</v>
      </c>
      <c r="AK9" s="361">
        <f t="shared" si="3"/>
        <v>0.91767173571054006</v>
      </c>
      <c r="AL9" s="361">
        <f t="shared" si="3"/>
        <v>1.0060832943378568</v>
      </c>
      <c r="AM9" s="361">
        <f t="shared" si="3"/>
        <v>0.96439169139465886</v>
      </c>
      <c r="AN9" s="360">
        <f t="shared" si="4"/>
        <v>3157</v>
      </c>
      <c r="AO9" s="360">
        <f t="shared" si="4"/>
        <v>2576</v>
      </c>
      <c r="AP9" s="360">
        <f t="shared" si="4"/>
        <v>5733</v>
      </c>
      <c r="AQ9" s="360">
        <v>21</v>
      </c>
      <c r="AR9" s="360">
        <v>11</v>
      </c>
      <c r="AS9" s="360">
        <f t="shared" ref="AS9" si="13">AQ9+AR9</f>
        <v>32</v>
      </c>
      <c r="AT9" s="361">
        <f t="shared" si="5"/>
        <v>0.66518847006651882</v>
      </c>
      <c r="AU9" s="361">
        <f t="shared" si="5"/>
        <v>0.42701863354037267</v>
      </c>
      <c r="AV9" s="361">
        <f t="shared" si="5"/>
        <v>0.55817198674341528</v>
      </c>
    </row>
    <row r="10" spans="1:48" ht="31.5">
      <c r="A10" s="403">
        <v>3</v>
      </c>
      <c r="B10" s="403" t="s">
        <v>375</v>
      </c>
      <c r="C10" s="404" t="s">
        <v>223</v>
      </c>
      <c r="D10" s="360">
        <v>38938</v>
      </c>
      <c r="E10" s="360">
        <v>26940</v>
      </c>
      <c r="F10" s="360">
        <f>D10+E10</f>
        <v>65878</v>
      </c>
      <c r="G10" s="360">
        <v>34826</v>
      </c>
      <c r="H10" s="360">
        <v>23768</v>
      </c>
      <c r="I10" s="360">
        <f>G10+H10</f>
        <v>58594</v>
      </c>
      <c r="J10" s="360">
        <v>6101</v>
      </c>
      <c r="K10" s="360">
        <v>4370</v>
      </c>
      <c r="L10" s="360">
        <f>J10+K10</f>
        <v>10471</v>
      </c>
      <c r="M10" s="360">
        <v>5559</v>
      </c>
      <c r="N10" s="360">
        <v>3868</v>
      </c>
      <c r="O10" s="360">
        <f>M10+N10</f>
        <v>9427</v>
      </c>
      <c r="P10" s="360">
        <v>9648</v>
      </c>
      <c r="Q10" s="360">
        <v>7536</v>
      </c>
      <c r="R10" s="360">
        <f>P10+Q10</f>
        <v>17184</v>
      </c>
      <c r="S10" s="360">
        <v>8249</v>
      </c>
      <c r="T10" s="360">
        <v>6438</v>
      </c>
      <c r="U10" s="360">
        <f>S10+T10</f>
        <v>14687</v>
      </c>
      <c r="V10" s="360">
        <f t="shared" si="0"/>
        <v>34826</v>
      </c>
      <c r="W10" s="360">
        <f t="shared" si="0"/>
        <v>23768</v>
      </c>
      <c r="X10" s="360">
        <f t="shared" si="0"/>
        <v>58594</v>
      </c>
      <c r="Y10" s="360">
        <v>18790</v>
      </c>
      <c r="Z10" s="360">
        <v>13193</v>
      </c>
      <c r="AA10" s="360">
        <f>Y10+Z10</f>
        <v>31983</v>
      </c>
      <c r="AB10" s="361">
        <f t="shared" si="1"/>
        <v>53.953942456785164</v>
      </c>
      <c r="AC10" s="361">
        <f t="shared" si="1"/>
        <v>55.507404914170309</v>
      </c>
      <c r="AD10" s="361">
        <f t="shared" si="1"/>
        <v>54.584087107895002</v>
      </c>
      <c r="AE10" s="360">
        <f t="shared" si="2"/>
        <v>5559</v>
      </c>
      <c r="AF10" s="360">
        <f t="shared" si="2"/>
        <v>3868</v>
      </c>
      <c r="AG10" s="360">
        <f t="shared" si="2"/>
        <v>9427</v>
      </c>
      <c r="AH10" s="360">
        <v>3150</v>
      </c>
      <c r="AI10" s="360">
        <v>2243</v>
      </c>
      <c r="AJ10" s="360">
        <f>AH10+AI10</f>
        <v>5393</v>
      </c>
      <c r="AK10" s="361">
        <f t="shared" si="3"/>
        <v>56.664867781975175</v>
      </c>
      <c r="AL10" s="361">
        <f t="shared" si="3"/>
        <v>57.988624612202692</v>
      </c>
      <c r="AM10" s="361">
        <f t="shared" si="3"/>
        <v>57.208019518404583</v>
      </c>
      <c r="AN10" s="360">
        <f t="shared" si="4"/>
        <v>8249</v>
      </c>
      <c r="AO10" s="360">
        <f t="shared" si="4"/>
        <v>6438</v>
      </c>
      <c r="AP10" s="360">
        <f t="shared" si="4"/>
        <v>14687</v>
      </c>
      <c r="AQ10" s="360">
        <v>4356</v>
      </c>
      <c r="AR10" s="360">
        <v>3390</v>
      </c>
      <c r="AS10" s="360">
        <f>AQ10+AR10</f>
        <v>7746</v>
      </c>
      <c r="AT10" s="361">
        <f t="shared" si="5"/>
        <v>52.806400775851621</v>
      </c>
      <c r="AU10" s="361">
        <f t="shared" si="5"/>
        <v>52.656104380242319</v>
      </c>
      <c r="AV10" s="361">
        <f t="shared" si="5"/>
        <v>52.740518826172803</v>
      </c>
    </row>
    <row r="11" spans="1:48" ht="31.5">
      <c r="A11" s="403">
        <v>4</v>
      </c>
      <c r="B11" s="408" t="s">
        <v>387</v>
      </c>
      <c r="C11" s="404" t="s">
        <v>225</v>
      </c>
      <c r="D11" s="386">
        <v>75840</v>
      </c>
      <c r="E11" s="386">
        <v>46483</v>
      </c>
      <c r="F11" s="360">
        <f t="shared" si="6"/>
        <v>122323</v>
      </c>
      <c r="G11" s="386">
        <v>24947</v>
      </c>
      <c r="H11" s="386">
        <v>17193</v>
      </c>
      <c r="I11" s="360">
        <f t="shared" si="7"/>
        <v>42140</v>
      </c>
      <c r="J11" s="386">
        <v>16453</v>
      </c>
      <c r="K11" s="386">
        <v>10066</v>
      </c>
      <c r="L11" s="360">
        <f>J11+K11</f>
        <v>26519</v>
      </c>
      <c r="M11" s="386">
        <v>4884</v>
      </c>
      <c r="N11" s="386">
        <v>3324</v>
      </c>
      <c r="O11" s="360">
        <f t="shared" si="9"/>
        <v>8208</v>
      </c>
      <c r="P11" s="386">
        <v>13464</v>
      </c>
      <c r="Q11" s="386">
        <v>10577</v>
      </c>
      <c r="R11" s="360">
        <f t="shared" ref="R11:R15" si="14">P11+Q11</f>
        <v>24041</v>
      </c>
      <c r="S11" s="386">
        <v>4447</v>
      </c>
      <c r="T11" s="386">
        <v>3834</v>
      </c>
      <c r="U11" s="360">
        <f t="shared" si="10"/>
        <v>8281</v>
      </c>
      <c r="V11" s="360">
        <f t="shared" si="0"/>
        <v>24947</v>
      </c>
      <c r="W11" s="360">
        <f t="shared" si="0"/>
        <v>17193</v>
      </c>
      <c r="X11" s="360">
        <f t="shared" si="0"/>
        <v>42140</v>
      </c>
      <c r="Y11" s="386">
        <v>1294</v>
      </c>
      <c r="Z11" s="386">
        <v>585</v>
      </c>
      <c r="AA11" s="360">
        <f t="shared" ref="AA11:AA15" si="15">Y11+Z11</f>
        <v>1879</v>
      </c>
      <c r="AB11" s="361">
        <f t="shared" ref="AB11:AB15" si="16">Y11/V11%</f>
        <v>5.1869964324367661</v>
      </c>
      <c r="AC11" s="361">
        <f t="shared" ref="AC11:AC15" si="17">Z11/W11%</f>
        <v>3.4025475484208689</v>
      </c>
      <c r="AD11" s="361">
        <f t="shared" ref="AD11:AD15" si="18">AA11/X11%</f>
        <v>4.458946369245373</v>
      </c>
      <c r="AE11" s="360">
        <f t="shared" si="2"/>
        <v>4884</v>
      </c>
      <c r="AF11" s="360">
        <f t="shared" si="2"/>
        <v>3324</v>
      </c>
      <c r="AG11" s="360">
        <f t="shared" si="2"/>
        <v>8208</v>
      </c>
      <c r="AH11" s="386">
        <v>257</v>
      </c>
      <c r="AI11" s="386">
        <v>107</v>
      </c>
      <c r="AJ11" s="360">
        <f>AH11+AI11</f>
        <v>364</v>
      </c>
      <c r="AK11" s="361">
        <f t="shared" ref="AK11:AK15" si="19">AH11/AE11%</f>
        <v>5.2620802620802616</v>
      </c>
      <c r="AL11" s="361">
        <f t="shared" ref="AL11:AL15" si="20">AI11/AF11%</f>
        <v>3.2190132370637783</v>
      </c>
      <c r="AM11" s="361">
        <f t="shared" ref="AM11:AM15" si="21">AJ11/AG11%</f>
        <v>4.4346978557504872</v>
      </c>
      <c r="AN11" s="360">
        <f t="shared" si="4"/>
        <v>4447</v>
      </c>
      <c r="AO11" s="360">
        <f t="shared" si="4"/>
        <v>3834</v>
      </c>
      <c r="AP11" s="360">
        <f t="shared" si="4"/>
        <v>8281</v>
      </c>
      <c r="AQ11" s="386">
        <v>90</v>
      </c>
      <c r="AR11" s="386">
        <v>64</v>
      </c>
      <c r="AS11" s="360">
        <f t="shared" ref="AS11" si="22">AQ11+AR11</f>
        <v>154</v>
      </c>
      <c r="AT11" s="361">
        <f t="shared" ref="AT11" si="23">AQ11/AN11%</f>
        <v>2.023836294130875</v>
      </c>
      <c r="AU11" s="361">
        <f t="shared" ref="AU11" si="24">AR11/AO11%</f>
        <v>1.6692749087115282</v>
      </c>
      <c r="AV11" s="361">
        <f t="shared" ref="AV11" si="25">AS11/AP11%</f>
        <v>1.8596787827557058</v>
      </c>
    </row>
    <row r="12" spans="1:48" s="380" customFormat="1" ht="15.75">
      <c r="A12" s="403">
        <v>5</v>
      </c>
      <c r="B12" s="403" t="s">
        <v>393</v>
      </c>
      <c r="C12" s="404" t="s">
        <v>345</v>
      </c>
      <c r="D12" s="386">
        <v>16185</v>
      </c>
      <c r="E12" s="386">
        <v>5704</v>
      </c>
      <c r="F12" s="360">
        <f t="shared" si="6"/>
        <v>21889</v>
      </c>
      <c r="G12" s="386">
        <v>3884</v>
      </c>
      <c r="H12" s="386">
        <v>1981</v>
      </c>
      <c r="I12" s="360">
        <f t="shared" si="7"/>
        <v>5865</v>
      </c>
      <c r="J12" s="386">
        <v>4807</v>
      </c>
      <c r="K12" s="386">
        <v>1759</v>
      </c>
      <c r="L12" s="360">
        <f t="shared" si="8"/>
        <v>6566</v>
      </c>
      <c r="M12" s="386">
        <v>1056</v>
      </c>
      <c r="N12" s="386">
        <v>593</v>
      </c>
      <c r="O12" s="360">
        <f t="shared" si="9"/>
        <v>1649</v>
      </c>
      <c r="P12" s="386">
        <v>6</v>
      </c>
      <c r="Q12" s="386">
        <v>4</v>
      </c>
      <c r="R12" s="360">
        <f t="shared" si="14"/>
        <v>10</v>
      </c>
      <c r="S12" s="386">
        <v>1</v>
      </c>
      <c r="T12" s="360">
        <v>3</v>
      </c>
      <c r="U12" s="360">
        <f t="shared" si="10"/>
        <v>4</v>
      </c>
      <c r="V12" s="360">
        <f t="shared" si="0"/>
        <v>3884</v>
      </c>
      <c r="W12" s="360">
        <f t="shared" si="0"/>
        <v>1981</v>
      </c>
      <c r="X12" s="360">
        <f t="shared" si="0"/>
        <v>5865</v>
      </c>
      <c r="Y12" s="386">
        <v>514</v>
      </c>
      <c r="Z12" s="386">
        <v>390</v>
      </c>
      <c r="AA12" s="360">
        <f t="shared" si="15"/>
        <v>904</v>
      </c>
      <c r="AB12" s="361">
        <f t="shared" si="16"/>
        <v>13.233779608650874</v>
      </c>
      <c r="AC12" s="361">
        <f t="shared" si="17"/>
        <v>19.687026754164563</v>
      </c>
      <c r="AD12" s="361">
        <f t="shared" si="18"/>
        <v>15.413469735720376</v>
      </c>
      <c r="AE12" s="360">
        <f t="shared" si="2"/>
        <v>1056</v>
      </c>
      <c r="AF12" s="360">
        <f t="shared" si="2"/>
        <v>593</v>
      </c>
      <c r="AG12" s="360">
        <f t="shared" si="2"/>
        <v>1649</v>
      </c>
      <c r="AH12" s="386">
        <v>101</v>
      </c>
      <c r="AI12" s="386">
        <v>96</v>
      </c>
      <c r="AJ12" s="360">
        <f t="shared" ref="AJ12:AJ15" si="26">AH12+AI12</f>
        <v>197</v>
      </c>
      <c r="AK12" s="361">
        <f t="shared" si="19"/>
        <v>9.5643939393939394</v>
      </c>
      <c r="AL12" s="361">
        <f t="shared" si="20"/>
        <v>16.188870151770658</v>
      </c>
      <c r="AM12" s="361">
        <f t="shared" si="21"/>
        <v>11.946634323832628</v>
      </c>
      <c r="AN12" s="386">
        <f t="shared" si="4"/>
        <v>1</v>
      </c>
      <c r="AO12" s="360">
        <f t="shared" si="4"/>
        <v>3</v>
      </c>
      <c r="AP12" s="360">
        <f t="shared" si="4"/>
        <v>4</v>
      </c>
      <c r="AQ12" s="386">
        <v>0</v>
      </c>
      <c r="AR12" s="360">
        <v>0</v>
      </c>
      <c r="AS12" s="360">
        <f t="shared" ref="AS12:AS15" si="27">AQ12+AR12</f>
        <v>0</v>
      </c>
      <c r="AT12" s="361">
        <f t="shared" ref="AT12:AT15" si="28">AQ12/AN12%</f>
        <v>0</v>
      </c>
      <c r="AU12" s="361">
        <f t="shared" ref="AU12:AU15" si="29">AR12/AO12%</f>
        <v>0</v>
      </c>
      <c r="AV12" s="361">
        <f t="shared" ref="AV12:AV15" si="30">AS12/AP12%</f>
        <v>0</v>
      </c>
    </row>
    <row r="13" spans="1:48" ht="15.75">
      <c r="A13" s="403">
        <v>6</v>
      </c>
      <c r="B13" s="403" t="s">
        <v>373</v>
      </c>
      <c r="C13" s="404" t="s">
        <v>224</v>
      </c>
      <c r="D13" s="360">
        <v>37411</v>
      </c>
      <c r="E13" s="360">
        <v>29959</v>
      </c>
      <c r="F13" s="360">
        <f>D13+E13</f>
        <v>67370</v>
      </c>
      <c r="G13" s="360">
        <v>14741</v>
      </c>
      <c r="H13" s="360">
        <v>14383</v>
      </c>
      <c r="I13" s="360">
        <f>G13+H13</f>
        <v>29124</v>
      </c>
      <c r="J13" s="360">
        <v>7075</v>
      </c>
      <c r="K13" s="360">
        <v>5933</v>
      </c>
      <c r="L13" s="360">
        <f>J13+K13</f>
        <v>13008</v>
      </c>
      <c r="M13" s="360">
        <v>2598</v>
      </c>
      <c r="N13" s="360">
        <v>1721</v>
      </c>
      <c r="O13" s="360">
        <f>M13+N13</f>
        <v>4319</v>
      </c>
      <c r="P13" s="360">
        <v>5284</v>
      </c>
      <c r="Q13" s="360">
        <v>3331</v>
      </c>
      <c r="R13" s="360">
        <f>P13+Q13</f>
        <v>8615</v>
      </c>
      <c r="S13" s="360">
        <v>1860</v>
      </c>
      <c r="T13" s="360">
        <v>1278</v>
      </c>
      <c r="U13" s="360">
        <f>S13+T13</f>
        <v>3138</v>
      </c>
      <c r="V13" s="360">
        <f t="shared" si="0"/>
        <v>14741</v>
      </c>
      <c r="W13" s="360">
        <f t="shared" si="0"/>
        <v>14383</v>
      </c>
      <c r="X13" s="360">
        <f t="shared" si="0"/>
        <v>29124</v>
      </c>
      <c r="Y13" s="360">
        <v>1556</v>
      </c>
      <c r="Z13" s="360">
        <v>2132</v>
      </c>
      <c r="AA13" s="360">
        <f>Y13+Z13</f>
        <v>3688</v>
      </c>
      <c r="AB13" s="361">
        <f>Y13/V13%</f>
        <v>10.555593243334917</v>
      </c>
      <c r="AC13" s="361">
        <f>Z13/W13%</f>
        <v>14.823054995480774</v>
      </c>
      <c r="AD13" s="361">
        <f>AA13/X13%</f>
        <v>12.663095728608708</v>
      </c>
      <c r="AE13" s="360">
        <f t="shared" si="2"/>
        <v>2598</v>
      </c>
      <c r="AF13" s="360">
        <f t="shared" si="2"/>
        <v>1721</v>
      </c>
      <c r="AG13" s="360">
        <f t="shared" si="2"/>
        <v>4319</v>
      </c>
      <c r="AH13" s="360">
        <v>168</v>
      </c>
      <c r="AI13" s="360">
        <v>157</v>
      </c>
      <c r="AJ13" s="360">
        <f>AH13+AI13</f>
        <v>325</v>
      </c>
      <c r="AK13" s="361">
        <f>AH13/AE13%</f>
        <v>6.4665127020785222</v>
      </c>
      <c r="AL13" s="361">
        <f>AI13/AF13%</f>
        <v>9.122603137710632</v>
      </c>
      <c r="AM13" s="361">
        <f>AJ13/AG13%</f>
        <v>7.5248900208381571</v>
      </c>
      <c r="AN13" s="360">
        <f t="shared" si="4"/>
        <v>1860</v>
      </c>
      <c r="AO13" s="360">
        <f t="shared" si="4"/>
        <v>1278</v>
      </c>
      <c r="AP13" s="360">
        <f t="shared" si="4"/>
        <v>3138</v>
      </c>
      <c r="AQ13" s="360">
        <v>73</v>
      </c>
      <c r="AR13" s="360">
        <v>52</v>
      </c>
      <c r="AS13" s="360">
        <f>AQ13+AR13</f>
        <v>125</v>
      </c>
      <c r="AT13" s="361">
        <f>AQ13/AN13%</f>
        <v>3.9247311827956985</v>
      </c>
      <c r="AU13" s="361">
        <f>AR13/AO13%</f>
        <v>4.0688575899843507</v>
      </c>
      <c r="AV13" s="361">
        <f>AS13/AP13%</f>
        <v>3.9834289356277885</v>
      </c>
    </row>
    <row r="14" spans="1:48" ht="31.5">
      <c r="A14" s="403">
        <v>7</v>
      </c>
      <c r="B14" s="403" t="s">
        <v>371</v>
      </c>
      <c r="C14" s="404" t="s">
        <v>222</v>
      </c>
      <c r="D14" s="386">
        <v>29860</v>
      </c>
      <c r="E14" s="386">
        <v>12888</v>
      </c>
      <c r="F14" s="360">
        <f>D14+E14</f>
        <v>42748</v>
      </c>
      <c r="G14" s="386">
        <v>29775</v>
      </c>
      <c r="H14" s="386">
        <v>12865</v>
      </c>
      <c r="I14" s="360">
        <f>G14+H14</f>
        <v>42640</v>
      </c>
      <c r="J14" s="386">
        <v>5480</v>
      </c>
      <c r="K14" s="386">
        <v>2625</v>
      </c>
      <c r="L14" s="360">
        <f>J14+K14</f>
        <v>8105</v>
      </c>
      <c r="M14" s="386">
        <v>5468</v>
      </c>
      <c r="N14" s="386">
        <v>2617</v>
      </c>
      <c r="O14" s="360">
        <f>M14+N14</f>
        <v>8085</v>
      </c>
      <c r="P14" s="386">
        <v>3406</v>
      </c>
      <c r="Q14" s="386">
        <v>1311</v>
      </c>
      <c r="R14" s="360">
        <f>P14+Q14</f>
        <v>4717</v>
      </c>
      <c r="S14" s="386">
        <v>3394</v>
      </c>
      <c r="T14" s="386">
        <v>1309</v>
      </c>
      <c r="U14" s="360">
        <f>S14+T14</f>
        <v>4703</v>
      </c>
      <c r="V14" s="360">
        <f t="shared" si="0"/>
        <v>29775</v>
      </c>
      <c r="W14" s="360">
        <f t="shared" si="0"/>
        <v>12865</v>
      </c>
      <c r="X14" s="360">
        <f t="shared" si="0"/>
        <v>42640</v>
      </c>
      <c r="Y14" s="382"/>
      <c r="Z14" s="382"/>
      <c r="AA14" s="382"/>
      <c r="AB14" s="382"/>
      <c r="AC14" s="382"/>
      <c r="AD14" s="382"/>
      <c r="AE14" s="360">
        <f t="shared" si="2"/>
        <v>5468</v>
      </c>
      <c r="AF14" s="360">
        <f t="shared" si="2"/>
        <v>2617</v>
      </c>
      <c r="AG14" s="360">
        <f t="shared" si="2"/>
        <v>8085</v>
      </c>
      <c r="AH14" s="382"/>
      <c r="AI14" s="382"/>
      <c r="AJ14" s="382"/>
      <c r="AK14" s="382"/>
      <c r="AL14" s="382"/>
      <c r="AM14" s="382"/>
      <c r="AN14" s="360">
        <f t="shared" si="4"/>
        <v>3394</v>
      </c>
      <c r="AO14" s="360">
        <f t="shared" si="4"/>
        <v>1309</v>
      </c>
      <c r="AP14" s="360">
        <f t="shared" si="4"/>
        <v>4703</v>
      </c>
      <c r="AQ14" s="382"/>
      <c r="AR14" s="382"/>
      <c r="AS14" s="382"/>
      <c r="AT14" s="382"/>
      <c r="AU14" s="382"/>
      <c r="AV14" s="382"/>
    </row>
    <row r="15" spans="1:48" ht="31.5">
      <c r="A15" s="403">
        <v>8</v>
      </c>
      <c r="B15" s="403" t="s">
        <v>398</v>
      </c>
      <c r="C15" s="404" t="s">
        <v>364</v>
      </c>
      <c r="D15" s="360">
        <v>7341</v>
      </c>
      <c r="E15" s="360">
        <v>8195</v>
      </c>
      <c r="F15" s="360">
        <f t="shared" si="6"/>
        <v>15536</v>
      </c>
      <c r="G15" s="360">
        <v>6768</v>
      </c>
      <c r="H15" s="360">
        <v>7750</v>
      </c>
      <c r="I15" s="360">
        <f t="shared" si="7"/>
        <v>14518</v>
      </c>
      <c r="J15" s="360">
        <v>669</v>
      </c>
      <c r="K15" s="360">
        <v>443</v>
      </c>
      <c r="L15" s="360">
        <f t="shared" si="8"/>
        <v>1112</v>
      </c>
      <c r="M15" s="360">
        <v>627</v>
      </c>
      <c r="N15" s="360">
        <v>418</v>
      </c>
      <c r="O15" s="360">
        <f t="shared" si="9"/>
        <v>1045</v>
      </c>
      <c r="P15" s="360">
        <v>195</v>
      </c>
      <c r="Q15" s="360">
        <v>182</v>
      </c>
      <c r="R15" s="360">
        <f t="shared" si="14"/>
        <v>377</v>
      </c>
      <c r="S15" s="360">
        <v>180</v>
      </c>
      <c r="T15" s="360">
        <v>172</v>
      </c>
      <c r="U15" s="360">
        <f t="shared" si="10"/>
        <v>352</v>
      </c>
      <c r="V15" s="360">
        <f t="shared" si="0"/>
        <v>6768</v>
      </c>
      <c r="W15" s="360">
        <f t="shared" si="0"/>
        <v>7750</v>
      </c>
      <c r="X15" s="360">
        <f t="shared" si="0"/>
        <v>14518</v>
      </c>
      <c r="Y15" s="386">
        <v>114</v>
      </c>
      <c r="Z15" s="386">
        <v>87</v>
      </c>
      <c r="AA15" s="360">
        <f t="shared" si="15"/>
        <v>201</v>
      </c>
      <c r="AB15" s="361">
        <f t="shared" si="16"/>
        <v>1.6843971631205672</v>
      </c>
      <c r="AC15" s="361">
        <f t="shared" si="17"/>
        <v>1.1225806451612903</v>
      </c>
      <c r="AD15" s="361">
        <f t="shared" si="18"/>
        <v>1.3844882215181153</v>
      </c>
      <c r="AE15" s="360">
        <f t="shared" si="2"/>
        <v>627</v>
      </c>
      <c r="AF15" s="360">
        <f t="shared" si="2"/>
        <v>418</v>
      </c>
      <c r="AG15" s="360">
        <f t="shared" si="2"/>
        <v>1045</v>
      </c>
      <c r="AH15" s="386">
        <v>16</v>
      </c>
      <c r="AI15" s="386">
        <v>2</v>
      </c>
      <c r="AJ15" s="360">
        <f t="shared" si="26"/>
        <v>18</v>
      </c>
      <c r="AK15" s="361">
        <f t="shared" si="19"/>
        <v>2.5518341307814993</v>
      </c>
      <c r="AL15" s="361">
        <f t="shared" si="20"/>
        <v>0.47846889952153115</v>
      </c>
      <c r="AM15" s="361">
        <f t="shared" si="21"/>
        <v>1.7224880382775121</v>
      </c>
      <c r="AN15" s="360">
        <f t="shared" si="4"/>
        <v>180</v>
      </c>
      <c r="AO15" s="360">
        <f t="shared" si="4"/>
        <v>172</v>
      </c>
      <c r="AP15" s="360">
        <f t="shared" si="4"/>
        <v>352</v>
      </c>
      <c r="AQ15" s="386">
        <v>4</v>
      </c>
      <c r="AR15" s="386">
        <v>6</v>
      </c>
      <c r="AS15" s="386">
        <f t="shared" si="27"/>
        <v>10</v>
      </c>
      <c r="AT15" s="387">
        <f t="shared" si="28"/>
        <v>2.2222222222222223</v>
      </c>
      <c r="AU15" s="387">
        <f t="shared" si="29"/>
        <v>3.4883720930232558</v>
      </c>
      <c r="AV15" s="387">
        <f t="shared" si="30"/>
        <v>2.8409090909090908</v>
      </c>
    </row>
    <row r="16" spans="1:48" ht="15.75">
      <c r="A16" s="467" t="s">
        <v>3</v>
      </c>
      <c r="B16" s="468"/>
      <c r="C16" s="469"/>
      <c r="D16" s="363">
        <f>SUM(D8:D15)</f>
        <v>399666</v>
      </c>
      <c r="E16" s="363">
        <f t="shared" ref="E16:J16" si="31">SUM(E8:E15)</f>
        <v>244446</v>
      </c>
      <c r="F16" s="363">
        <f t="shared" si="31"/>
        <v>644112</v>
      </c>
      <c r="G16" s="363">
        <f t="shared" si="31"/>
        <v>262310</v>
      </c>
      <c r="H16" s="363">
        <f t="shared" si="31"/>
        <v>168490</v>
      </c>
      <c r="I16" s="363">
        <f t="shared" si="31"/>
        <v>430800</v>
      </c>
      <c r="J16" s="363">
        <f t="shared" si="31"/>
        <v>62134</v>
      </c>
      <c r="K16" s="363">
        <f t="shared" ref="K16" si="32">SUM(K8:K15)</f>
        <v>41378</v>
      </c>
      <c r="L16" s="363">
        <f t="shared" ref="L16" si="33">SUM(L8:L15)</f>
        <v>103512</v>
      </c>
      <c r="M16" s="363">
        <f t="shared" ref="M16" si="34">SUM(M8:M15)</f>
        <v>37408</v>
      </c>
      <c r="N16" s="363">
        <f t="shared" ref="N16" si="35">SUM(N8:N15)</f>
        <v>26221</v>
      </c>
      <c r="O16" s="363">
        <f t="shared" ref="O16:P16" si="36">SUM(O8:O15)</f>
        <v>63629</v>
      </c>
      <c r="P16" s="363">
        <f t="shared" si="36"/>
        <v>46654</v>
      </c>
      <c r="Q16" s="363">
        <f t="shared" ref="Q16" si="37">SUM(Q8:Q15)</f>
        <v>31420</v>
      </c>
      <c r="R16" s="363">
        <f t="shared" ref="R16" si="38">SUM(R8:R15)</f>
        <v>78074</v>
      </c>
      <c r="S16" s="363">
        <f t="shared" ref="S16" si="39">SUM(S8:S15)</f>
        <v>27436</v>
      </c>
      <c r="T16" s="363">
        <f t="shared" ref="T16" si="40">SUM(T8:T15)</f>
        <v>20579</v>
      </c>
      <c r="U16" s="363">
        <f t="shared" ref="U16" si="41">SUM(U8:U15)</f>
        <v>48015</v>
      </c>
      <c r="V16" s="363">
        <f t="shared" ref="V16" si="42">SUM(V8:V15)</f>
        <v>262310</v>
      </c>
      <c r="W16" s="363">
        <f t="shared" ref="W16" si="43">SUM(W8:W15)</f>
        <v>168490</v>
      </c>
      <c r="X16" s="363">
        <f t="shared" ref="X16" si="44">SUM(X8:X15)</f>
        <v>430800</v>
      </c>
      <c r="Y16" s="363">
        <f t="shared" ref="Y16" si="45">SUM(Y8:Y15)</f>
        <v>66393</v>
      </c>
      <c r="Z16" s="363">
        <f t="shared" ref="Z16" si="46">SUM(Z8:Z15)</f>
        <v>40878</v>
      </c>
      <c r="AA16" s="363">
        <f t="shared" ref="AA16" si="47">SUM(AA8:AA15)</f>
        <v>107271</v>
      </c>
      <c r="AB16" s="364">
        <f t="shared" ref="AB16:AD16" si="48">Y16/V16%</f>
        <v>25.310891693034961</v>
      </c>
      <c r="AC16" s="364">
        <f t="shared" si="48"/>
        <v>24.261380497358893</v>
      </c>
      <c r="AD16" s="364">
        <f t="shared" si="48"/>
        <v>24.90041782729805</v>
      </c>
      <c r="AE16" s="363">
        <f t="shared" ref="AE16" si="49">SUM(AE8:AE15)</f>
        <v>37408</v>
      </c>
      <c r="AF16" s="363">
        <f t="shared" ref="AF16" si="50">SUM(AF8:AF15)</f>
        <v>26221</v>
      </c>
      <c r="AG16" s="363">
        <f t="shared" ref="AG16" si="51">SUM(AG8:AG15)</f>
        <v>63629</v>
      </c>
      <c r="AH16" s="363">
        <f t="shared" ref="AH16" si="52">SUM(AH8:AH15)</f>
        <v>7470</v>
      </c>
      <c r="AI16" s="363">
        <f t="shared" ref="AI16" si="53">SUM(AI8:AI15)</f>
        <v>5015</v>
      </c>
      <c r="AJ16" s="363">
        <f t="shared" ref="AJ16" si="54">SUM(AJ8:AJ15)</f>
        <v>12485</v>
      </c>
      <c r="AK16" s="364">
        <f>AH16/AE16%</f>
        <v>19.968990590248076</v>
      </c>
      <c r="AL16" s="364">
        <f>AI16/AF16%</f>
        <v>19.125891461042677</v>
      </c>
      <c r="AM16" s="364">
        <f>AJ16/AG16%</f>
        <v>19.621556208647</v>
      </c>
      <c r="AN16" s="363">
        <f t="shared" ref="AN16" si="55">SUM(AN8:AN15)</f>
        <v>27436</v>
      </c>
      <c r="AO16" s="363">
        <f t="shared" ref="AO16" si="56">SUM(AO8:AO15)</f>
        <v>20579</v>
      </c>
      <c r="AP16" s="363">
        <f t="shared" ref="AP16" si="57">SUM(AP8:AP15)</f>
        <v>48015</v>
      </c>
      <c r="AQ16" s="363">
        <f t="shared" ref="AQ16" si="58">SUM(AQ8:AQ15)</f>
        <v>6273</v>
      </c>
      <c r="AR16" s="363">
        <f t="shared" ref="AR16" si="59">SUM(AR8:AR15)</f>
        <v>4990</v>
      </c>
      <c r="AS16" s="363">
        <f t="shared" ref="AS16" si="60">SUM(AS8:AS15)</f>
        <v>11263</v>
      </c>
      <c r="AT16" s="364">
        <f>AQ16/AN16%</f>
        <v>22.864120134130339</v>
      </c>
      <c r="AU16" s="364">
        <f>AR16/AO16%</f>
        <v>24.248019826036252</v>
      </c>
      <c r="AV16" s="364">
        <f>AS16/AP16%</f>
        <v>23.457252941789026</v>
      </c>
    </row>
    <row r="17" spans="1:48" ht="35.25" customHeight="1">
      <c r="A17" s="466"/>
      <c r="B17" s="466"/>
      <c r="C17" s="466"/>
      <c r="D17" s="384"/>
      <c r="E17" s="384"/>
      <c r="F17" s="384"/>
      <c r="G17" s="384"/>
      <c r="H17" s="383"/>
      <c r="I17" s="383"/>
      <c r="J17" s="465"/>
      <c r="K17" s="465"/>
      <c r="L17" s="465"/>
      <c r="M17" s="465"/>
      <c r="N17" s="465"/>
      <c r="O17" s="465"/>
      <c r="P17" s="348"/>
      <c r="Q17" s="348"/>
      <c r="R17" s="348"/>
      <c r="S17" s="348"/>
      <c r="T17" s="348"/>
      <c r="U17" s="348"/>
      <c r="V17" s="349"/>
      <c r="W17" s="152"/>
      <c r="X17" s="152"/>
      <c r="Y17" s="153"/>
      <c r="Z17" s="152"/>
      <c r="AA17" s="152"/>
      <c r="AB17" s="154"/>
      <c r="AC17" s="154"/>
      <c r="AD17" s="154"/>
      <c r="AE17" s="349"/>
      <c r="AF17" s="152"/>
      <c r="AG17" s="152"/>
      <c r="AH17" s="153"/>
      <c r="AI17" s="152"/>
      <c r="AJ17" s="152"/>
      <c r="AK17" s="154"/>
      <c r="AL17" s="154"/>
      <c r="AM17" s="154"/>
      <c r="AN17" s="349"/>
      <c r="AO17" s="152"/>
      <c r="AP17" s="152"/>
      <c r="AQ17" s="153"/>
      <c r="AR17" s="152"/>
      <c r="AS17" s="152"/>
      <c r="AT17" s="154"/>
      <c r="AU17" s="154"/>
      <c r="AV17" s="154"/>
    </row>
    <row r="18" spans="1:48">
      <c r="F18" s="380"/>
      <c r="I18" s="380"/>
      <c r="L18" s="380"/>
      <c r="O18" s="380"/>
      <c r="R18" s="380"/>
      <c r="U18" s="380"/>
    </row>
    <row r="19" spans="1:48"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R19" s="380"/>
      <c r="U19" s="380"/>
    </row>
    <row r="20" spans="1:48">
      <c r="F20" s="380"/>
      <c r="I20" s="380"/>
      <c r="L20" s="380"/>
      <c r="O20" s="380"/>
      <c r="R20" s="380"/>
      <c r="U20" s="380"/>
    </row>
    <row r="21" spans="1:48">
      <c r="F21" s="380"/>
      <c r="I21" s="380"/>
      <c r="L21" s="380"/>
      <c r="O21" s="380"/>
      <c r="R21" s="380"/>
      <c r="U21" s="380"/>
    </row>
    <row r="22" spans="1:48">
      <c r="F22" s="380"/>
      <c r="I22" s="380"/>
      <c r="L22" s="380"/>
      <c r="O22" s="380"/>
      <c r="R22" s="380"/>
      <c r="U22" s="380"/>
    </row>
    <row r="23" spans="1:48">
      <c r="F23" s="380"/>
      <c r="I23" s="380"/>
      <c r="L23" s="380"/>
      <c r="O23" s="380"/>
      <c r="R23" s="380"/>
      <c r="U23" s="380"/>
    </row>
    <row r="24" spans="1:48">
      <c r="F24" s="380"/>
      <c r="I24" s="380"/>
      <c r="L24" s="380"/>
      <c r="O24" s="380"/>
      <c r="R24" s="380"/>
      <c r="U24" s="380"/>
    </row>
    <row r="25" spans="1:48">
      <c r="F25" s="380"/>
      <c r="I25" s="380"/>
      <c r="L25" s="380"/>
      <c r="O25" s="380"/>
      <c r="R25" s="380"/>
      <c r="U25" s="380"/>
    </row>
  </sheetData>
  <mergeCells count="48">
    <mergeCell ref="V1:AD1"/>
    <mergeCell ref="V2:AD2"/>
    <mergeCell ref="AE1:AM1"/>
    <mergeCell ref="AE2:AM2"/>
    <mergeCell ref="AN1:AV1"/>
    <mergeCell ref="AN2:AV2"/>
    <mergeCell ref="J1:O1"/>
    <mergeCell ref="J2:O2"/>
    <mergeCell ref="D1:I1"/>
    <mergeCell ref="D2:I2"/>
    <mergeCell ref="P1:U1"/>
    <mergeCell ref="P2:U2"/>
    <mergeCell ref="AN3:AV3"/>
    <mergeCell ref="V3:AD3"/>
    <mergeCell ref="AE3:AM3"/>
    <mergeCell ref="D4:I4"/>
    <mergeCell ref="J4:O4"/>
    <mergeCell ref="AT4:AV4"/>
    <mergeCell ref="AN4:AP5"/>
    <mergeCell ref="AE4:AG5"/>
    <mergeCell ref="AH4:AJ4"/>
    <mergeCell ref="AT5:AV5"/>
    <mergeCell ref="AQ4:AS4"/>
    <mergeCell ref="AQ5:AS5"/>
    <mergeCell ref="V4:X5"/>
    <mergeCell ref="P4:U4"/>
    <mergeCell ref="Y4:AA4"/>
    <mergeCell ref="AB4:AD4"/>
    <mergeCell ref="AK4:AM4"/>
    <mergeCell ref="AH5:AJ5"/>
    <mergeCell ref="AK5:AM5"/>
    <mergeCell ref="AB5:AD5"/>
    <mergeCell ref="Y5:AA5"/>
    <mergeCell ref="J17:O17"/>
    <mergeCell ref="A17:C17"/>
    <mergeCell ref="A16:C16"/>
    <mergeCell ref="M5:O5"/>
    <mergeCell ref="S5:U5"/>
    <mergeCell ref="D5:F5"/>
    <mergeCell ref="G5:I5"/>
    <mergeCell ref="J5:L5"/>
    <mergeCell ref="P5:R5"/>
    <mergeCell ref="A3:A6"/>
    <mergeCell ref="B3:B6"/>
    <mergeCell ref="C3:C6"/>
    <mergeCell ref="D3:I3"/>
    <mergeCell ref="J3:O3"/>
    <mergeCell ref="P3:U3"/>
  </mergeCells>
  <pageMargins left="0.70866141732283472" right="0.70866141732283472" top="0.74803149606299213" bottom="0.74803149606299213" header="0.31496062992125984" footer="0.31496062992125984"/>
  <pageSetup scale="85" orientation="landscape" r:id="rId1"/>
  <colBreaks count="5" manualBreakCount="5">
    <brk id="9" max="1048575" man="1"/>
    <brk id="15" max="1048575" man="1"/>
    <brk id="21" max="1048575" man="1"/>
    <brk id="30" max="1048575" man="1"/>
    <brk id="39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Z63"/>
  <sheetViews>
    <sheetView view="pageBreakPreview" zoomScale="55" zoomScaleSheetLayoutView="55" workbookViewId="0">
      <pane xSplit="2" ySplit="8" topLeftCell="EE17" activePane="bottomRight" state="frozen"/>
      <selection pane="topRight" activeCell="C1" sqref="C1"/>
      <selection pane="bottomLeft" activeCell="A9" sqref="A9"/>
      <selection pane="bottomRight" activeCell="EI26" sqref="EI26"/>
    </sheetView>
  </sheetViews>
  <sheetFormatPr defaultRowHeight="15"/>
  <cols>
    <col min="1" max="1" width="8.5703125" style="121" customWidth="1"/>
    <col min="2" max="2" width="41.7109375" style="122" customWidth="1"/>
    <col min="3" max="14" width="11.5703125" style="121" customWidth="1"/>
    <col min="15" max="15" width="9" style="121" bestFit="1" customWidth="1"/>
    <col min="16" max="17" width="8.5703125" style="121" bestFit="1" customWidth="1"/>
    <col min="18" max="29" width="11.5703125" style="121" customWidth="1"/>
    <col min="30" max="32" width="9" style="121" bestFit="1" customWidth="1"/>
    <col min="33" max="44" width="11.5703125" style="121" customWidth="1"/>
    <col min="45" max="47" width="9" style="121" bestFit="1" customWidth="1"/>
    <col min="48" max="59" width="11.5703125" style="121" customWidth="1"/>
    <col min="60" max="62" width="9" style="121" bestFit="1" customWidth="1"/>
    <col min="63" max="74" width="11.5703125" style="121" customWidth="1"/>
    <col min="75" max="77" width="8.42578125" style="121" bestFit="1" customWidth="1"/>
    <col min="78" max="78" width="12.85546875" style="121" customWidth="1"/>
    <col min="79" max="89" width="11.5703125" style="121" customWidth="1"/>
    <col min="90" max="90" width="9.28515625" style="121" bestFit="1" customWidth="1"/>
    <col min="91" max="92" width="9" style="121" bestFit="1" customWidth="1"/>
    <col min="93" max="104" width="11.5703125" style="121" customWidth="1"/>
    <col min="105" max="105" width="8.42578125" style="121" bestFit="1" customWidth="1"/>
    <col min="106" max="107" width="9" style="121" bestFit="1" customWidth="1"/>
    <col min="108" max="119" width="11.5703125" style="121" customWidth="1"/>
    <col min="120" max="122" width="9" style="121" bestFit="1" customWidth="1"/>
    <col min="123" max="134" width="11.5703125" style="121" customWidth="1"/>
    <col min="135" max="135" width="8.42578125" style="121" bestFit="1" customWidth="1"/>
    <col min="136" max="137" width="9" style="121" bestFit="1" customWidth="1"/>
    <col min="138" max="164" width="11.5703125" style="121" customWidth="1"/>
    <col min="165" max="16384" width="9.140625" style="121"/>
  </cols>
  <sheetData>
    <row r="1" spans="1:182" ht="18" customHeight="1">
      <c r="B1" s="125"/>
      <c r="C1" s="449" t="s">
        <v>208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50" t="str">
        <f>C1</f>
        <v>RESULTS OF SECONDARY EXAMINATION- 2017</v>
      </c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 t="str">
        <f>R1</f>
        <v>RESULTS OF SECONDARY EXAMINATION- 2017</v>
      </c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 t="str">
        <f>AG1</f>
        <v>RESULTS OF SECONDARY EXAMINATION- 2017</v>
      </c>
      <c r="AW1" s="450"/>
      <c r="AX1" s="450"/>
      <c r="AY1" s="450"/>
      <c r="AZ1" s="450"/>
      <c r="BA1" s="450"/>
      <c r="BB1" s="450"/>
      <c r="BC1" s="450"/>
      <c r="BD1" s="450"/>
      <c r="BE1" s="450"/>
      <c r="BF1" s="450"/>
      <c r="BG1" s="450"/>
      <c r="BH1" s="450"/>
      <c r="BI1" s="450"/>
      <c r="BJ1" s="450"/>
      <c r="BK1" s="450" t="str">
        <f>AV1</f>
        <v>RESULTS OF SECONDARY EXAMINATION- 2017</v>
      </c>
      <c r="BL1" s="450"/>
      <c r="BM1" s="450"/>
      <c r="BN1" s="450"/>
      <c r="BO1" s="450"/>
      <c r="BP1" s="450"/>
      <c r="BQ1" s="450"/>
      <c r="BR1" s="450"/>
      <c r="BS1" s="450"/>
      <c r="BT1" s="450"/>
      <c r="BU1" s="450"/>
      <c r="BV1" s="450"/>
      <c r="BW1" s="450"/>
      <c r="BX1" s="450"/>
      <c r="BY1" s="450"/>
      <c r="BZ1" s="450" t="str">
        <f>BK1</f>
        <v>RESULTS OF SECONDARY EXAMINATION- 2017</v>
      </c>
      <c r="CA1" s="450"/>
      <c r="CB1" s="450"/>
      <c r="CC1" s="450"/>
      <c r="CD1" s="450"/>
      <c r="CE1" s="450"/>
      <c r="CF1" s="450"/>
      <c r="CG1" s="450"/>
      <c r="CH1" s="450"/>
      <c r="CI1" s="450"/>
      <c r="CJ1" s="450"/>
      <c r="CK1" s="450"/>
      <c r="CL1" s="450"/>
      <c r="CM1" s="450"/>
      <c r="CN1" s="450"/>
      <c r="CO1" s="450" t="str">
        <f>AG1</f>
        <v>RESULTS OF SECONDARY EXAMINATION- 2017</v>
      </c>
      <c r="CP1" s="450"/>
      <c r="CQ1" s="450"/>
      <c r="CR1" s="450"/>
      <c r="CS1" s="450"/>
      <c r="CT1" s="450"/>
      <c r="CU1" s="450"/>
      <c r="CV1" s="450"/>
      <c r="CW1" s="450"/>
      <c r="CX1" s="450"/>
      <c r="CY1" s="450"/>
      <c r="CZ1" s="450"/>
      <c r="DA1" s="450"/>
      <c r="DB1" s="450"/>
      <c r="DC1" s="450"/>
      <c r="DD1" s="450" t="str">
        <f>CO1</f>
        <v>RESULTS OF SECONDARY EXAMINATION- 2017</v>
      </c>
      <c r="DE1" s="450"/>
      <c r="DF1" s="450"/>
      <c r="DG1" s="450"/>
      <c r="DH1" s="450"/>
      <c r="DI1" s="450"/>
      <c r="DJ1" s="450"/>
      <c r="DK1" s="450"/>
      <c r="DL1" s="450"/>
      <c r="DM1" s="450"/>
      <c r="DN1" s="450"/>
      <c r="DO1" s="450"/>
      <c r="DP1" s="450"/>
      <c r="DQ1" s="450"/>
      <c r="DR1" s="450"/>
      <c r="DS1" s="450" t="str">
        <f>DD1</f>
        <v>RESULTS OF SECONDARY EXAMINATION- 2017</v>
      </c>
      <c r="DT1" s="450"/>
      <c r="DU1" s="450"/>
      <c r="DV1" s="450"/>
      <c r="DW1" s="450"/>
      <c r="DX1" s="450"/>
      <c r="DY1" s="450"/>
      <c r="DZ1" s="450"/>
      <c r="EA1" s="450"/>
      <c r="EB1" s="450"/>
      <c r="EC1" s="450"/>
      <c r="ED1" s="450"/>
      <c r="EE1" s="450"/>
      <c r="EF1" s="450"/>
      <c r="EG1" s="450"/>
      <c r="EH1" s="449" t="str">
        <f>C1</f>
        <v>RESULTS OF SECONDARY EXAMINATION- 2017</v>
      </c>
      <c r="EI1" s="449"/>
      <c r="EJ1" s="449"/>
      <c r="EK1" s="449"/>
      <c r="EL1" s="449"/>
      <c r="EM1" s="449"/>
      <c r="EN1" s="449"/>
      <c r="EO1" s="449"/>
      <c r="EP1" s="449"/>
      <c r="EQ1" s="449" t="str">
        <f>C1</f>
        <v>RESULTS OF SECONDARY EXAMINATION- 2017</v>
      </c>
      <c r="ER1" s="449"/>
      <c r="ES1" s="449"/>
      <c r="ET1" s="449"/>
      <c r="EU1" s="449"/>
      <c r="EV1" s="449"/>
      <c r="EW1" s="449"/>
      <c r="EX1" s="449"/>
      <c r="EY1" s="449"/>
      <c r="EZ1" s="449" t="str">
        <f>C1</f>
        <v>RESULTS OF SECONDARY EXAMINATION- 2017</v>
      </c>
      <c r="FA1" s="449"/>
      <c r="FB1" s="449"/>
      <c r="FC1" s="449"/>
      <c r="FD1" s="449"/>
      <c r="FE1" s="449"/>
      <c r="FF1" s="449"/>
      <c r="FG1" s="449"/>
      <c r="FH1" s="449"/>
    </row>
    <row r="2" spans="1:182" ht="15.75" customHeight="1">
      <c r="B2" s="125"/>
      <c r="C2" s="452" t="s">
        <v>179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 t="s">
        <v>180</v>
      </c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 t="s">
        <v>181</v>
      </c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 t="s">
        <v>182</v>
      </c>
      <c r="AW2" s="452"/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 t="s">
        <v>183</v>
      </c>
      <c r="BL2" s="452"/>
      <c r="BM2" s="452"/>
      <c r="BN2" s="452"/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 t="s">
        <v>184</v>
      </c>
      <c r="CA2" s="452"/>
      <c r="CB2" s="452"/>
      <c r="CC2" s="452"/>
      <c r="CD2" s="452"/>
      <c r="CE2" s="452"/>
      <c r="CF2" s="452"/>
      <c r="CG2" s="452"/>
      <c r="CH2" s="452"/>
      <c r="CI2" s="452"/>
      <c r="CJ2" s="452"/>
      <c r="CK2" s="452"/>
      <c r="CL2" s="452"/>
      <c r="CM2" s="452"/>
      <c r="CN2" s="452"/>
      <c r="CO2" s="452" t="s">
        <v>185</v>
      </c>
      <c r="CP2" s="452"/>
      <c r="CQ2" s="452"/>
      <c r="CR2" s="452"/>
      <c r="CS2" s="452"/>
      <c r="CT2" s="452"/>
      <c r="CU2" s="452"/>
      <c r="CV2" s="452"/>
      <c r="CW2" s="452"/>
      <c r="CX2" s="452"/>
      <c r="CY2" s="452"/>
      <c r="CZ2" s="452"/>
      <c r="DA2" s="452"/>
      <c r="DB2" s="452"/>
      <c r="DC2" s="452"/>
      <c r="DD2" s="451" t="s">
        <v>186</v>
      </c>
      <c r="DE2" s="451"/>
      <c r="DF2" s="451"/>
      <c r="DG2" s="451"/>
      <c r="DH2" s="451"/>
      <c r="DI2" s="451"/>
      <c r="DJ2" s="451"/>
      <c r="DK2" s="451"/>
      <c r="DL2" s="451"/>
      <c r="DM2" s="451"/>
      <c r="DN2" s="451"/>
      <c r="DO2" s="451"/>
      <c r="DP2" s="451"/>
      <c r="DQ2" s="451"/>
      <c r="DR2" s="451"/>
      <c r="DS2" s="452" t="s">
        <v>187</v>
      </c>
      <c r="DT2" s="452"/>
      <c r="DU2" s="452"/>
      <c r="DV2" s="452"/>
      <c r="DW2" s="452"/>
      <c r="DX2" s="452"/>
      <c r="DY2" s="452"/>
      <c r="DZ2" s="452"/>
      <c r="EA2" s="452"/>
      <c r="EB2" s="452"/>
      <c r="EC2" s="452"/>
      <c r="ED2" s="452"/>
      <c r="EE2" s="452"/>
      <c r="EF2" s="452"/>
      <c r="EG2" s="452"/>
      <c r="EH2" s="128" t="s">
        <v>209</v>
      </c>
      <c r="EI2" s="128"/>
      <c r="EJ2" s="128"/>
      <c r="EK2" s="128"/>
      <c r="EL2" s="128"/>
      <c r="EM2" s="128"/>
      <c r="EN2" s="128"/>
      <c r="EO2" s="128"/>
      <c r="EP2" s="128"/>
      <c r="EQ2" s="452" t="s">
        <v>210</v>
      </c>
      <c r="ER2" s="452"/>
      <c r="ES2" s="452"/>
      <c r="ET2" s="452"/>
      <c r="EU2" s="452"/>
      <c r="EV2" s="452"/>
      <c r="EW2" s="452"/>
      <c r="EX2" s="452"/>
      <c r="EY2" s="452"/>
      <c r="EZ2" s="452" t="s">
        <v>211</v>
      </c>
      <c r="FA2" s="452"/>
      <c r="FB2" s="452"/>
      <c r="FC2" s="452"/>
      <c r="FD2" s="452"/>
      <c r="FE2" s="452"/>
      <c r="FF2" s="452"/>
      <c r="FG2" s="452"/>
      <c r="FH2" s="452"/>
    </row>
    <row r="3" spans="1:182">
      <c r="A3" s="458" t="s">
        <v>192</v>
      </c>
      <c r="B3" s="459" t="s">
        <v>42</v>
      </c>
      <c r="C3" s="448" t="s">
        <v>188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6" t="s">
        <v>189</v>
      </c>
      <c r="P3" s="446"/>
      <c r="Q3" s="446"/>
      <c r="R3" s="448" t="s">
        <v>188</v>
      </c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6" t="s">
        <v>189</v>
      </c>
      <c r="AE3" s="446"/>
      <c r="AF3" s="446"/>
      <c r="AG3" s="448" t="s">
        <v>188</v>
      </c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6" t="s">
        <v>189</v>
      </c>
      <c r="AT3" s="446"/>
      <c r="AU3" s="446"/>
      <c r="AV3" s="448" t="s">
        <v>188</v>
      </c>
      <c r="AW3" s="448"/>
      <c r="AX3" s="448"/>
      <c r="AY3" s="448"/>
      <c r="AZ3" s="448"/>
      <c r="BA3" s="448"/>
      <c r="BB3" s="448"/>
      <c r="BC3" s="448"/>
      <c r="BD3" s="448"/>
      <c r="BE3" s="448"/>
      <c r="BF3" s="448"/>
      <c r="BG3" s="448"/>
      <c r="BH3" s="446" t="s">
        <v>189</v>
      </c>
      <c r="BI3" s="446"/>
      <c r="BJ3" s="446"/>
      <c r="BK3" s="448" t="s">
        <v>188</v>
      </c>
      <c r="BL3" s="448"/>
      <c r="BM3" s="448"/>
      <c r="BN3" s="448"/>
      <c r="BO3" s="448"/>
      <c r="BP3" s="448"/>
      <c r="BQ3" s="448"/>
      <c r="BR3" s="448"/>
      <c r="BS3" s="448"/>
      <c r="BT3" s="448"/>
      <c r="BU3" s="448"/>
      <c r="BV3" s="448"/>
      <c r="BW3" s="446" t="s">
        <v>189</v>
      </c>
      <c r="BX3" s="446"/>
      <c r="BY3" s="446"/>
      <c r="BZ3" s="448" t="s">
        <v>188</v>
      </c>
      <c r="CA3" s="448"/>
      <c r="CB3" s="448"/>
      <c r="CC3" s="448"/>
      <c r="CD3" s="448"/>
      <c r="CE3" s="448"/>
      <c r="CF3" s="448"/>
      <c r="CG3" s="448"/>
      <c r="CH3" s="448"/>
      <c r="CI3" s="448"/>
      <c r="CJ3" s="448"/>
      <c r="CK3" s="448"/>
      <c r="CL3" s="446" t="s">
        <v>189</v>
      </c>
      <c r="CM3" s="446"/>
      <c r="CN3" s="446"/>
      <c r="CO3" s="448" t="s">
        <v>188</v>
      </c>
      <c r="CP3" s="448"/>
      <c r="CQ3" s="448"/>
      <c r="CR3" s="448"/>
      <c r="CS3" s="448"/>
      <c r="CT3" s="448"/>
      <c r="CU3" s="448"/>
      <c r="CV3" s="448"/>
      <c r="CW3" s="448"/>
      <c r="CX3" s="448"/>
      <c r="CY3" s="448"/>
      <c r="CZ3" s="448"/>
      <c r="DA3" s="446" t="s">
        <v>189</v>
      </c>
      <c r="DB3" s="446"/>
      <c r="DC3" s="446"/>
      <c r="DD3" s="448" t="s">
        <v>188</v>
      </c>
      <c r="DE3" s="448"/>
      <c r="DF3" s="448"/>
      <c r="DG3" s="448"/>
      <c r="DH3" s="448"/>
      <c r="DI3" s="448"/>
      <c r="DJ3" s="448"/>
      <c r="DK3" s="448"/>
      <c r="DL3" s="448"/>
      <c r="DM3" s="448"/>
      <c r="DN3" s="448"/>
      <c r="DO3" s="448"/>
      <c r="DP3" s="446" t="s">
        <v>189</v>
      </c>
      <c r="DQ3" s="446"/>
      <c r="DR3" s="446"/>
      <c r="DS3" s="448" t="s">
        <v>188</v>
      </c>
      <c r="DT3" s="448"/>
      <c r="DU3" s="448"/>
      <c r="DV3" s="448"/>
      <c r="DW3" s="448"/>
      <c r="DX3" s="448"/>
      <c r="DY3" s="448"/>
      <c r="DZ3" s="448"/>
      <c r="EA3" s="448"/>
      <c r="EB3" s="448"/>
      <c r="EC3" s="448"/>
      <c r="ED3" s="448"/>
      <c r="EE3" s="446" t="s">
        <v>189</v>
      </c>
      <c r="EF3" s="446"/>
      <c r="EG3" s="446"/>
      <c r="EH3" s="447" t="s">
        <v>193</v>
      </c>
      <c r="EI3" s="447"/>
      <c r="EJ3" s="447"/>
      <c r="EK3" s="447" t="s">
        <v>194</v>
      </c>
      <c r="EL3" s="447"/>
      <c r="EM3" s="447"/>
      <c r="EN3" s="447" t="s">
        <v>195</v>
      </c>
      <c r="EO3" s="447"/>
      <c r="EP3" s="447"/>
      <c r="EQ3" s="447" t="s">
        <v>193</v>
      </c>
      <c r="ER3" s="447"/>
      <c r="ES3" s="447"/>
      <c r="ET3" s="447" t="s">
        <v>194</v>
      </c>
      <c r="EU3" s="447"/>
      <c r="EV3" s="447"/>
      <c r="EW3" s="447" t="s">
        <v>195</v>
      </c>
      <c r="EX3" s="447"/>
      <c r="EY3" s="447"/>
      <c r="EZ3" s="447" t="s">
        <v>193</v>
      </c>
      <c r="FA3" s="447"/>
      <c r="FB3" s="447"/>
      <c r="FC3" s="447" t="s">
        <v>194</v>
      </c>
      <c r="FD3" s="447"/>
      <c r="FE3" s="447"/>
      <c r="FF3" s="447" t="s">
        <v>195</v>
      </c>
      <c r="FG3" s="447"/>
      <c r="FH3" s="447"/>
    </row>
    <row r="4" spans="1:182">
      <c r="A4" s="458"/>
      <c r="B4" s="459"/>
      <c r="C4" s="448" t="s">
        <v>5</v>
      </c>
      <c r="D4" s="448"/>
      <c r="E4" s="448"/>
      <c r="F4" s="448" t="s">
        <v>6</v>
      </c>
      <c r="G4" s="448"/>
      <c r="H4" s="448"/>
      <c r="I4" s="448"/>
      <c r="J4" s="448"/>
      <c r="K4" s="448"/>
      <c r="L4" s="448"/>
      <c r="M4" s="448"/>
      <c r="N4" s="448"/>
      <c r="O4" s="446"/>
      <c r="P4" s="446"/>
      <c r="Q4" s="446"/>
      <c r="R4" s="448" t="s">
        <v>5</v>
      </c>
      <c r="S4" s="448"/>
      <c r="T4" s="448"/>
      <c r="U4" s="448" t="s">
        <v>6</v>
      </c>
      <c r="V4" s="448"/>
      <c r="W4" s="448"/>
      <c r="X4" s="448"/>
      <c r="Y4" s="448"/>
      <c r="Z4" s="448"/>
      <c r="AA4" s="448"/>
      <c r="AB4" s="448"/>
      <c r="AC4" s="448"/>
      <c r="AD4" s="446"/>
      <c r="AE4" s="446"/>
      <c r="AF4" s="446"/>
      <c r="AG4" s="448" t="s">
        <v>5</v>
      </c>
      <c r="AH4" s="448"/>
      <c r="AI4" s="448"/>
      <c r="AJ4" s="448" t="s">
        <v>6</v>
      </c>
      <c r="AK4" s="448"/>
      <c r="AL4" s="448"/>
      <c r="AM4" s="448"/>
      <c r="AN4" s="448"/>
      <c r="AO4" s="448"/>
      <c r="AP4" s="448"/>
      <c r="AQ4" s="448"/>
      <c r="AR4" s="448"/>
      <c r="AS4" s="446"/>
      <c r="AT4" s="446"/>
      <c r="AU4" s="446"/>
      <c r="AV4" s="448" t="s">
        <v>5</v>
      </c>
      <c r="AW4" s="448"/>
      <c r="AX4" s="448"/>
      <c r="AY4" s="448" t="s">
        <v>6</v>
      </c>
      <c r="AZ4" s="448"/>
      <c r="BA4" s="448"/>
      <c r="BB4" s="448"/>
      <c r="BC4" s="448"/>
      <c r="BD4" s="448"/>
      <c r="BE4" s="448"/>
      <c r="BF4" s="448"/>
      <c r="BG4" s="448"/>
      <c r="BH4" s="446"/>
      <c r="BI4" s="446"/>
      <c r="BJ4" s="446"/>
      <c r="BK4" s="448" t="s">
        <v>5</v>
      </c>
      <c r="BL4" s="448"/>
      <c r="BM4" s="448"/>
      <c r="BN4" s="448" t="s">
        <v>6</v>
      </c>
      <c r="BO4" s="448"/>
      <c r="BP4" s="448"/>
      <c r="BQ4" s="448"/>
      <c r="BR4" s="448"/>
      <c r="BS4" s="448"/>
      <c r="BT4" s="448"/>
      <c r="BU4" s="448"/>
      <c r="BV4" s="448"/>
      <c r="BW4" s="446"/>
      <c r="BX4" s="446"/>
      <c r="BY4" s="446"/>
      <c r="BZ4" s="448" t="s">
        <v>5</v>
      </c>
      <c r="CA4" s="448"/>
      <c r="CB4" s="448"/>
      <c r="CC4" s="448" t="s">
        <v>6</v>
      </c>
      <c r="CD4" s="448"/>
      <c r="CE4" s="448"/>
      <c r="CF4" s="448"/>
      <c r="CG4" s="448"/>
      <c r="CH4" s="448"/>
      <c r="CI4" s="448"/>
      <c r="CJ4" s="448"/>
      <c r="CK4" s="448"/>
      <c r="CL4" s="446"/>
      <c r="CM4" s="446"/>
      <c r="CN4" s="446"/>
      <c r="CO4" s="448" t="s">
        <v>5</v>
      </c>
      <c r="CP4" s="448"/>
      <c r="CQ4" s="448"/>
      <c r="CR4" s="448" t="s">
        <v>6</v>
      </c>
      <c r="CS4" s="448"/>
      <c r="CT4" s="448"/>
      <c r="CU4" s="448"/>
      <c r="CV4" s="448"/>
      <c r="CW4" s="448"/>
      <c r="CX4" s="448"/>
      <c r="CY4" s="448"/>
      <c r="CZ4" s="448"/>
      <c r="DA4" s="446"/>
      <c r="DB4" s="446"/>
      <c r="DC4" s="446"/>
      <c r="DD4" s="448" t="s">
        <v>5</v>
      </c>
      <c r="DE4" s="448"/>
      <c r="DF4" s="448"/>
      <c r="DG4" s="448" t="s">
        <v>6</v>
      </c>
      <c r="DH4" s="448"/>
      <c r="DI4" s="448"/>
      <c r="DJ4" s="448"/>
      <c r="DK4" s="448"/>
      <c r="DL4" s="448"/>
      <c r="DM4" s="448"/>
      <c r="DN4" s="448"/>
      <c r="DO4" s="448"/>
      <c r="DP4" s="446"/>
      <c r="DQ4" s="446"/>
      <c r="DR4" s="446"/>
      <c r="DS4" s="448" t="s">
        <v>5</v>
      </c>
      <c r="DT4" s="448"/>
      <c r="DU4" s="448"/>
      <c r="DV4" s="448" t="s">
        <v>6</v>
      </c>
      <c r="DW4" s="448"/>
      <c r="DX4" s="448"/>
      <c r="DY4" s="448"/>
      <c r="DZ4" s="448"/>
      <c r="EA4" s="448"/>
      <c r="EB4" s="448"/>
      <c r="EC4" s="448"/>
      <c r="ED4" s="448"/>
      <c r="EE4" s="446"/>
      <c r="EF4" s="446"/>
      <c r="EG4" s="446"/>
      <c r="EH4" s="447"/>
      <c r="EI4" s="447"/>
      <c r="EJ4" s="447"/>
      <c r="EK4" s="447"/>
      <c r="EL4" s="447"/>
      <c r="EM4" s="447"/>
      <c r="EN4" s="447"/>
      <c r="EO4" s="447"/>
      <c r="EP4" s="447"/>
      <c r="EQ4" s="447"/>
      <c r="ER4" s="447"/>
      <c r="ES4" s="447"/>
      <c r="ET4" s="447"/>
      <c r="EU4" s="447"/>
      <c r="EV4" s="447"/>
      <c r="EW4" s="447"/>
      <c r="EX4" s="447"/>
      <c r="EY4" s="447"/>
      <c r="EZ4" s="447"/>
      <c r="FA4" s="447"/>
      <c r="FB4" s="447"/>
      <c r="FC4" s="447"/>
      <c r="FD4" s="447"/>
      <c r="FE4" s="447"/>
      <c r="FF4" s="447"/>
      <c r="FG4" s="447"/>
      <c r="FH4" s="447"/>
    </row>
    <row r="5" spans="1:182" ht="15" customHeight="1">
      <c r="A5" s="458"/>
      <c r="B5" s="459"/>
      <c r="C5" s="448"/>
      <c r="D5" s="448"/>
      <c r="E5" s="448"/>
      <c r="F5" s="448" t="s">
        <v>51</v>
      </c>
      <c r="G5" s="448"/>
      <c r="H5" s="448"/>
      <c r="I5" s="448" t="s">
        <v>190</v>
      </c>
      <c r="J5" s="448"/>
      <c r="K5" s="448"/>
      <c r="L5" s="448" t="s">
        <v>191</v>
      </c>
      <c r="M5" s="448"/>
      <c r="N5" s="448"/>
      <c r="O5" s="446"/>
      <c r="P5" s="446"/>
      <c r="Q5" s="446"/>
      <c r="R5" s="448"/>
      <c r="S5" s="448"/>
      <c r="T5" s="448"/>
      <c r="U5" s="448" t="s">
        <v>51</v>
      </c>
      <c r="V5" s="448"/>
      <c r="W5" s="448"/>
      <c r="X5" s="448" t="s">
        <v>190</v>
      </c>
      <c r="Y5" s="448"/>
      <c r="Z5" s="448"/>
      <c r="AA5" s="448" t="s">
        <v>191</v>
      </c>
      <c r="AB5" s="448"/>
      <c r="AC5" s="448"/>
      <c r="AD5" s="446"/>
      <c r="AE5" s="446"/>
      <c r="AF5" s="446"/>
      <c r="AG5" s="448"/>
      <c r="AH5" s="448"/>
      <c r="AI5" s="448"/>
      <c r="AJ5" s="448" t="s">
        <v>51</v>
      </c>
      <c r="AK5" s="448"/>
      <c r="AL5" s="448"/>
      <c r="AM5" s="448" t="s">
        <v>190</v>
      </c>
      <c r="AN5" s="448"/>
      <c r="AO5" s="448"/>
      <c r="AP5" s="448" t="s">
        <v>191</v>
      </c>
      <c r="AQ5" s="448"/>
      <c r="AR5" s="448"/>
      <c r="AS5" s="446"/>
      <c r="AT5" s="446"/>
      <c r="AU5" s="446"/>
      <c r="AV5" s="448"/>
      <c r="AW5" s="448"/>
      <c r="AX5" s="448"/>
      <c r="AY5" s="448" t="s">
        <v>51</v>
      </c>
      <c r="AZ5" s="448"/>
      <c r="BA5" s="448"/>
      <c r="BB5" s="448" t="s">
        <v>190</v>
      </c>
      <c r="BC5" s="448"/>
      <c r="BD5" s="448"/>
      <c r="BE5" s="448" t="s">
        <v>191</v>
      </c>
      <c r="BF5" s="448"/>
      <c r="BG5" s="448"/>
      <c r="BH5" s="446"/>
      <c r="BI5" s="446"/>
      <c r="BJ5" s="446"/>
      <c r="BK5" s="448"/>
      <c r="BL5" s="448"/>
      <c r="BM5" s="448"/>
      <c r="BN5" s="448" t="s">
        <v>51</v>
      </c>
      <c r="BO5" s="448"/>
      <c r="BP5" s="448"/>
      <c r="BQ5" s="448" t="s">
        <v>190</v>
      </c>
      <c r="BR5" s="448"/>
      <c r="BS5" s="448"/>
      <c r="BT5" s="448" t="s">
        <v>191</v>
      </c>
      <c r="BU5" s="448"/>
      <c r="BV5" s="448"/>
      <c r="BW5" s="446"/>
      <c r="BX5" s="446"/>
      <c r="BY5" s="446"/>
      <c r="BZ5" s="448"/>
      <c r="CA5" s="448"/>
      <c r="CB5" s="448"/>
      <c r="CC5" s="448" t="s">
        <v>51</v>
      </c>
      <c r="CD5" s="448"/>
      <c r="CE5" s="448"/>
      <c r="CF5" s="448" t="s">
        <v>190</v>
      </c>
      <c r="CG5" s="448"/>
      <c r="CH5" s="448"/>
      <c r="CI5" s="448" t="s">
        <v>191</v>
      </c>
      <c r="CJ5" s="448"/>
      <c r="CK5" s="448"/>
      <c r="CL5" s="446"/>
      <c r="CM5" s="446"/>
      <c r="CN5" s="446"/>
      <c r="CO5" s="448"/>
      <c r="CP5" s="448"/>
      <c r="CQ5" s="448"/>
      <c r="CR5" s="448" t="s">
        <v>51</v>
      </c>
      <c r="CS5" s="448"/>
      <c r="CT5" s="448"/>
      <c r="CU5" s="448" t="s">
        <v>190</v>
      </c>
      <c r="CV5" s="448"/>
      <c r="CW5" s="448"/>
      <c r="CX5" s="448" t="s">
        <v>191</v>
      </c>
      <c r="CY5" s="448"/>
      <c r="CZ5" s="448"/>
      <c r="DA5" s="446"/>
      <c r="DB5" s="446"/>
      <c r="DC5" s="446"/>
      <c r="DD5" s="448"/>
      <c r="DE5" s="448"/>
      <c r="DF5" s="448"/>
      <c r="DG5" s="448" t="s">
        <v>51</v>
      </c>
      <c r="DH5" s="448"/>
      <c r="DI5" s="448"/>
      <c r="DJ5" s="448" t="s">
        <v>190</v>
      </c>
      <c r="DK5" s="448"/>
      <c r="DL5" s="448"/>
      <c r="DM5" s="448" t="s">
        <v>191</v>
      </c>
      <c r="DN5" s="448"/>
      <c r="DO5" s="448"/>
      <c r="DP5" s="446"/>
      <c r="DQ5" s="446"/>
      <c r="DR5" s="446"/>
      <c r="DS5" s="448"/>
      <c r="DT5" s="448"/>
      <c r="DU5" s="448"/>
      <c r="DV5" s="448" t="s">
        <v>51</v>
      </c>
      <c r="DW5" s="448"/>
      <c r="DX5" s="448"/>
      <c r="DY5" s="448" t="s">
        <v>190</v>
      </c>
      <c r="DZ5" s="448"/>
      <c r="EA5" s="448"/>
      <c r="EB5" s="448" t="s">
        <v>191</v>
      </c>
      <c r="EC5" s="448"/>
      <c r="ED5" s="448"/>
      <c r="EE5" s="446"/>
      <c r="EF5" s="446"/>
      <c r="EG5" s="446"/>
      <c r="EH5" s="447"/>
      <c r="EI5" s="447"/>
      <c r="EJ5" s="447"/>
      <c r="EK5" s="447" t="s">
        <v>196</v>
      </c>
      <c r="EL5" s="447"/>
      <c r="EM5" s="447"/>
      <c r="EN5" s="447" t="s">
        <v>196</v>
      </c>
      <c r="EO5" s="447"/>
      <c r="EP5" s="447"/>
      <c r="EQ5" s="447"/>
      <c r="ER5" s="447"/>
      <c r="ES5" s="447"/>
      <c r="ET5" s="447" t="s">
        <v>196</v>
      </c>
      <c r="EU5" s="447"/>
      <c r="EV5" s="447"/>
      <c r="EW5" s="447" t="s">
        <v>196</v>
      </c>
      <c r="EX5" s="447"/>
      <c r="EY5" s="447"/>
      <c r="EZ5" s="447"/>
      <c r="FA5" s="447"/>
      <c r="FB5" s="447"/>
      <c r="FC5" s="447" t="s">
        <v>196</v>
      </c>
      <c r="FD5" s="447"/>
      <c r="FE5" s="447"/>
      <c r="FF5" s="447" t="s">
        <v>196</v>
      </c>
      <c r="FG5" s="447"/>
      <c r="FH5" s="447"/>
    </row>
    <row r="6" spans="1:182">
      <c r="A6" s="458"/>
      <c r="B6" s="459"/>
      <c r="C6" s="126" t="s">
        <v>43</v>
      </c>
      <c r="D6" s="126" t="s">
        <v>44</v>
      </c>
      <c r="E6" s="126" t="s">
        <v>3</v>
      </c>
      <c r="F6" s="126" t="s">
        <v>43</v>
      </c>
      <c r="G6" s="126" t="s">
        <v>44</v>
      </c>
      <c r="H6" s="126" t="s">
        <v>3</v>
      </c>
      <c r="I6" s="126" t="s">
        <v>43</v>
      </c>
      <c r="J6" s="126" t="s">
        <v>44</v>
      </c>
      <c r="K6" s="126" t="s">
        <v>3</v>
      </c>
      <c r="L6" s="126" t="s">
        <v>43</v>
      </c>
      <c r="M6" s="126" t="s">
        <v>44</v>
      </c>
      <c r="N6" s="126" t="s">
        <v>3</v>
      </c>
      <c r="O6" s="127" t="s">
        <v>43</v>
      </c>
      <c r="P6" s="127" t="s">
        <v>44</v>
      </c>
      <c r="Q6" s="127" t="s">
        <v>3</v>
      </c>
      <c r="R6" s="126" t="s">
        <v>43</v>
      </c>
      <c r="S6" s="126" t="s">
        <v>44</v>
      </c>
      <c r="T6" s="126" t="s">
        <v>3</v>
      </c>
      <c r="U6" s="126" t="s">
        <v>43</v>
      </c>
      <c r="V6" s="126" t="s">
        <v>44</v>
      </c>
      <c r="W6" s="126" t="s">
        <v>3</v>
      </c>
      <c r="X6" s="126" t="s">
        <v>43</v>
      </c>
      <c r="Y6" s="126" t="s">
        <v>44</v>
      </c>
      <c r="Z6" s="126" t="s">
        <v>3</v>
      </c>
      <c r="AA6" s="126" t="s">
        <v>43</v>
      </c>
      <c r="AB6" s="126" t="s">
        <v>44</v>
      </c>
      <c r="AC6" s="126" t="s">
        <v>3</v>
      </c>
      <c r="AD6" s="127" t="s">
        <v>43</v>
      </c>
      <c r="AE6" s="127" t="s">
        <v>44</v>
      </c>
      <c r="AF6" s="127" t="s">
        <v>3</v>
      </c>
      <c r="AG6" s="126" t="s">
        <v>43</v>
      </c>
      <c r="AH6" s="126" t="s">
        <v>44</v>
      </c>
      <c r="AI6" s="126" t="s">
        <v>3</v>
      </c>
      <c r="AJ6" s="126" t="s">
        <v>43</v>
      </c>
      <c r="AK6" s="126" t="s">
        <v>44</v>
      </c>
      <c r="AL6" s="126" t="s">
        <v>3</v>
      </c>
      <c r="AM6" s="126" t="s">
        <v>43</v>
      </c>
      <c r="AN6" s="126" t="s">
        <v>44</v>
      </c>
      <c r="AO6" s="126" t="s">
        <v>3</v>
      </c>
      <c r="AP6" s="126" t="s">
        <v>43</v>
      </c>
      <c r="AQ6" s="126" t="s">
        <v>44</v>
      </c>
      <c r="AR6" s="126" t="s">
        <v>3</v>
      </c>
      <c r="AS6" s="127" t="s">
        <v>43</v>
      </c>
      <c r="AT6" s="127" t="s">
        <v>44</v>
      </c>
      <c r="AU6" s="127" t="s">
        <v>3</v>
      </c>
      <c r="AV6" s="126" t="s">
        <v>43</v>
      </c>
      <c r="AW6" s="126" t="s">
        <v>44</v>
      </c>
      <c r="AX6" s="126" t="s">
        <v>3</v>
      </c>
      <c r="AY6" s="126" t="s">
        <v>43</v>
      </c>
      <c r="AZ6" s="126" t="s">
        <v>44</v>
      </c>
      <c r="BA6" s="126" t="s">
        <v>3</v>
      </c>
      <c r="BB6" s="126" t="s">
        <v>43</v>
      </c>
      <c r="BC6" s="126" t="s">
        <v>44</v>
      </c>
      <c r="BD6" s="126" t="s">
        <v>3</v>
      </c>
      <c r="BE6" s="126" t="s">
        <v>43</v>
      </c>
      <c r="BF6" s="126" t="s">
        <v>44</v>
      </c>
      <c r="BG6" s="126" t="s">
        <v>3</v>
      </c>
      <c r="BH6" s="127" t="s">
        <v>43</v>
      </c>
      <c r="BI6" s="127" t="s">
        <v>44</v>
      </c>
      <c r="BJ6" s="127" t="s">
        <v>3</v>
      </c>
      <c r="BK6" s="126" t="s">
        <v>43</v>
      </c>
      <c r="BL6" s="126" t="s">
        <v>44</v>
      </c>
      <c r="BM6" s="126" t="s">
        <v>3</v>
      </c>
      <c r="BN6" s="126" t="s">
        <v>43</v>
      </c>
      <c r="BO6" s="126" t="s">
        <v>44</v>
      </c>
      <c r="BP6" s="126" t="s">
        <v>3</v>
      </c>
      <c r="BQ6" s="126" t="s">
        <v>43</v>
      </c>
      <c r="BR6" s="126" t="s">
        <v>44</v>
      </c>
      <c r="BS6" s="126" t="s">
        <v>3</v>
      </c>
      <c r="BT6" s="126" t="s">
        <v>43</v>
      </c>
      <c r="BU6" s="126" t="s">
        <v>44</v>
      </c>
      <c r="BV6" s="126" t="s">
        <v>3</v>
      </c>
      <c r="BW6" s="127" t="s">
        <v>43</v>
      </c>
      <c r="BX6" s="127" t="s">
        <v>44</v>
      </c>
      <c r="BY6" s="127" t="s">
        <v>3</v>
      </c>
      <c r="BZ6" s="126" t="s">
        <v>43</v>
      </c>
      <c r="CA6" s="126" t="s">
        <v>44</v>
      </c>
      <c r="CB6" s="126" t="s">
        <v>3</v>
      </c>
      <c r="CC6" s="126" t="s">
        <v>43</v>
      </c>
      <c r="CD6" s="126" t="s">
        <v>44</v>
      </c>
      <c r="CE6" s="126" t="s">
        <v>3</v>
      </c>
      <c r="CF6" s="126" t="s">
        <v>43</v>
      </c>
      <c r="CG6" s="126" t="s">
        <v>44</v>
      </c>
      <c r="CH6" s="126" t="s">
        <v>3</v>
      </c>
      <c r="CI6" s="126" t="s">
        <v>43</v>
      </c>
      <c r="CJ6" s="126" t="s">
        <v>44</v>
      </c>
      <c r="CK6" s="126" t="s">
        <v>3</v>
      </c>
      <c r="CL6" s="127" t="s">
        <v>43</v>
      </c>
      <c r="CM6" s="127" t="s">
        <v>44</v>
      </c>
      <c r="CN6" s="127" t="s">
        <v>3</v>
      </c>
      <c r="CO6" s="126" t="s">
        <v>43</v>
      </c>
      <c r="CP6" s="126" t="s">
        <v>44</v>
      </c>
      <c r="CQ6" s="126" t="s">
        <v>3</v>
      </c>
      <c r="CR6" s="126" t="s">
        <v>43</v>
      </c>
      <c r="CS6" s="126" t="s">
        <v>44</v>
      </c>
      <c r="CT6" s="126" t="s">
        <v>3</v>
      </c>
      <c r="CU6" s="126" t="s">
        <v>43</v>
      </c>
      <c r="CV6" s="126" t="s">
        <v>44</v>
      </c>
      <c r="CW6" s="126" t="s">
        <v>3</v>
      </c>
      <c r="CX6" s="126" t="s">
        <v>43</v>
      </c>
      <c r="CY6" s="126" t="s">
        <v>44</v>
      </c>
      <c r="CZ6" s="126" t="s">
        <v>3</v>
      </c>
      <c r="DA6" s="127" t="s">
        <v>43</v>
      </c>
      <c r="DB6" s="127" t="s">
        <v>44</v>
      </c>
      <c r="DC6" s="127" t="s">
        <v>3</v>
      </c>
      <c r="DD6" s="126" t="s">
        <v>43</v>
      </c>
      <c r="DE6" s="126" t="s">
        <v>44</v>
      </c>
      <c r="DF6" s="126" t="s">
        <v>3</v>
      </c>
      <c r="DG6" s="126" t="s">
        <v>43</v>
      </c>
      <c r="DH6" s="126" t="s">
        <v>44</v>
      </c>
      <c r="DI6" s="126" t="s">
        <v>3</v>
      </c>
      <c r="DJ6" s="126" t="s">
        <v>43</v>
      </c>
      <c r="DK6" s="126" t="s">
        <v>44</v>
      </c>
      <c r="DL6" s="126" t="s">
        <v>3</v>
      </c>
      <c r="DM6" s="126" t="s">
        <v>43</v>
      </c>
      <c r="DN6" s="126" t="s">
        <v>44</v>
      </c>
      <c r="DO6" s="126" t="s">
        <v>3</v>
      </c>
      <c r="DP6" s="127" t="s">
        <v>43</v>
      </c>
      <c r="DQ6" s="127" t="s">
        <v>44</v>
      </c>
      <c r="DR6" s="127" t="s">
        <v>3</v>
      </c>
      <c r="DS6" s="126" t="s">
        <v>43</v>
      </c>
      <c r="DT6" s="126" t="s">
        <v>44</v>
      </c>
      <c r="DU6" s="126" t="s">
        <v>3</v>
      </c>
      <c r="DV6" s="126" t="s">
        <v>43</v>
      </c>
      <c r="DW6" s="126" t="s">
        <v>44</v>
      </c>
      <c r="DX6" s="126" t="s">
        <v>3</v>
      </c>
      <c r="DY6" s="126" t="s">
        <v>43</v>
      </c>
      <c r="DZ6" s="126" t="s">
        <v>44</v>
      </c>
      <c r="EA6" s="126" t="s">
        <v>3</v>
      </c>
      <c r="EB6" s="126" t="s">
        <v>43</v>
      </c>
      <c r="EC6" s="126" t="s">
        <v>44</v>
      </c>
      <c r="ED6" s="126" t="s">
        <v>3</v>
      </c>
      <c r="EE6" s="127" t="s">
        <v>43</v>
      </c>
      <c r="EF6" s="127" t="s">
        <v>44</v>
      </c>
      <c r="EG6" s="127" t="s">
        <v>3</v>
      </c>
      <c r="EH6" s="126" t="s">
        <v>43</v>
      </c>
      <c r="EI6" s="126" t="s">
        <v>44</v>
      </c>
      <c r="EJ6" s="126" t="s">
        <v>3</v>
      </c>
      <c r="EK6" s="126" t="s">
        <v>43</v>
      </c>
      <c r="EL6" s="126" t="s">
        <v>44</v>
      </c>
      <c r="EM6" s="126" t="s">
        <v>3</v>
      </c>
      <c r="EN6" s="126" t="s">
        <v>43</v>
      </c>
      <c r="EO6" s="126" t="s">
        <v>44</v>
      </c>
      <c r="EP6" s="126" t="s">
        <v>3</v>
      </c>
      <c r="EQ6" s="126" t="s">
        <v>43</v>
      </c>
      <c r="ER6" s="126" t="s">
        <v>44</v>
      </c>
      <c r="ES6" s="126" t="s">
        <v>3</v>
      </c>
      <c r="ET6" s="126" t="s">
        <v>43</v>
      </c>
      <c r="EU6" s="126" t="s">
        <v>44</v>
      </c>
      <c r="EV6" s="126" t="s">
        <v>3</v>
      </c>
      <c r="EW6" s="126" t="s">
        <v>43</v>
      </c>
      <c r="EX6" s="126" t="s">
        <v>44</v>
      </c>
      <c r="EY6" s="126" t="s">
        <v>3</v>
      </c>
      <c r="EZ6" s="126" t="s">
        <v>43</v>
      </c>
      <c r="FA6" s="126" t="s">
        <v>44</v>
      </c>
      <c r="FB6" s="126" t="s">
        <v>3</v>
      </c>
      <c r="FC6" s="126" t="s">
        <v>43</v>
      </c>
      <c r="FD6" s="126" t="s">
        <v>44</v>
      </c>
      <c r="FE6" s="126" t="s">
        <v>3</v>
      </c>
      <c r="FF6" s="126" t="s">
        <v>43</v>
      </c>
      <c r="FG6" s="126" t="s">
        <v>44</v>
      </c>
      <c r="FH6" s="126" t="s">
        <v>3</v>
      </c>
    </row>
    <row r="7" spans="1:182">
      <c r="A7" s="77">
        <v>1</v>
      </c>
      <c r="B7" s="102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7">
        <v>3</v>
      </c>
      <c r="S7" s="77">
        <v>4</v>
      </c>
      <c r="T7" s="77">
        <v>5</v>
      </c>
      <c r="U7" s="77">
        <v>6</v>
      </c>
      <c r="V7" s="77">
        <v>7</v>
      </c>
      <c r="W7" s="77">
        <v>8</v>
      </c>
      <c r="X7" s="77">
        <v>9</v>
      </c>
      <c r="Y7" s="77">
        <v>10</v>
      </c>
      <c r="Z7" s="77">
        <v>11</v>
      </c>
      <c r="AA7" s="77">
        <v>12</v>
      </c>
      <c r="AB7" s="77">
        <v>13</v>
      </c>
      <c r="AC7" s="77">
        <v>14</v>
      </c>
      <c r="AD7" s="115">
        <v>15</v>
      </c>
      <c r="AE7" s="115">
        <v>16</v>
      </c>
      <c r="AF7" s="115">
        <v>17</v>
      </c>
      <c r="AG7" s="77">
        <v>3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77">
        <v>9</v>
      </c>
      <c r="AN7" s="77">
        <v>10</v>
      </c>
      <c r="AO7" s="77">
        <v>11</v>
      </c>
      <c r="AP7" s="77">
        <v>12</v>
      </c>
      <c r="AQ7" s="77">
        <v>13</v>
      </c>
      <c r="AR7" s="77">
        <v>14</v>
      </c>
      <c r="AS7" s="115">
        <v>15</v>
      </c>
      <c r="AT7" s="115">
        <v>16</v>
      </c>
      <c r="AU7" s="115">
        <v>17</v>
      </c>
      <c r="AV7" s="77">
        <v>3</v>
      </c>
      <c r="AW7" s="77">
        <v>4</v>
      </c>
      <c r="AX7" s="77">
        <v>5</v>
      </c>
      <c r="AY7" s="77">
        <v>6</v>
      </c>
      <c r="AZ7" s="77">
        <v>7</v>
      </c>
      <c r="BA7" s="77">
        <v>8</v>
      </c>
      <c r="BB7" s="77">
        <v>9</v>
      </c>
      <c r="BC7" s="77">
        <v>10</v>
      </c>
      <c r="BD7" s="77">
        <v>11</v>
      </c>
      <c r="BE7" s="77">
        <v>12</v>
      </c>
      <c r="BF7" s="77">
        <v>13</v>
      </c>
      <c r="BG7" s="77">
        <v>14</v>
      </c>
      <c r="BH7" s="115">
        <v>15</v>
      </c>
      <c r="BI7" s="115">
        <v>16</v>
      </c>
      <c r="BJ7" s="115">
        <v>17</v>
      </c>
      <c r="BK7" s="77">
        <v>3</v>
      </c>
      <c r="BL7" s="77">
        <v>4</v>
      </c>
      <c r="BM7" s="77">
        <v>5</v>
      </c>
      <c r="BN7" s="77">
        <v>6</v>
      </c>
      <c r="BO7" s="77">
        <v>7</v>
      </c>
      <c r="BP7" s="77">
        <v>8</v>
      </c>
      <c r="BQ7" s="77">
        <v>9</v>
      </c>
      <c r="BR7" s="77">
        <v>10</v>
      </c>
      <c r="BS7" s="77">
        <v>11</v>
      </c>
      <c r="BT7" s="77">
        <v>12</v>
      </c>
      <c r="BU7" s="77">
        <v>13</v>
      </c>
      <c r="BV7" s="77">
        <v>14</v>
      </c>
      <c r="BW7" s="115">
        <v>15</v>
      </c>
      <c r="BX7" s="115">
        <v>16</v>
      </c>
      <c r="BY7" s="115">
        <v>17</v>
      </c>
      <c r="BZ7" s="77">
        <v>3</v>
      </c>
      <c r="CA7" s="77">
        <v>4</v>
      </c>
      <c r="CB7" s="77">
        <v>5</v>
      </c>
      <c r="CC7" s="77">
        <v>6</v>
      </c>
      <c r="CD7" s="77">
        <v>7</v>
      </c>
      <c r="CE7" s="77">
        <v>8</v>
      </c>
      <c r="CF7" s="77">
        <v>9</v>
      </c>
      <c r="CG7" s="77">
        <v>10</v>
      </c>
      <c r="CH7" s="77">
        <v>11</v>
      </c>
      <c r="CI7" s="77">
        <v>12</v>
      </c>
      <c r="CJ7" s="77">
        <v>13</v>
      </c>
      <c r="CK7" s="77">
        <v>14</v>
      </c>
      <c r="CL7" s="115">
        <v>15</v>
      </c>
      <c r="CM7" s="115">
        <v>16</v>
      </c>
      <c r="CN7" s="115">
        <v>17</v>
      </c>
      <c r="CO7" s="77">
        <v>3</v>
      </c>
      <c r="CP7" s="77">
        <v>4</v>
      </c>
      <c r="CQ7" s="77">
        <v>5</v>
      </c>
      <c r="CR7" s="77">
        <v>6</v>
      </c>
      <c r="CS7" s="77">
        <v>7</v>
      </c>
      <c r="CT7" s="77">
        <v>8</v>
      </c>
      <c r="CU7" s="77">
        <v>9</v>
      </c>
      <c r="CV7" s="77">
        <v>10</v>
      </c>
      <c r="CW7" s="77">
        <v>11</v>
      </c>
      <c r="CX7" s="77">
        <v>12</v>
      </c>
      <c r="CY7" s="77">
        <v>13</v>
      </c>
      <c r="CZ7" s="77">
        <v>14</v>
      </c>
      <c r="DA7" s="115">
        <v>15</v>
      </c>
      <c r="DB7" s="115">
        <v>16</v>
      </c>
      <c r="DC7" s="115">
        <v>17</v>
      </c>
      <c r="DD7" s="77">
        <v>3</v>
      </c>
      <c r="DE7" s="77">
        <v>4</v>
      </c>
      <c r="DF7" s="77">
        <v>5</v>
      </c>
      <c r="DG7" s="77">
        <v>6</v>
      </c>
      <c r="DH7" s="77">
        <v>7</v>
      </c>
      <c r="DI7" s="77">
        <v>8</v>
      </c>
      <c r="DJ7" s="77">
        <v>9</v>
      </c>
      <c r="DK7" s="77">
        <v>10</v>
      </c>
      <c r="DL7" s="77">
        <v>11</v>
      </c>
      <c r="DM7" s="77">
        <v>12</v>
      </c>
      <c r="DN7" s="77">
        <v>13</v>
      </c>
      <c r="DO7" s="77">
        <v>14</v>
      </c>
      <c r="DP7" s="115">
        <v>15</v>
      </c>
      <c r="DQ7" s="115">
        <v>16</v>
      </c>
      <c r="DR7" s="115">
        <v>17</v>
      </c>
      <c r="DS7" s="77">
        <v>3</v>
      </c>
      <c r="DT7" s="77">
        <v>4</v>
      </c>
      <c r="DU7" s="77">
        <v>5</v>
      </c>
      <c r="DV7" s="77">
        <v>6</v>
      </c>
      <c r="DW7" s="77">
        <v>7</v>
      </c>
      <c r="DX7" s="77">
        <v>8</v>
      </c>
      <c r="DY7" s="77">
        <v>9</v>
      </c>
      <c r="DZ7" s="77">
        <v>10</v>
      </c>
      <c r="EA7" s="77">
        <v>11</v>
      </c>
      <c r="EB7" s="77">
        <v>12</v>
      </c>
      <c r="EC7" s="77">
        <v>13</v>
      </c>
      <c r="ED7" s="77">
        <v>14</v>
      </c>
      <c r="EE7" s="115">
        <v>15</v>
      </c>
      <c r="EF7" s="115">
        <v>16</v>
      </c>
      <c r="EG7" s="115">
        <v>17</v>
      </c>
      <c r="EH7" s="78">
        <v>3</v>
      </c>
      <c r="EI7" s="78">
        <v>4</v>
      </c>
      <c r="EJ7" s="78">
        <v>5</v>
      </c>
      <c r="EK7" s="78">
        <v>6</v>
      </c>
      <c r="EL7" s="78">
        <v>7</v>
      </c>
      <c r="EM7" s="78">
        <v>8</v>
      </c>
      <c r="EN7" s="78">
        <v>12</v>
      </c>
      <c r="EO7" s="78">
        <v>13</v>
      </c>
      <c r="EP7" s="78">
        <v>14</v>
      </c>
      <c r="EQ7" s="78">
        <v>3</v>
      </c>
      <c r="ER7" s="78">
        <v>4</v>
      </c>
      <c r="ES7" s="78">
        <v>5</v>
      </c>
      <c r="ET7" s="78">
        <v>6</v>
      </c>
      <c r="EU7" s="78">
        <v>7</v>
      </c>
      <c r="EV7" s="78">
        <v>8</v>
      </c>
      <c r="EW7" s="78">
        <v>12</v>
      </c>
      <c r="EX7" s="78">
        <v>13</v>
      </c>
      <c r="EY7" s="78">
        <v>14</v>
      </c>
      <c r="EZ7" s="78">
        <v>3</v>
      </c>
      <c r="FA7" s="78">
        <v>4</v>
      </c>
      <c r="FB7" s="78">
        <v>5</v>
      </c>
      <c r="FC7" s="78">
        <v>6</v>
      </c>
      <c r="FD7" s="78">
        <v>7</v>
      </c>
      <c r="FE7" s="78">
        <v>8</v>
      </c>
      <c r="FF7" s="78">
        <v>12</v>
      </c>
      <c r="FG7" s="78">
        <v>13</v>
      </c>
      <c r="FH7" s="78">
        <v>14</v>
      </c>
    </row>
    <row r="8" spans="1:182" s="119" customFormat="1" ht="15.75" customHeight="1">
      <c r="A8" s="457" t="s">
        <v>216</v>
      </c>
      <c r="B8" s="457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4"/>
      <c r="FJ8" s="124"/>
      <c r="FK8" s="124"/>
      <c r="FL8" s="477"/>
      <c r="FM8" s="477"/>
      <c r="FN8" s="477"/>
      <c r="FO8" s="477"/>
      <c r="FP8" s="477"/>
      <c r="FQ8" s="477"/>
      <c r="FR8" s="477"/>
      <c r="FS8" s="477"/>
      <c r="FT8" s="477"/>
      <c r="FU8" s="477"/>
      <c r="FV8" s="477"/>
      <c r="FW8" s="477"/>
      <c r="FX8" s="477"/>
      <c r="FY8" s="477"/>
      <c r="FZ8" s="477"/>
    </row>
    <row r="9" spans="1:182" ht="28.5">
      <c r="A9" s="94">
        <v>1</v>
      </c>
      <c r="B9" s="118" t="s">
        <v>318</v>
      </c>
      <c r="C9" s="96">
        <v>949381</v>
      </c>
      <c r="D9" s="96">
        <v>639933</v>
      </c>
      <c r="E9" s="96">
        <f t="shared" ref="E9:E10" si="0">C9+D9</f>
        <v>1589314</v>
      </c>
      <c r="F9" s="99">
        <v>919085</v>
      </c>
      <c r="G9" s="96">
        <v>623931</v>
      </c>
      <c r="H9" s="96">
        <f t="shared" ref="H9:H10" si="1">F9+G9</f>
        <v>1543016</v>
      </c>
      <c r="I9" s="96">
        <v>15127</v>
      </c>
      <c r="J9" s="96">
        <v>7988</v>
      </c>
      <c r="K9" s="96">
        <f t="shared" ref="K9" si="2">I9+J9</f>
        <v>23115</v>
      </c>
      <c r="L9" s="97">
        <f t="shared" ref="L9" si="3">F9+I9</f>
        <v>934212</v>
      </c>
      <c r="M9" s="98">
        <f t="shared" ref="M9" si="4">G9+J9</f>
        <v>631919</v>
      </c>
      <c r="N9" s="98">
        <f t="shared" ref="N9" si="5">H9+K9</f>
        <v>1566131</v>
      </c>
      <c r="O9" s="116">
        <f t="shared" ref="O9:O10" si="6">L9/C9</f>
        <v>0.98402222079439128</v>
      </c>
      <c r="P9" s="116">
        <f t="shared" ref="P9:P10" si="7">M9/D9</f>
        <v>0.98747681397896347</v>
      </c>
      <c r="Q9" s="116">
        <f t="shared" ref="Q9:Q10" si="8">N9/E9</f>
        <v>0.98541320343242433</v>
      </c>
      <c r="R9" s="98">
        <v>34720</v>
      </c>
      <c r="S9" s="98">
        <v>35710</v>
      </c>
      <c r="T9" s="98">
        <f t="shared" ref="T9:T10" si="9">R9+S9</f>
        <v>70430</v>
      </c>
      <c r="U9" s="98">
        <v>718</v>
      </c>
      <c r="V9" s="98">
        <v>1132</v>
      </c>
      <c r="W9" s="98">
        <f>U9+V9</f>
        <v>1850</v>
      </c>
      <c r="X9" s="98">
        <v>2117</v>
      </c>
      <c r="Y9" s="98">
        <v>4270</v>
      </c>
      <c r="Z9" s="98">
        <f t="shared" ref="Z9" si="10">X9+Y9</f>
        <v>6387</v>
      </c>
      <c r="AA9" s="98">
        <f>U9+X9</f>
        <v>2835</v>
      </c>
      <c r="AB9" s="98">
        <f t="shared" ref="AB9" si="11">V9+Y9</f>
        <v>5402</v>
      </c>
      <c r="AC9" s="98">
        <f>W9+Z9</f>
        <v>8237</v>
      </c>
      <c r="AD9" s="116">
        <f t="shared" ref="AD9:AD10" si="12">AA9/R9</f>
        <v>8.165322580645161E-2</v>
      </c>
      <c r="AE9" s="116">
        <f t="shared" ref="AE9:AE10" si="13">AB9/S9</f>
        <v>0.15127415289834781</v>
      </c>
      <c r="AF9" s="116">
        <f t="shared" ref="AF9:AF10" si="14">AC9/T9</f>
        <v>0.11695300298168394</v>
      </c>
      <c r="AG9" s="98">
        <f t="shared" ref="AG9:AG10" si="15">C9+R9</f>
        <v>984101</v>
      </c>
      <c r="AH9" s="98">
        <f t="shared" ref="AH9:AH10" si="16">D9+S9</f>
        <v>675643</v>
      </c>
      <c r="AI9" s="98">
        <f t="shared" ref="AI9:AI10" si="17">E9+T9</f>
        <v>1659744</v>
      </c>
      <c r="AJ9" s="98">
        <f t="shared" ref="AJ9:AJ10" si="18">F9+U9</f>
        <v>919803</v>
      </c>
      <c r="AK9" s="98">
        <f t="shared" ref="AK9:AK10" si="19">G9+V9</f>
        <v>625063</v>
      </c>
      <c r="AL9" s="98">
        <f t="shared" ref="AL9:AL10" si="20">H9+W9</f>
        <v>1544866</v>
      </c>
      <c r="AM9" s="98">
        <f t="shared" ref="AM9" si="21">I9+X9</f>
        <v>17244</v>
      </c>
      <c r="AN9" s="98">
        <f t="shared" ref="AN9" si="22">J9+Y9</f>
        <v>12258</v>
      </c>
      <c r="AO9" s="98">
        <f t="shared" ref="AO9" si="23">K9+Z9</f>
        <v>29502</v>
      </c>
      <c r="AP9" s="98">
        <f t="shared" ref="AP9:AP10" si="24">L9+AA9</f>
        <v>937047</v>
      </c>
      <c r="AQ9" s="98">
        <f t="shared" ref="AQ9:AQ10" si="25">M9+AB9</f>
        <v>637321</v>
      </c>
      <c r="AR9" s="98">
        <f>N9+AC9</f>
        <v>1574368</v>
      </c>
      <c r="AS9" s="116">
        <f t="shared" ref="AS9:AS10" si="26">AP9/AG9</f>
        <v>0.95218580206706427</v>
      </c>
      <c r="AT9" s="116">
        <f t="shared" ref="AT9:AT10" si="27">AQ9/AH9</f>
        <v>0.94328069705450956</v>
      </c>
      <c r="AU9" s="116">
        <f t="shared" ref="AU9:AU10" si="28">AR9/AI9</f>
        <v>0.94856074189754569</v>
      </c>
      <c r="AV9" s="99">
        <v>71878</v>
      </c>
      <c r="AW9" s="99">
        <v>50819</v>
      </c>
      <c r="AX9" s="99">
        <f t="shared" ref="AX9:AX10" si="29">+AV9+AW9</f>
        <v>122697</v>
      </c>
      <c r="AY9" s="99">
        <v>68866</v>
      </c>
      <c r="AZ9" s="99">
        <v>49061</v>
      </c>
      <c r="BA9" s="99">
        <f t="shared" ref="BA9:BA10" si="30">+AY9+AZ9</f>
        <v>117927</v>
      </c>
      <c r="BB9" s="99">
        <v>1357</v>
      </c>
      <c r="BC9" s="99">
        <v>810</v>
      </c>
      <c r="BD9" s="99">
        <f t="shared" ref="BD9" si="31">+BB9+BC9</f>
        <v>2167</v>
      </c>
      <c r="BE9" s="99">
        <f t="shared" ref="BE9:BE10" si="32">+AY9+BB9</f>
        <v>70223</v>
      </c>
      <c r="BF9" s="99">
        <f>+AZ9+BC9</f>
        <v>49871</v>
      </c>
      <c r="BG9" s="99">
        <f>+BA9+BD9</f>
        <v>120094</v>
      </c>
      <c r="BH9" s="116">
        <f t="shared" ref="BH9:BH10" si="33">BE9/AV9</f>
        <v>0.97697487409221184</v>
      </c>
      <c r="BI9" s="116">
        <f t="shared" ref="BI9:BI10" si="34">BF9/AW9</f>
        <v>0.98134555973159643</v>
      </c>
      <c r="BJ9" s="116">
        <f t="shared" ref="BJ9:BJ10" si="35">BG9/AX9</f>
        <v>0.97878513737092188</v>
      </c>
      <c r="BK9" s="98">
        <v>6383</v>
      </c>
      <c r="BL9" s="98">
        <v>6485</v>
      </c>
      <c r="BM9" s="98">
        <f t="shared" ref="BM9:BM10" si="36">BK9+BL9</f>
        <v>12868</v>
      </c>
      <c r="BN9" s="99">
        <v>87</v>
      </c>
      <c r="BO9" s="99">
        <v>138</v>
      </c>
      <c r="BP9" s="99">
        <f t="shared" ref="BP9:BP10" si="37">BN9+BO9</f>
        <v>225</v>
      </c>
      <c r="BQ9" s="99">
        <v>318</v>
      </c>
      <c r="BR9" s="99">
        <v>790</v>
      </c>
      <c r="BS9" s="99">
        <f t="shared" ref="BS9" si="38">BQ9+BR9</f>
        <v>1108</v>
      </c>
      <c r="BT9" s="99">
        <f t="shared" ref="BT9" si="39">+BN9+BQ9</f>
        <v>405</v>
      </c>
      <c r="BU9" s="99">
        <f t="shared" ref="BU9" si="40">+BO9+BR9</f>
        <v>928</v>
      </c>
      <c r="BV9" s="99">
        <f t="shared" ref="BV9" si="41">+BP9+BS9</f>
        <v>1333</v>
      </c>
      <c r="BW9" s="116">
        <f t="shared" ref="BW9:BW10" si="42">BT9/BK9</f>
        <v>6.3449788500704998E-2</v>
      </c>
      <c r="BX9" s="116">
        <f t="shared" ref="BX9:BX10" si="43">BU9/BL9</f>
        <v>0.14309946029298382</v>
      </c>
      <c r="BY9" s="116">
        <f t="shared" ref="BY9:BY10" si="44">BV9/BM9</f>
        <v>0.10359030152315822</v>
      </c>
      <c r="BZ9" s="98">
        <f t="shared" ref="BZ9" si="45">AV9+BK9</f>
        <v>78261</v>
      </c>
      <c r="CA9" s="98">
        <f t="shared" ref="CA9" si="46">AW9+BL9</f>
        <v>57304</v>
      </c>
      <c r="CB9" s="98">
        <f t="shared" ref="CB9" si="47">AX9+BM9</f>
        <v>135565</v>
      </c>
      <c r="CC9" s="98">
        <f t="shared" ref="CC9:CC10" si="48">AY9+BN9</f>
        <v>68953</v>
      </c>
      <c r="CD9" s="98">
        <f t="shared" ref="CD9:CD10" si="49">AZ9+BO9</f>
        <v>49199</v>
      </c>
      <c r="CE9" s="98">
        <f t="shared" ref="CE9:CE10" si="50">BA9+BP9</f>
        <v>118152</v>
      </c>
      <c r="CF9" s="98">
        <f t="shared" ref="CF9" si="51">BB9+BQ9</f>
        <v>1675</v>
      </c>
      <c r="CG9" s="98">
        <f t="shared" ref="CG9" si="52">BC9+BR9</f>
        <v>1600</v>
      </c>
      <c r="CH9" s="98">
        <f t="shared" ref="CH9" si="53">BD9+BS9</f>
        <v>3275</v>
      </c>
      <c r="CI9" s="98">
        <f t="shared" ref="CI9:CI10" si="54">BE9+BT9</f>
        <v>70628</v>
      </c>
      <c r="CJ9" s="98">
        <f t="shared" ref="CJ9:CJ10" si="55">BF9+BU9</f>
        <v>50799</v>
      </c>
      <c r="CK9" s="98">
        <f t="shared" ref="CK9:CK10" si="56">BG9+BV9</f>
        <v>121427</v>
      </c>
      <c r="CL9" s="116">
        <f t="shared" ref="CL9:CL10" si="57">CI9/BZ9</f>
        <v>0.90246738477658095</v>
      </c>
      <c r="CM9" s="116">
        <f t="shared" ref="CM9:CM10" si="58">CJ9/CA9</f>
        <v>0.88648261901437941</v>
      </c>
      <c r="CN9" s="116">
        <f t="shared" ref="CN9:CN10" si="59">CK9/CB9</f>
        <v>0.89571054475712752</v>
      </c>
      <c r="CO9" s="99">
        <v>31895</v>
      </c>
      <c r="CP9" s="99">
        <v>26302</v>
      </c>
      <c r="CQ9" s="99">
        <f t="shared" ref="CQ9:CQ10" si="60">+CO9+CP9</f>
        <v>58197</v>
      </c>
      <c r="CR9" s="99">
        <v>28419</v>
      </c>
      <c r="CS9" s="99">
        <v>23055</v>
      </c>
      <c r="CT9" s="99">
        <f t="shared" ref="CT9:CT10" si="61">+CR9+CS9</f>
        <v>51474</v>
      </c>
      <c r="CU9" s="99">
        <v>1710</v>
      </c>
      <c r="CV9" s="99">
        <v>1729</v>
      </c>
      <c r="CW9" s="99">
        <f t="shared" ref="CW9" si="62">+CU9+CV9</f>
        <v>3439</v>
      </c>
      <c r="CX9" s="99">
        <f t="shared" ref="CX9" si="63">+CR9+CU9</f>
        <v>30129</v>
      </c>
      <c r="CY9" s="99">
        <f t="shared" ref="CY9:CY10" si="64">+CS9+CV9</f>
        <v>24784</v>
      </c>
      <c r="CZ9" s="99">
        <f t="shared" ref="CZ9:CZ10" si="65">+CT9+CW9</f>
        <v>54913</v>
      </c>
      <c r="DA9" s="116">
        <f t="shared" ref="DA9:DA10" si="66">CX9/CO9</f>
        <v>0.94463081987772379</v>
      </c>
      <c r="DB9" s="116">
        <f t="shared" ref="DB9:DB10" si="67">CY9/CP9</f>
        <v>0.94228575773705425</v>
      </c>
      <c r="DC9" s="116">
        <f t="shared" ref="DC9:DC10" si="68">CZ9/CQ9</f>
        <v>0.94357097444885474</v>
      </c>
      <c r="DD9" s="98">
        <v>47</v>
      </c>
      <c r="DE9" s="98">
        <v>44</v>
      </c>
      <c r="DF9" s="98">
        <f t="shared" ref="DF9:DF10" si="69">DD9+DE9</f>
        <v>91</v>
      </c>
      <c r="DG9" s="99">
        <v>7</v>
      </c>
      <c r="DH9" s="99">
        <v>5</v>
      </c>
      <c r="DI9" s="99">
        <f t="shared" ref="DI9:DI10" si="70">+DG9+DH9</f>
        <v>12</v>
      </c>
      <c r="DJ9" s="99">
        <v>9</v>
      </c>
      <c r="DK9" s="99">
        <v>6</v>
      </c>
      <c r="DL9" s="99">
        <f t="shared" ref="DL9" si="71">DJ9+DK9</f>
        <v>15</v>
      </c>
      <c r="DM9" s="99">
        <f t="shared" ref="DM9:DM10" si="72">+DG9+DJ9</f>
        <v>16</v>
      </c>
      <c r="DN9" s="99">
        <f t="shared" ref="DN9:DN10" si="73">+DH9+DK9</f>
        <v>11</v>
      </c>
      <c r="DO9" s="99">
        <f t="shared" ref="DO9:DO10" si="74">+DI9+DL9</f>
        <v>27</v>
      </c>
      <c r="DP9" s="116">
        <f t="shared" ref="DP9:DP10" si="75">DM9/DD9</f>
        <v>0.34042553191489361</v>
      </c>
      <c r="DQ9" s="116">
        <f t="shared" ref="DQ9:DQ10" si="76">DN9/DE9</f>
        <v>0.25</v>
      </c>
      <c r="DR9" s="116">
        <f t="shared" ref="DR9:DR10" si="77">DO9/DF9</f>
        <v>0.2967032967032967</v>
      </c>
      <c r="DS9" s="98">
        <f t="shared" ref="DS9:DS10" si="78">CO9+DD9</f>
        <v>31942</v>
      </c>
      <c r="DT9" s="98">
        <f t="shared" ref="DT9:DT10" si="79">CP9+DE9</f>
        <v>26346</v>
      </c>
      <c r="DU9" s="98">
        <f t="shared" ref="DU9:DU10" si="80">CQ9+DF9</f>
        <v>58288</v>
      </c>
      <c r="DV9" s="98">
        <f t="shared" ref="DV9:DV10" si="81">CR9+DG9</f>
        <v>28426</v>
      </c>
      <c r="DW9" s="98">
        <f t="shared" ref="DW9:DW10" si="82">CS9+DH9</f>
        <v>23060</v>
      </c>
      <c r="DX9" s="98">
        <f t="shared" ref="DX9:DX10" si="83">CT9+DI9</f>
        <v>51486</v>
      </c>
      <c r="DY9" s="98">
        <f t="shared" ref="DY9" si="84">CU9+DJ9</f>
        <v>1719</v>
      </c>
      <c r="DZ9" s="98">
        <f t="shared" ref="DZ9" si="85">CV9+DK9</f>
        <v>1735</v>
      </c>
      <c r="EA9" s="98">
        <f t="shared" ref="EA9" si="86">CW9+DL9</f>
        <v>3454</v>
      </c>
      <c r="EB9" s="98">
        <f t="shared" ref="EB9:EB10" si="87">CX9+DM9</f>
        <v>30145</v>
      </c>
      <c r="EC9" s="98">
        <f t="shared" ref="EC9:EC10" si="88">CY9+DN9</f>
        <v>24795</v>
      </c>
      <c r="ED9" s="98">
        <f t="shared" ref="ED9:ED10" si="89">CZ9+DO9</f>
        <v>54940</v>
      </c>
      <c r="EE9" s="116">
        <f t="shared" ref="EE9:EE10" si="90">EB9/DS9</f>
        <v>0.94374178197983849</v>
      </c>
      <c r="EF9" s="116">
        <f t="shared" ref="EF9:EF10" si="91">EC9/DT9</f>
        <v>0.94112958323844231</v>
      </c>
      <c r="EG9" s="116">
        <f t="shared" ref="EG9:EG10" si="92">ED9/DU9</f>
        <v>0.94256107603623385</v>
      </c>
      <c r="EH9" s="98">
        <f t="shared" ref="EH9:EH10" si="93">+AP9</f>
        <v>937047</v>
      </c>
      <c r="EI9" s="98">
        <f t="shared" ref="EI9:EI10" si="94">+AQ9</f>
        <v>637321</v>
      </c>
      <c r="EJ9" s="98">
        <f t="shared" ref="EJ9:EJ10" si="95">+AR9</f>
        <v>1574368</v>
      </c>
      <c r="EK9" s="98">
        <v>722048</v>
      </c>
      <c r="EL9" s="98">
        <v>512621</v>
      </c>
      <c r="EM9" s="98">
        <f t="shared" ref="EM9:EM12" si="96">EK9+EL9</f>
        <v>1234669</v>
      </c>
      <c r="EN9" s="100">
        <f t="shared" ref="EN9:EN10" si="97">+EK9*100/EH9</f>
        <v>77.055686641118328</v>
      </c>
      <c r="EO9" s="100">
        <f t="shared" ref="EO9:EO10" si="98">+EL9*100/EI9</f>
        <v>80.433721782272983</v>
      </c>
      <c r="EP9" s="100">
        <f t="shared" ref="EP9:EP10" si="99">+EM9*100/EJ9</f>
        <v>78.423151385190749</v>
      </c>
      <c r="EQ9" s="98">
        <f t="shared" ref="EQ9:EQ10" si="100">+CI9</f>
        <v>70628</v>
      </c>
      <c r="ER9" s="98">
        <f t="shared" ref="ER9:ER10" si="101">+CJ9</f>
        <v>50799</v>
      </c>
      <c r="ES9" s="98">
        <f t="shared" ref="ES9:ES10" si="102">+CK9</f>
        <v>121427</v>
      </c>
      <c r="ET9" s="98">
        <v>48272</v>
      </c>
      <c r="EU9" s="98">
        <v>33965</v>
      </c>
      <c r="EV9" s="98">
        <f t="shared" ref="EV9:EV10" si="103">ET9+EU9</f>
        <v>82237</v>
      </c>
      <c r="EW9" s="100">
        <f t="shared" ref="EW9:EW10" si="104">+ET9*100/EQ9</f>
        <v>68.346831285042754</v>
      </c>
      <c r="EX9" s="100">
        <f t="shared" ref="EX9:EX10" si="105">+EU9*100/ER9</f>
        <v>66.861552392763642</v>
      </c>
      <c r="EY9" s="100">
        <f t="shared" ref="EY9:EY10" si="106">+EV9*100/ES9</f>
        <v>67.72546468248413</v>
      </c>
      <c r="EZ9" s="98">
        <f t="shared" ref="EZ9:EZ10" si="107">+EB9</f>
        <v>30145</v>
      </c>
      <c r="FA9" s="98">
        <f t="shared" ref="FA9:FA10" si="108">+EC9</f>
        <v>24795</v>
      </c>
      <c r="FB9" s="98">
        <f t="shared" ref="FB9:FB10" si="109">+ED9</f>
        <v>54940</v>
      </c>
      <c r="FC9" s="98">
        <v>18425</v>
      </c>
      <c r="FD9" s="98">
        <v>15088</v>
      </c>
      <c r="FE9" s="98">
        <f t="shared" ref="FE9:FE10" si="110">FC9+FD9</f>
        <v>33513</v>
      </c>
      <c r="FF9" s="100">
        <f t="shared" ref="FF9:FF10" si="111">+FC9*100/EZ9</f>
        <v>61.121247304693981</v>
      </c>
      <c r="FG9" s="100">
        <f t="shared" ref="FG9:FG10" si="112">+FD9*100/FA9</f>
        <v>60.850978019762046</v>
      </c>
      <c r="FH9" s="100">
        <f t="shared" ref="FH9:FH10" si="113">+FE9*100/FB9</f>
        <v>60.999271933017837</v>
      </c>
    </row>
    <row r="10" spans="1:182" ht="28.5">
      <c r="A10" s="94">
        <v>2</v>
      </c>
      <c r="B10" s="118" t="s">
        <v>215</v>
      </c>
      <c r="C10" s="96">
        <v>96566</v>
      </c>
      <c r="D10" s="96">
        <v>78428</v>
      </c>
      <c r="E10" s="96">
        <f t="shared" si="0"/>
        <v>174994</v>
      </c>
      <c r="F10" s="96">
        <v>94841</v>
      </c>
      <c r="G10" s="96">
        <v>77703</v>
      </c>
      <c r="H10" s="96">
        <f t="shared" si="1"/>
        <v>172544</v>
      </c>
      <c r="I10" s="104"/>
      <c r="J10" s="104"/>
      <c r="K10" s="104"/>
      <c r="L10" s="97">
        <f t="shared" ref="L10" si="114">F10+I10</f>
        <v>94841</v>
      </c>
      <c r="M10" s="98">
        <f t="shared" ref="M10" si="115">G10+J10</f>
        <v>77703</v>
      </c>
      <c r="N10" s="98">
        <f t="shared" ref="N10" si="116">H10+K10</f>
        <v>172544</v>
      </c>
      <c r="O10" s="116">
        <f t="shared" si="6"/>
        <v>0.98213656980717856</v>
      </c>
      <c r="P10" s="116">
        <f t="shared" si="7"/>
        <v>0.99075585250165754</v>
      </c>
      <c r="Q10" s="116">
        <f t="shared" si="8"/>
        <v>0.98599951998354229</v>
      </c>
      <c r="R10" s="98">
        <v>203</v>
      </c>
      <c r="S10" s="98">
        <v>102</v>
      </c>
      <c r="T10" s="98">
        <f t="shared" si="9"/>
        <v>305</v>
      </c>
      <c r="U10" s="98">
        <v>121</v>
      </c>
      <c r="V10" s="98">
        <v>67</v>
      </c>
      <c r="W10" s="98">
        <f t="shared" ref="W10" si="117">U10+V10</f>
        <v>188</v>
      </c>
      <c r="X10" s="103"/>
      <c r="Y10" s="103"/>
      <c r="Z10" s="103"/>
      <c r="AA10" s="98">
        <f>U10+X10</f>
        <v>121</v>
      </c>
      <c r="AB10" s="98">
        <f t="shared" ref="AB10" si="118">V10+Y10</f>
        <v>67</v>
      </c>
      <c r="AC10" s="98">
        <f t="shared" ref="AC10" si="119">W10+Z10</f>
        <v>188</v>
      </c>
      <c r="AD10" s="116">
        <f t="shared" si="12"/>
        <v>0.59605911330049266</v>
      </c>
      <c r="AE10" s="116">
        <f t="shared" si="13"/>
        <v>0.65686274509803921</v>
      </c>
      <c r="AF10" s="116">
        <f t="shared" si="14"/>
        <v>0.61639344262295082</v>
      </c>
      <c r="AG10" s="98">
        <f t="shared" si="15"/>
        <v>96769</v>
      </c>
      <c r="AH10" s="98">
        <f t="shared" si="16"/>
        <v>78530</v>
      </c>
      <c r="AI10" s="98">
        <f t="shared" si="17"/>
        <v>175299</v>
      </c>
      <c r="AJ10" s="98">
        <f t="shared" si="18"/>
        <v>94962</v>
      </c>
      <c r="AK10" s="98">
        <f t="shared" si="19"/>
        <v>77770</v>
      </c>
      <c r="AL10" s="98">
        <f t="shared" si="20"/>
        <v>172732</v>
      </c>
      <c r="AM10" s="103"/>
      <c r="AN10" s="103"/>
      <c r="AO10" s="103"/>
      <c r="AP10" s="98">
        <f t="shared" si="24"/>
        <v>94962</v>
      </c>
      <c r="AQ10" s="98">
        <f t="shared" si="25"/>
        <v>77770</v>
      </c>
      <c r="AR10" s="98">
        <f t="shared" ref="AR10" si="120">N10+AC10</f>
        <v>172732</v>
      </c>
      <c r="AS10" s="116">
        <f t="shared" si="26"/>
        <v>0.98132666453099648</v>
      </c>
      <c r="AT10" s="116">
        <f t="shared" si="27"/>
        <v>0.99032216987138677</v>
      </c>
      <c r="AU10" s="116">
        <f t="shared" si="28"/>
        <v>0.98535644812577372</v>
      </c>
      <c r="AV10" s="99">
        <v>4666</v>
      </c>
      <c r="AW10" s="99">
        <v>3537</v>
      </c>
      <c r="AX10" s="99">
        <f t="shared" si="29"/>
        <v>8203</v>
      </c>
      <c r="AY10" s="99">
        <v>4541</v>
      </c>
      <c r="AZ10" s="99">
        <v>3473</v>
      </c>
      <c r="BA10" s="99">
        <f t="shared" si="30"/>
        <v>8014</v>
      </c>
      <c r="BB10" s="104"/>
      <c r="BC10" s="104"/>
      <c r="BD10" s="104"/>
      <c r="BE10" s="99">
        <f t="shared" si="32"/>
        <v>4541</v>
      </c>
      <c r="BF10" s="99">
        <f t="shared" ref="BF10" si="121">+AZ10+BC10</f>
        <v>3473</v>
      </c>
      <c r="BG10" s="99">
        <f t="shared" ref="BG10" si="122">+BA10+BD10</f>
        <v>8014</v>
      </c>
      <c r="BH10" s="116">
        <f t="shared" si="33"/>
        <v>0.97321045863694811</v>
      </c>
      <c r="BI10" s="116">
        <f t="shared" si="34"/>
        <v>0.98190556969182918</v>
      </c>
      <c r="BJ10" s="116">
        <f t="shared" si="35"/>
        <v>0.97695964890893572</v>
      </c>
      <c r="BK10" s="98">
        <v>18</v>
      </c>
      <c r="BL10" s="98">
        <v>7</v>
      </c>
      <c r="BM10" s="98">
        <f t="shared" si="36"/>
        <v>25</v>
      </c>
      <c r="BN10" s="99">
        <v>14</v>
      </c>
      <c r="BO10" s="99">
        <v>6</v>
      </c>
      <c r="BP10" s="99">
        <f t="shared" si="37"/>
        <v>20</v>
      </c>
      <c r="BQ10" s="104"/>
      <c r="BR10" s="104"/>
      <c r="BS10" s="104"/>
      <c r="BT10" s="99">
        <f t="shared" ref="BT10" si="123">+BN10+BQ10</f>
        <v>14</v>
      </c>
      <c r="BU10" s="99">
        <f t="shared" ref="BU10" si="124">+BO10+BR10</f>
        <v>6</v>
      </c>
      <c r="BV10" s="99">
        <f t="shared" ref="BV10" si="125">+BP10+BS10</f>
        <v>20</v>
      </c>
      <c r="BW10" s="116">
        <f t="shared" si="42"/>
        <v>0.77777777777777779</v>
      </c>
      <c r="BX10" s="116">
        <f t="shared" si="43"/>
        <v>0.8571428571428571</v>
      </c>
      <c r="BY10" s="116">
        <f t="shared" si="44"/>
        <v>0.8</v>
      </c>
      <c r="BZ10" s="98">
        <f t="shared" ref="BZ10" si="126">AV10+BK10</f>
        <v>4684</v>
      </c>
      <c r="CA10" s="98">
        <f t="shared" ref="CA10" si="127">AW10+BL10</f>
        <v>3544</v>
      </c>
      <c r="CB10" s="98">
        <f t="shared" ref="CB10" si="128">AX10+BM10</f>
        <v>8228</v>
      </c>
      <c r="CC10" s="98">
        <f t="shared" si="48"/>
        <v>4555</v>
      </c>
      <c r="CD10" s="98">
        <f t="shared" si="49"/>
        <v>3479</v>
      </c>
      <c r="CE10" s="98">
        <f t="shared" si="50"/>
        <v>8034</v>
      </c>
      <c r="CF10" s="103"/>
      <c r="CG10" s="103"/>
      <c r="CH10" s="103"/>
      <c r="CI10" s="98">
        <f t="shared" si="54"/>
        <v>4555</v>
      </c>
      <c r="CJ10" s="98">
        <f t="shared" si="55"/>
        <v>3479</v>
      </c>
      <c r="CK10" s="98">
        <f t="shared" si="56"/>
        <v>8034</v>
      </c>
      <c r="CL10" s="116">
        <f t="shared" si="57"/>
        <v>0.9724594363791631</v>
      </c>
      <c r="CM10" s="116">
        <f t="shared" si="58"/>
        <v>0.98165914221218964</v>
      </c>
      <c r="CN10" s="116">
        <f t="shared" si="59"/>
        <v>0.97642197374817696</v>
      </c>
      <c r="CO10" s="99">
        <v>3058</v>
      </c>
      <c r="CP10" s="99">
        <v>2729</v>
      </c>
      <c r="CQ10" s="99">
        <f t="shared" si="60"/>
        <v>5787</v>
      </c>
      <c r="CR10" s="99">
        <v>2972</v>
      </c>
      <c r="CS10" s="99">
        <v>2661</v>
      </c>
      <c r="CT10" s="99">
        <f t="shared" si="61"/>
        <v>5633</v>
      </c>
      <c r="CU10" s="104"/>
      <c r="CV10" s="104"/>
      <c r="CW10" s="104"/>
      <c r="CX10" s="99">
        <f>+CR10+CU10</f>
        <v>2972</v>
      </c>
      <c r="CY10" s="99">
        <f t="shared" si="64"/>
        <v>2661</v>
      </c>
      <c r="CZ10" s="99">
        <f t="shared" si="65"/>
        <v>5633</v>
      </c>
      <c r="DA10" s="116">
        <f t="shared" si="66"/>
        <v>0.97187704381948992</v>
      </c>
      <c r="DB10" s="116">
        <f t="shared" si="67"/>
        <v>0.97508244778307074</v>
      </c>
      <c r="DC10" s="116">
        <f t="shared" si="68"/>
        <v>0.97338862968722994</v>
      </c>
      <c r="DD10" s="98">
        <v>14</v>
      </c>
      <c r="DE10" s="98">
        <v>9</v>
      </c>
      <c r="DF10" s="98">
        <f t="shared" si="69"/>
        <v>23</v>
      </c>
      <c r="DG10" s="99">
        <v>6</v>
      </c>
      <c r="DH10" s="99">
        <v>7</v>
      </c>
      <c r="DI10" s="99">
        <f t="shared" si="70"/>
        <v>13</v>
      </c>
      <c r="DJ10" s="104"/>
      <c r="DK10" s="104"/>
      <c r="DL10" s="104"/>
      <c r="DM10" s="99">
        <f t="shared" si="72"/>
        <v>6</v>
      </c>
      <c r="DN10" s="99">
        <f t="shared" si="73"/>
        <v>7</v>
      </c>
      <c r="DO10" s="99">
        <f t="shared" si="74"/>
        <v>13</v>
      </c>
      <c r="DP10" s="116">
        <f t="shared" si="75"/>
        <v>0.42857142857142855</v>
      </c>
      <c r="DQ10" s="116">
        <f t="shared" si="76"/>
        <v>0.77777777777777779</v>
      </c>
      <c r="DR10" s="116">
        <f t="shared" si="77"/>
        <v>0.56521739130434778</v>
      </c>
      <c r="DS10" s="98">
        <f t="shared" si="78"/>
        <v>3072</v>
      </c>
      <c r="DT10" s="98">
        <f t="shared" si="79"/>
        <v>2738</v>
      </c>
      <c r="DU10" s="98">
        <f t="shared" si="80"/>
        <v>5810</v>
      </c>
      <c r="DV10" s="98">
        <f t="shared" si="81"/>
        <v>2978</v>
      </c>
      <c r="DW10" s="98">
        <f t="shared" si="82"/>
        <v>2668</v>
      </c>
      <c r="DX10" s="98">
        <f t="shared" si="83"/>
        <v>5646</v>
      </c>
      <c r="DY10" s="103"/>
      <c r="DZ10" s="103"/>
      <c r="EA10" s="103"/>
      <c r="EB10" s="98">
        <f t="shared" si="87"/>
        <v>2978</v>
      </c>
      <c r="EC10" s="98">
        <f t="shared" si="88"/>
        <v>2668</v>
      </c>
      <c r="ED10" s="98">
        <f t="shared" si="89"/>
        <v>5646</v>
      </c>
      <c r="EE10" s="116">
        <f t="shared" si="90"/>
        <v>0.96940104166666663</v>
      </c>
      <c r="EF10" s="116">
        <f t="shared" si="91"/>
        <v>0.97443389335281227</v>
      </c>
      <c r="EG10" s="116">
        <f t="shared" si="92"/>
        <v>0.97177280550774525</v>
      </c>
      <c r="EH10" s="98">
        <f t="shared" si="93"/>
        <v>94962</v>
      </c>
      <c r="EI10" s="98">
        <f t="shared" si="94"/>
        <v>77770</v>
      </c>
      <c r="EJ10" s="98">
        <f t="shared" si="95"/>
        <v>172732</v>
      </c>
      <c r="EK10" s="98">
        <v>83269</v>
      </c>
      <c r="EL10" s="98">
        <v>71783</v>
      </c>
      <c r="EM10" s="98">
        <f t="shared" si="96"/>
        <v>155052</v>
      </c>
      <c r="EN10" s="100">
        <f t="shared" si="97"/>
        <v>87.686653608811952</v>
      </c>
      <c r="EO10" s="100">
        <f t="shared" si="98"/>
        <v>92.301658737302304</v>
      </c>
      <c r="EP10" s="100">
        <f t="shared" si="99"/>
        <v>89.764490656045197</v>
      </c>
      <c r="EQ10" s="98">
        <f t="shared" si="100"/>
        <v>4555</v>
      </c>
      <c r="ER10" s="98">
        <f t="shared" si="101"/>
        <v>3479</v>
      </c>
      <c r="ES10" s="98">
        <f t="shared" si="102"/>
        <v>8034</v>
      </c>
      <c r="ET10" s="98">
        <v>3732</v>
      </c>
      <c r="EU10" s="98">
        <v>2965</v>
      </c>
      <c r="EV10" s="98">
        <f t="shared" si="103"/>
        <v>6697</v>
      </c>
      <c r="EW10" s="100">
        <f t="shared" si="104"/>
        <v>81.931942919868277</v>
      </c>
      <c r="EX10" s="100">
        <f t="shared" si="105"/>
        <v>85.225639551595279</v>
      </c>
      <c r="EY10" s="100">
        <f t="shared" si="106"/>
        <v>83.358227532984813</v>
      </c>
      <c r="EZ10" s="98">
        <f t="shared" si="107"/>
        <v>2978</v>
      </c>
      <c r="FA10" s="98">
        <f t="shared" si="108"/>
        <v>2668</v>
      </c>
      <c r="FB10" s="98">
        <f t="shared" si="109"/>
        <v>5646</v>
      </c>
      <c r="FC10" s="98">
        <v>2150</v>
      </c>
      <c r="FD10" s="98">
        <v>2173</v>
      </c>
      <c r="FE10" s="98">
        <f t="shared" si="110"/>
        <v>4323</v>
      </c>
      <c r="FF10" s="100">
        <f t="shared" si="111"/>
        <v>72.19610476830087</v>
      </c>
      <c r="FG10" s="100">
        <f t="shared" si="112"/>
        <v>81.446776611694148</v>
      </c>
      <c r="FH10" s="100">
        <f t="shared" si="113"/>
        <v>76.567481402763022</v>
      </c>
    </row>
    <row r="11" spans="1:182" s="119" customFormat="1" ht="15.75" customHeight="1">
      <c r="A11" s="457" t="s">
        <v>217</v>
      </c>
      <c r="B11" s="457"/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160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2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  <c r="BG11" s="478"/>
      <c r="BH11" s="478"/>
      <c r="BI11" s="478"/>
      <c r="BJ11" s="478"/>
      <c r="BK11" s="478"/>
      <c r="BL11" s="478"/>
      <c r="BM11" s="478"/>
      <c r="BN11" s="478"/>
      <c r="BO11" s="478"/>
      <c r="BP11" s="478"/>
      <c r="BQ11" s="478"/>
      <c r="BR11" s="478"/>
      <c r="BS11" s="478"/>
      <c r="BT11" s="478"/>
      <c r="BU11" s="478"/>
      <c r="BV11" s="478"/>
      <c r="BW11" s="478"/>
      <c r="BX11" s="478"/>
      <c r="BY11" s="478"/>
      <c r="BZ11" s="478"/>
      <c r="CA11" s="478"/>
      <c r="CB11" s="478"/>
      <c r="CC11" s="478"/>
      <c r="CD11" s="478"/>
      <c r="CE11" s="478"/>
      <c r="CF11" s="478"/>
      <c r="CG11" s="478"/>
      <c r="CH11" s="478"/>
      <c r="CI11" s="478"/>
      <c r="CJ11" s="478"/>
      <c r="CK11" s="478"/>
      <c r="CL11" s="478"/>
      <c r="CM11" s="478"/>
      <c r="CN11" s="478"/>
      <c r="CO11" s="478"/>
      <c r="CP11" s="478"/>
      <c r="CQ11" s="478"/>
      <c r="CR11" s="478"/>
      <c r="CS11" s="478"/>
      <c r="CT11" s="478"/>
      <c r="CU11" s="478"/>
      <c r="CV11" s="478"/>
      <c r="CW11" s="478"/>
      <c r="CX11" s="478"/>
      <c r="CY11" s="478"/>
      <c r="CZ11" s="478"/>
      <c r="DA11" s="478"/>
      <c r="DB11" s="478"/>
      <c r="DC11" s="478"/>
      <c r="DD11" s="478"/>
      <c r="DE11" s="478"/>
      <c r="DF11" s="478"/>
      <c r="DG11" s="478"/>
      <c r="DH11" s="478"/>
      <c r="DI11" s="478"/>
      <c r="DJ11" s="478"/>
      <c r="DK11" s="478"/>
      <c r="DL11" s="478"/>
      <c r="DM11" s="478"/>
      <c r="DN11" s="478"/>
      <c r="DO11" s="478"/>
      <c r="DP11" s="478"/>
      <c r="DQ11" s="478"/>
      <c r="DR11" s="478"/>
      <c r="DS11" s="478"/>
      <c r="DT11" s="478"/>
      <c r="DU11" s="478"/>
      <c r="DV11" s="478"/>
      <c r="DW11" s="478"/>
      <c r="DX11" s="478"/>
      <c r="DY11" s="478"/>
      <c r="DZ11" s="478"/>
      <c r="EA11" s="478"/>
      <c r="EB11" s="478"/>
      <c r="EC11" s="478"/>
      <c r="ED11" s="478"/>
      <c r="EE11" s="478"/>
      <c r="EF11" s="478"/>
      <c r="EG11" s="478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</row>
    <row r="12" spans="1:182" ht="27" customHeight="1">
      <c r="A12" s="94">
        <v>3</v>
      </c>
      <c r="B12" s="371" t="s">
        <v>133</v>
      </c>
      <c r="C12" s="96">
        <v>314471</v>
      </c>
      <c r="D12" s="96">
        <v>295031</v>
      </c>
      <c r="E12" s="96">
        <f>C12+D12</f>
        <v>609502</v>
      </c>
      <c r="F12" s="96">
        <v>288909</v>
      </c>
      <c r="G12" s="96">
        <v>271344</v>
      </c>
      <c r="H12" s="96">
        <f>F12+G12</f>
        <v>560253</v>
      </c>
      <c r="I12" s="104"/>
      <c r="J12" s="104"/>
      <c r="K12" s="104"/>
      <c r="L12" s="97">
        <f t="shared" ref="L12:N14" si="129">F12+I12</f>
        <v>288909</v>
      </c>
      <c r="M12" s="98">
        <f t="shared" si="129"/>
        <v>271344</v>
      </c>
      <c r="N12" s="98">
        <f t="shared" si="129"/>
        <v>560253</v>
      </c>
      <c r="O12" s="116">
        <f>L12/C12</f>
        <v>0.91871428526000809</v>
      </c>
      <c r="P12" s="116">
        <f>M12/D12</f>
        <v>0.91971352162993036</v>
      </c>
      <c r="Q12" s="116">
        <f>N12/E12</f>
        <v>0.91919796817729882</v>
      </c>
      <c r="R12" s="98">
        <v>8340</v>
      </c>
      <c r="S12" s="98">
        <v>4696</v>
      </c>
      <c r="T12" s="98">
        <f>R12+S12</f>
        <v>13036</v>
      </c>
      <c r="U12" s="98">
        <v>5095</v>
      </c>
      <c r="V12" s="98">
        <v>3167</v>
      </c>
      <c r="W12" s="98">
        <f>U12+V12</f>
        <v>8262</v>
      </c>
      <c r="X12" s="103"/>
      <c r="Y12" s="103"/>
      <c r="Z12" s="103"/>
      <c r="AA12" s="98">
        <f t="shared" ref="AA12:AC13" si="130">U12+X12</f>
        <v>5095</v>
      </c>
      <c r="AB12" s="98">
        <f t="shared" si="130"/>
        <v>3167</v>
      </c>
      <c r="AC12" s="98">
        <f t="shared" si="130"/>
        <v>8262</v>
      </c>
      <c r="AD12" s="116">
        <f t="shared" ref="AD12:AF13" si="131">AA12/R12</f>
        <v>0.61091127098321341</v>
      </c>
      <c r="AE12" s="116">
        <f t="shared" si="131"/>
        <v>0.67440374787052815</v>
      </c>
      <c r="AF12" s="116">
        <f t="shared" si="131"/>
        <v>0.63378336913163547</v>
      </c>
      <c r="AG12" s="98">
        <f t="shared" ref="AG12:AL12" si="132">C12+R12</f>
        <v>322811</v>
      </c>
      <c r="AH12" s="98">
        <f t="shared" si="132"/>
        <v>299727</v>
      </c>
      <c r="AI12" s="98">
        <f t="shared" si="132"/>
        <v>622538</v>
      </c>
      <c r="AJ12" s="98">
        <f t="shared" si="132"/>
        <v>294004</v>
      </c>
      <c r="AK12" s="98">
        <f t="shared" si="132"/>
        <v>274511</v>
      </c>
      <c r="AL12" s="98">
        <f t="shared" si="132"/>
        <v>568515</v>
      </c>
      <c r="AM12" s="103"/>
      <c r="AN12" s="103"/>
      <c r="AO12" s="103"/>
      <c r="AP12" s="98">
        <f t="shared" ref="AP12:AR14" si="133">L12+AA12</f>
        <v>294004</v>
      </c>
      <c r="AQ12" s="98">
        <f t="shared" si="133"/>
        <v>274511</v>
      </c>
      <c r="AR12" s="98">
        <f t="shared" si="133"/>
        <v>568515</v>
      </c>
      <c r="AS12" s="116">
        <f>AP12/AG12</f>
        <v>0.91076202483806312</v>
      </c>
      <c r="AT12" s="116">
        <f>AQ12/AH12</f>
        <v>0.9158701084653702</v>
      </c>
      <c r="AU12" s="116">
        <f>AR12/AI12</f>
        <v>0.91322136158756573</v>
      </c>
      <c r="AV12" s="99">
        <v>58595</v>
      </c>
      <c r="AW12" s="99">
        <v>57980</v>
      </c>
      <c r="AX12" s="99">
        <f>+AV12+AW12</f>
        <v>116575</v>
      </c>
      <c r="AY12" s="99">
        <v>51610</v>
      </c>
      <c r="AZ12" s="99">
        <v>51191</v>
      </c>
      <c r="BA12" s="99">
        <f>+AY12+AZ12</f>
        <v>102801</v>
      </c>
      <c r="BB12" s="104"/>
      <c r="BC12" s="104"/>
      <c r="BD12" s="104"/>
      <c r="BE12" s="99">
        <f t="shared" ref="BE12:BG14" si="134">+AY12+BB12</f>
        <v>51610</v>
      </c>
      <c r="BF12" s="99">
        <f t="shared" si="134"/>
        <v>51191</v>
      </c>
      <c r="BG12" s="99">
        <f t="shared" si="134"/>
        <v>102801</v>
      </c>
      <c r="BH12" s="116">
        <f>BE12/AV12</f>
        <v>0.88079187643996926</v>
      </c>
      <c r="BI12" s="116">
        <f>BF12/AW12</f>
        <v>0.88290789927561231</v>
      </c>
      <c r="BJ12" s="116">
        <f>BG12/AX12</f>
        <v>0.8818443062406176</v>
      </c>
      <c r="BK12" s="98">
        <v>2425</v>
      </c>
      <c r="BL12" s="98">
        <v>1517</v>
      </c>
      <c r="BM12" s="98">
        <f>BK12+BL12</f>
        <v>3942</v>
      </c>
      <c r="BN12" s="99">
        <v>1379</v>
      </c>
      <c r="BO12" s="99">
        <v>964</v>
      </c>
      <c r="BP12" s="99">
        <f>BN12+BO12</f>
        <v>2343</v>
      </c>
      <c r="BQ12" s="104"/>
      <c r="BR12" s="104"/>
      <c r="BS12" s="104"/>
      <c r="BT12" s="99">
        <f>+BN12+BQ12</f>
        <v>1379</v>
      </c>
      <c r="BU12" s="99">
        <f>+BO12+BR12</f>
        <v>964</v>
      </c>
      <c r="BV12" s="99">
        <f>+BP12+BS12</f>
        <v>2343</v>
      </c>
      <c r="BW12" s="116">
        <f>BT12/BK12</f>
        <v>0.56865979381443299</v>
      </c>
      <c r="BX12" s="116">
        <f>BU12/BL12</f>
        <v>0.63546473302570861</v>
      </c>
      <c r="BY12" s="116">
        <f>BV12/BM12</f>
        <v>0.5943683409436834</v>
      </c>
      <c r="BZ12" s="98">
        <f t="shared" ref="BZ12:CE12" si="135">AV12+BK12</f>
        <v>61020</v>
      </c>
      <c r="CA12" s="98">
        <f t="shared" si="135"/>
        <v>59497</v>
      </c>
      <c r="CB12" s="98">
        <f t="shared" si="135"/>
        <v>120517</v>
      </c>
      <c r="CC12" s="98">
        <f t="shared" si="135"/>
        <v>52989</v>
      </c>
      <c r="CD12" s="98">
        <f t="shared" si="135"/>
        <v>52155</v>
      </c>
      <c r="CE12" s="98">
        <f t="shared" si="135"/>
        <v>105144</v>
      </c>
      <c r="CF12" s="103"/>
      <c r="CG12" s="103"/>
      <c r="CH12" s="103"/>
      <c r="CI12" s="98">
        <f t="shared" ref="CI12:CK14" si="136">BE12+BT12</f>
        <v>52989</v>
      </c>
      <c r="CJ12" s="98">
        <f t="shared" si="136"/>
        <v>52155</v>
      </c>
      <c r="CK12" s="98">
        <f t="shared" si="136"/>
        <v>105144</v>
      </c>
      <c r="CL12" s="116">
        <f>CI12/BZ12</f>
        <v>0.86838741396263519</v>
      </c>
      <c r="CM12" s="116">
        <f>CJ12/CA12</f>
        <v>0.87659882010857693</v>
      </c>
      <c r="CN12" s="116">
        <f>CK12/CB12</f>
        <v>0.87244123235726079</v>
      </c>
      <c r="CO12" s="99">
        <v>14898</v>
      </c>
      <c r="CP12" s="99">
        <v>14787</v>
      </c>
      <c r="CQ12" s="99">
        <f>+CO12+CP12</f>
        <v>29685</v>
      </c>
      <c r="CR12" s="99">
        <v>12543</v>
      </c>
      <c r="CS12" s="99">
        <v>12328</v>
      </c>
      <c r="CT12" s="99">
        <f>+CR12+CS12</f>
        <v>24871</v>
      </c>
      <c r="CU12" s="104"/>
      <c r="CV12" s="104"/>
      <c r="CW12" s="104"/>
      <c r="CX12" s="99">
        <f>+CR12+CU12</f>
        <v>12543</v>
      </c>
      <c r="CY12" s="99">
        <f>+CS12+CV12</f>
        <v>12328</v>
      </c>
      <c r="CZ12" s="99">
        <f>+CT12+CW12</f>
        <v>24871</v>
      </c>
      <c r="DA12" s="116">
        <f t="shared" ref="DA12:DC14" si="137">CX12/CO12</f>
        <v>0.84192509061619014</v>
      </c>
      <c r="DB12" s="116">
        <f t="shared" si="137"/>
        <v>0.83370528166632851</v>
      </c>
      <c r="DC12" s="116">
        <f t="shared" si="137"/>
        <v>0.83783055415192853</v>
      </c>
      <c r="DD12" s="98">
        <v>441</v>
      </c>
      <c r="DE12" s="98">
        <v>336</v>
      </c>
      <c r="DF12" s="98">
        <f>DD12+DE12</f>
        <v>777</v>
      </c>
      <c r="DG12" s="99">
        <v>256</v>
      </c>
      <c r="DH12" s="99">
        <v>209</v>
      </c>
      <c r="DI12" s="99">
        <f>+DG12+DH12</f>
        <v>465</v>
      </c>
      <c r="DJ12" s="104"/>
      <c r="DK12" s="104"/>
      <c r="DL12" s="104"/>
      <c r="DM12" s="99">
        <f>+DG12+DJ12</f>
        <v>256</v>
      </c>
      <c r="DN12" s="99">
        <f>+DH12+DK12</f>
        <v>209</v>
      </c>
      <c r="DO12" s="99">
        <f>+DI12+DL12</f>
        <v>465</v>
      </c>
      <c r="DP12" s="116">
        <f t="shared" ref="DP12:DR13" si="138">DM12/DD12</f>
        <v>0.58049886621315194</v>
      </c>
      <c r="DQ12" s="116">
        <f t="shared" si="138"/>
        <v>0.62202380952380953</v>
      </c>
      <c r="DR12" s="116">
        <f t="shared" si="138"/>
        <v>0.59845559845559848</v>
      </c>
      <c r="DS12" s="98">
        <f t="shared" ref="DS12:DX12" si="139">CO12+DD12</f>
        <v>15339</v>
      </c>
      <c r="DT12" s="98">
        <f t="shared" si="139"/>
        <v>15123</v>
      </c>
      <c r="DU12" s="98">
        <f t="shared" si="139"/>
        <v>30462</v>
      </c>
      <c r="DV12" s="98">
        <f t="shared" si="139"/>
        <v>12799</v>
      </c>
      <c r="DW12" s="98">
        <f t="shared" si="139"/>
        <v>12537</v>
      </c>
      <c r="DX12" s="98">
        <f t="shared" si="139"/>
        <v>25336</v>
      </c>
      <c r="DY12" s="103"/>
      <c r="DZ12" s="103"/>
      <c r="EA12" s="103"/>
      <c r="EB12" s="98">
        <f>CX12+DM12</f>
        <v>12799</v>
      </c>
      <c r="EC12" s="98">
        <f>CY12+DN12</f>
        <v>12537</v>
      </c>
      <c r="ED12" s="98">
        <f>CZ12+DO12</f>
        <v>25336</v>
      </c>
      <c r="EE12" s="116">
        <f>EB12/DS12</f>
        <v>0.83440902275246109</v>
      </c>
      <c r="EF12" s="116">
        <f>EC12/DT12</f>
        <v>0.82900218210672483</v>
      </c>
      <c r="EG12" s="116">
        <f>ED12/DU12</f>
        <v>0.8317247718468912</v>
      </c>
      <c r="EH12" s="98">
        <f>+AP12</f>
        <v>294004</v>
      </c>
      <c r="EI12" s="98">
        <f>+AQ12</f>
        <v>274511</v>
      </c>
      <c r="EJ12" s="98">
        <f>+AR12</f>
        <v>568515</v>
      </c>
      <c r="EK12" s="98">
        <v>275181</v>
      </c>
      <c r="EL12" s="98">
        <v>262344</v>
      </c>
      <c r="EM12" s="98">
        <f t="shared" si="96"/>
        <v>537525</v>
      </c>
      <c r="EN12" s="376">
        <f t="shared" ref="EN12" si="140">+EK12*100/EH12</f>
        <v>93.597706153657768</v>
      </c>
      <c r="EO12" s="376">
        <f t="shared" ref="EO12" si="141">+EL12*100/EI12</f>
        <v>95.56775502621025</v>
      </c>
      <c r="EP12" s="376">
        <f t="shared" ref="EP12" si="142">+EM12*100/EJ12</f>
        <v>94.548956491913145</v>
      </c>
      <c r="EQ12" s="98">
        <f>+CI12</f>
        <v>52989</v>
      </c>
      <c r="ER12" s="98">
        <f>+CJ12</f>
        <v>52155</v>
      </c>
      <c r="ES12" s="98">
        <f>+CK12</f>
        <v>105144</v>
      </c>
      <c r="ET12" s="377">
        <v>47638</v>
      </c>
      <c r="EU12" s="377">
        <v>48498</v>
      </c>
      <c r="EV12" s="377">
        <f t="shared" ref="EV12" si="143">ET12+EU12</f>
        <v>96136</v>
      </c>
      <c r="EW12" s="378">
        <f t="shared" ref="EW12" si="144">+ET12*100/EQ12</f>
        <v>89.901677706693846</v>
      </c>
      <c r="EX12" s="378">
        <f t="shared" ref="EX12" si="145">+EU12*100/ER12</f>
        <v>92.988208225481742</v>
      </c>
      <c r="EY12" s="378">
        <f t="shared" ref="EY12" si="146">+EV12*100/ES12</f>
        <v>91.432701818458497</v>
      </c>
      <c r="EZ12" s="98">
        <f>+EB12</f>
        <v>12799</v>
      </c>
      <c r="FA12" s="98">
        <f>+EC12</f>
        <v>12537</v>
      </c>
      <c r="FB12" s="98">
        <f>+ED12</f>
        <v>25336</v>
      </c>
      <c r="FC12" s="377">
        <v>11534</v>
      </c>
      <c r="FD12" s="377">
        <v>11576</v>
      </c>
      <c r="FE12" s="377">
        <f t="shared" ref="FE12" si="147">FC12+FD12</f>
        <v>23110</v>
      </c>
      <c r="FF12" s="378">
        <f t="shared" ref="FF12" si="148">+FC12*100/EZ12</f>
        <v>90.11641534494882</v>
      </c>
      <c r="FG12" s="378">
        <f t="shared" ref="FG12" si="149">+FD12*100/FA12</f>
        <v>92.334689319613943</v>
      </c>
      <c r="FH12" s="378">
        <f t="shared" ref="FH12" si="150">+FE12*100/FB12</f>
        <v>91.214082728133874</v>
      </c>
    </row>
    <row r="13" spans="1:182" ht="27" customHeight="1">
      <c r="A13" s="94">
        <v>4</v>
      </c>
      <c r="B13" s="118" t="s">
        <v>213</v>
      </c>
      <c r="C13" s="96">
        <v>257095</v>
      </c>
      <c r="D13" s="96">
        <v>250843</v>
      </c>
      <c r="E13" s="96">
        <f>C13+D13</f>
        <v>507938</v>
      </c>
      <c r="F13" s="96">
        <v>213264</v>
      </c>
      <c r="G13" s="96">
        <v>214150</v>
      </c>
      <c r="H13" s="96">
        <f>F13+G13</f>
        <v>427414</v>
      </c>
      <c r="I13" s="96">
        <v>29122</v>
      </c>
      <c r="J13" s="96">
        <v>24333</v>
      </c>
      <c r="K13" s="96">
        <f>I13+J13</f>
        <v>53455</v>
      </c>
      <c r="L13" s="97">
        <f t="shared" si="129"/>
        <v>242386</v>
      </c>
      <c r="M13" s="98">
        <f t="shared" si="129"/>
        <v>238483</v>
      </c>
      <c r="N13" s="98">
        <f t="shared" si="129"/>
        <v>480869</v>
      </c>
      <c r="O13" s="116">
        <f t="shared" ref="O13" si="151">L13/C13</f>
        <v>0.94278768548590985</v>
      </c>
      <c r="P13" s="116">
        <f>M13/D13</f>
        <v>0.95072615141742045</v>
      </c>
      <c r="Q13" s="116">
        <f>N13/E13</f>
        <v>0.94670806279506559</v>
      </c>
      <c r="R13" s="98">
        <v>16034</v>
      </c>
      <c r="S13" s="98">
        <v>9729</v>
      </c>
      <c r="T13" s="98">
        <f>R13+S13</f>
        <v>25763</v>
      </c>
      <c r="U13" s="98">
        <v>5466</v>
      </c>
      <c r="V13" s="98">
        <v>3788</v>
      </c>
      <c r="W13" s="98">
        <f>U13+V13</f>
        <v>9254</v>
      </c>
      <c r="X13" s="103"/>
      <c r="Y13" s="103"/>
      <c r="Z13" s="103"/>
      <c r="AA13" s="98">
        <f t="shared" si="130"/>
        <v>5466</v>
      </c>
      <c r="AB13" s="98">
        <f t="shared" si="130"/>
        <v>3788</v>
      </c>
      <c r="AC13" s="98">
        <f t="shared" si="130"/>
        <v>9254</v>
      </c>
      <c r="AD13" s="116">
        <f t="shared" si="131"/>
        <v>0.34090058625420983</v>
      </c>
      <c r="AE13" s="116">
        <f t="shared" si="131"/>
        <v>0.38935142357899066</v>
      </c>
      <c r="AF13" s="116">
        <f t="shared" si="131"/>
        <v>0.3591972984512673</v>
      </c>
      <c r="AG13" s="98">
        <f t="shared" ref="AG13" si="152">C13+R13</f>
        <v>273129</v>
      </c>
      <c r="AH13" s="98">
        <f t="shared" ref="AH13:AO14" si="153">D13+S13</f>
        <v>260572</v>
      </c>
      <c r="AI13" s="98">
        <f t="shared" si="153"/>
        <v>533701</v>
      </c>
      <c r="AJ13" s="98">
        <f t="shared" si="153"/>
        <v>218730</v>
      </c>
      <c r="AK13" s="98">
        <f t="shared" si="153"/>
        <v>217938</v>
      </c>
      <c r="AL13" s="98">
        <f t="shared" si="153"/>
        <v>436668</v>
      </c>
      <c r="AM13" s="98">
        <f t="shared" si="153"/>
        <v>29122</v>
      </c>
      <c r="AN13" s="98">
        <f t="shared" si="153"/>
        <v>24333</v>
      </c>
      <c r="AO13" s="98">
        <f t="shared" si="153"/>
        <v>53455</v>
      </c>
      <c r="AP13" s="98">
        <f t="shared" si="133"/>
        <v>247852</v>
      </c>
      <c r="AQ13" s="98">
        <f t="shared" si="133"/>
        <v>242271</v>
      </c>
      <c r="AR13" s="98">
        <f t="shared" si="133"/>
        <v>490123</v>
      </c>
      <c r="AS13" s="116">
        <f t="shared" ref="AS13" si="154">AP13/AG13</f>
        <v>0.90745398694389834</v>
      </c>
      <c r="AT13" s="116">
        <f>AQ13/AH13</f>
        <v>0.92976605314462024</v>
      </c>
      <c r="AU13" s="116">
        <f>AR13/AI13</f>
        <v>0.91834753916518796</v>
      </c>
      <c r="AV13" s="99">
        <v>44539</v>
      </c>
      <c r="AW13" s="99">
        <v>45083</v>
      </c>
      <c r="AX13" s="99">
        <f>+AV13+AW13</f>
        <v>89622</v>
      </c>
      <c r="AY13" s="99">
        <v>35489</v>
      </c>
      <c r="AZ13" s="99">
        <v>37046</v>
      </c>
      <c r="BA13" s="99">
        <f>+AY13+AZ13</f>
        <v>72535</v>
      </c>
      <c r="BB13" s="99">
        <v>5852</v>
      </c>
      <c r="BC13" s="99">
        <v>5331</v>
      </c>
      <c r="BD13" s="99">
        <f>+BB13+BC13</f>
        <v>11183</v>
      </c>
      <c r="BE13" s="99">
        <f t="shared" si="134"/>
        <v>41341</v>
      </c>
      <c r="BF13" s="99">
        <f t="shared" si="134"/>
        <v>42377</v>
      </c>
      <c r="BG13" s="99">
        <f t="shared" si="134"/>
        <v>83718</v>
      </c>
      <c r="BH13" s="116">
        <f t="shared" ref="BH13" si="155">BE13/AV13</f>
        <v>0.92819775926715908</v>
      </c>
      <c r="BI13" s="116">
        <f>BF13/AW13</f>
        <v>0.93997737506377121</v>
      </c>
      <c r="BJ13" s="116">
        <f>BG13/AX13</f>
        <v>0.93412331793532843</v>
      </c>
      <c r="BK13" s="98">
        <v>3295</v>
      </c>
      <c r="BL13" s="98">
        <v>2173</v>
      </c>
      <c r="BM13" s="98">
        <f>BK13+BL13</f>
        <v>5468</v>
      </c>
      <c r="BN13" s="99">
        <v>1099</v>
      </c>
      <c r="BO13" s="99">
        <v>768</v>
      </c>
      <c r="BP13" s="99">
        <f>BN13+BO13</f>
        <v>1867</v>
      </c>
      <c r="BQ13" s="104"/>
      <c r="BR13" s="104"/>
      <c r="BS13" s="104"/>
      <c r="BT13" s="99">
        <f>+BN13+BQ13</f>
        <v>1099</v>
      </c>
      <c r="BU13" s="99">
        <f t="shared" ref="BU13" si="156">+BO13+BR13</f>
        <v>768</v>
      </c>
      <c r="BV13" s="99">
        <f t="shared" ref="BV13" si="157">+BP13+BS13</f>
        <v>1867</v>
      </c>
      <c r="BW13" s="116">
        <f t="shared" ref="BW13" si="158">BT13/BK13</f>
        <v>0.33353566009104701</v>
      </c>
      <c r="BX13" s="116">
        <f>BU13/BL13</f>
        <v>0.3534284399447768</v>
      </c>
      <c r="BY13" s="116">
        <f>BV13/BM13</f>
        <v>0.34144111192392101</v>
      </c>
      <c r="BZ13" s="98">
        <f t="shared" ref="BZ13" si="159">AV13+BK13</f>
        <v>47834</v>
      </c>
      <c r="CA13" s="98">
        <f t="shared" ref="CA13" si="160">AW13+BL13</f>
        <v>47256</v>
      </c>
      <c r="CB13" s="98">
        <f>AX13+BM13</f>
        <v>95090</v>
      </c>
      <c r="CC13" s="98">
        <f t="shared" ref="CC13" si="161">AY13+BN13</f>
        <v>36588</v>
      </c>
      <c r="CD13" s="98">
        <f t="shared" ref="CD13" si="162">AZ13+BO13</f>
        <v>37814</v>
      </c>
      <c r="CE13" s="98">
        <f>BA13+BP13</f>
        <v>74402</v>
      </c>
      <c r="CF13" s="98">
        <f t="shared" ref="CF13" si="163">BB13+BQ13</f>
        <v>5852</v>
      </c>
      <c r="CG13" s="98">
        <f t="shared" ref="CG13" si="164">BC13+BR13</f>
        <v>5331</v>
      </c>
      <c r="CH13" s="98">
        <f>BD13+BS13</f>
        <v>11183</v>
      </c>
      <c r="CI13" s="98">
        <f t="shared" si="136"/>
        <v>42440</v>
      </c>
      <c r="CJ13" s="98">
        <f t="shared" si="136"/>
        <v>43145</v>
      </c>
      <c r="CK13" s="98">
        <f t="shared" si="136"/>
        <v>85585</v>
      </c>
      <c r="CL13" s="116">
        <f t="shared" ref="CL13" si="165">CI13/BZ13</f>
        <v>0.88723502111468833</v>
      </c>
      <c r="CM13" s="116">
        <f t="shared" ref="CM13" si="166">CJ13/CA13</f>
        <v>0.91300575588285082</v>
      </c>
      <c r="CN13" s="116">
        <f t="shared" ref="CN13" si="167">CK13/CB13</f>
        <v>0.90004206541171516</v>
      </c>
      <c r="CO13" s="99">
        <v>25213</v>
      </c>
      <c r="CP13" s="99">
        <v>24041</v>
      </c>
      <c r="CQ13" s="99">
        <f>+CO13+CP13</f>
        <v>49254</v>
      </c>
      <c r="CR13" s="99">
        <v>20652</v>
      </c>
      <c r="CS13" s="99">
        <v>19558</v>
      </c>
      <c r="CT13" s="99">
        <f>+CR13+CS13</f>
        <v>40210</v>
      </c>
      <c r="CU13" s="99">
        <v>2692</v>
      </c>
      <c r="CV13" s="99">
        <v>2629</v>
      </c>
      <c r="CW13" s="99">
        <f>+CU13+CV13</f>
        <v>5321</v>
      </c>
      <c r="CX13" s="99">
        <f t="shared" ref="CX13" si="168">+CR13+CU13</f>
        <v>23344</v>
      </c>
      <c r="CY13" s="99">
        <f>+CS13+CV13</f>
        <v>22187</v>
      </c>
      <c r="CZ13" s="99">
        <f>+CT13+CW13</f>
        <v>45531</v>
      </c>
      <c r="DA13" s="116">
        <f t="shared" si="137"/>
        <v>0.92587157418791888</v>
      </c>
      <c r="DB13" s="116">
        <f t="shared" si="137"/>
        <v>0.92288174368786657</v>
      </c>
      <c r="DC13" s="116">
        <f t="shared" si="137"/>
        <v>0.92441223047874288</v>
      </c>
      <c r="DD13" s="98">
        <v>1450</v>
      </c>
      <c r="DE13" s="98">
        <v>1086</v>
      </c>
      <c r="DF13" s="98">
        <f>DD13+DE13</f>
        <v>2536</v>
      </c>
      <c r="DG13" s="99">
        <v>519</v>
      </c>
      <c r="DH13" s="99">
        <v>370</v>
      </c>
      <c r="DI13" s="99">
        <f>+DG13+DH13</f>
        <v>889</v>
      </c>
      <c r="DJ13" s="104"/>
      <c r="DK13" s="104"/>
      <c r="DL13" s="104"/>
      <c r="DM13" s="99">
        <f t="shared" ref="DM13" si="169">+DG13+DJ13</f>
        <v>519</v>
      </c>
      <c r="DN13" s="99">
        <f>+DH13+DK13</f>
        <v>370</v>
      </c>
      <c r="DO13" s="99">
        <f>+DI13+DL13</f>
        <v>889</v>
      </c>
      <c r="DP13" s="116">
        <f t="shared" si="138"/>
        <v>0.35793103448275865</v>
      </c>
      <c r="DQ13" s="116">
        <f t="shared" si="138"/>
        <v>0.3406998158379374</v>
      </c>
      <c r="DR13" s="116">
        <f t="shared" si="138"/>
        <v>0.35055205047318611</v>
      </c>
      <c r="DS13" s="98">
        <f t="shared" ref="DS13:DU14" si="170">CO13+DD13</f>
        <v>26663</v>
      </c>
      <c r="DT13" s="98">
        <f t="shared" si="170"/>
        <v>25127</v>
      </c>
      <c r="DU13" s="98">
        <f t="shared" si="170"/>
        <v>51790</v>
      </c>
      <c r="DV13" s="98">
        <f t="shared" ref="DV13" si="171">CR13+DG13</f>
        <v>21171</v>
      </c>
      <c r="DW13" s="98">
        <f t="shared" ref="DW13" si="172">CS13+DH13</f>
        <v>19928</v>
      </c>
      <c r="DX13" s="98">
        <f>CT13+DI13</f>
        <v>41099</v>
      </c>
      <c r="DY13" s="98">
        <f t="shared" ref="DY13" si="173">CU13+DJ13</f>
        <v>2692</v>
      </c>
      <c r="DZ13" s="98">
        <f t="shared" ref="DZ13" si="174">CV13+DK13</f>
        <v>2629</v>
      </c>
      <c r="EA13" s="98">
        <f>CW13+DL13</f>
        <v>5321</v>
      </c>
      <c r="EB13" s="98">
        <f t="shared" ref="EB13" si="175">CX13+DM13</f>
        <v>23863</v>
      </c>
      <c r="EC13" s="98">
        <f t="shared" ref="EC13" si="176">CY13+DN13</f>
        <v>22557</v>
      </c>
      <c r="ED13" s="98">
        <f>CZ13+DO13</f>
        <v>46420</v>
      </c>
      <c r="EE13" s="116">
        <f t="shared" ref="EE13" si="177">EB13/DS13</f>
        <v>0.89498556051457079</v>
      </c>
      <c r="EF13" s="116">
        <f t="shared" ref="EF13" si="178">EC13/DT13</f>
        <v>0.89771958451068568</v>
      </c>
      <c r="EG13" s="116">
        <f>ED13/DU13</f>
        <v>0.89631202934929521</v>
      </c>
      <c r="EH13" s="98">
        <f t="shared" ref="EH13" si="179">+AP13</f>
        <v>247852</v>
      </c>
      <c r="EI13" s="98">
        <f>+AQ13</f>
        <v>242271</v>
      </c>
      <c r="EJ13" s="98">
        <f>+AR13</f>
        <v>490123</v>
      </c>
      <c r="EK13" s="103"/>
      <c r="EL13" s="103"/>
      <c r="EM13" s="103"/>
      <c r="EN13" s="103"/>
      <c r="EO13" s="103"/>
      <c r="EP13" s="103"/>
      <c r="EQ13" s="98">
        <f t="shared" ref="EQ13" si="180">+CI13</f>
        <v>42440</v>
      </c>
      <c r="ER13" s="98">
        <f>+CJ13</f>
        <v>43145</v>
      </c>
      <c r="ES13" s="98">
        <f>+CK13</f>
        <v>85585</v>
      </c>
      <c r="ET13" s="103"/>
      <c r="EU13" s="103"/>
      <c r="EV13" s="103"/>
      <c r="EW13" s="110"/>
      <c r="EX13" s="110"/>
      <c r="EY13" s="110"/>
      <c r="EZ13" s="98">
        <f t="shared" ref="EZ13" si="181">+EB13</f>
        <v>23863</v>
      </c>
      <c r="FA13" s="98">
        <f>+EC13</f>
        <v>22557</v>
      </c>
      <c r="FB13" s="98">
        <f>+ED13</f>
        <v>46420</v>
      </c>
      <c r="FC13" s="103"/>
      <c r="FD13" s="103"/>
      <c r="FE13" s="103"/>
      <c r="FF13" s="110"/>
      <c r="FG13" s="110"/>
      <c r="FH13" s="110"/>
    </row>
    <row r="14" spans="1:182" ht="27" customHeight="1">
      <c r="A14" s="94">
        <v>5</v>
      </c>
      <c r="B14" s="118" t="s">
        <v>134</v>
      </c>
      <c r="C14" s="96">
        <v>188722</v>
      </c>
      <c r="D14" s="96">
        <v>194034</v>
      </c>
      <c r="E14" s="96">
        <f>C14+D14</f>
        <v>382756</v>
      </c>
      <c r="F14" s="96">
        <v>93479</v>
      </c>
      <c r="G14" s="96">
        <v>90464</v>
      </c>
      <c r="H14" s="96">
        <f>F14+G14</f>
        <v>183943</v>
      </c>
      <c r="I14" s="96">
        <v>17722</v>
      </c>
      <c r="J14" s="96">
        <v>16531</v>
      </c>
      <c r="K14" s="96">
        <f>I14+J14</f>
        <v>34253</v>
      </c>
      <c r="L14" s="97">
        <f t="shared" si="129"/>
        <v>111201</v>
      </c>
      <c r="M14" s="98">
        <f t="shared" si="129"/>
        <v>106995</v>
      </c>
      <c r="N14" s="98">
        <f t="shared" si="129"/>
        <v>218196</v>
      </c>
      <c r="O14" s="116">
        <f>L14/C14</f>
        <v>0.58923178007863419</v>
      </c>
      <c r="P14" s="116">
        <f>M14/D14</f>
        <v>0.55142397724110204</v>
      </c>
      <c r="Q14" s="116">
        <f>N14/E14</f>
        <v>0.57006552477296246</v>
      </c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12"/>
      <c r="AE14" s="112"/>
      <c r="AF14" s="112"/>
      <c r="AG14" s="98">
        <f>C14+R14</f>
        <v>188722</v>
      </c>
      <c r="AH14" s="98">
        <f t="shared" si="153"/>
        <v>194034</v>
      </c>
      <c r="AI14" s="98">
        <f t="shared" si="153"/>
        <v>382756</v>
      </c>
      <c r="AJ14" s="98">
        <f t="shared" si="153"/>
        <v>93479</v>
      </c>
      <c r="AK14" s="98">
        <f t="shared" si="153"/>
        <v>90464</v>
      </c>
      <c r="AL14" s="98">
        <f t="shared" si="153"/>
        <v>183943</v>
      </c>
      <c r="AM14" s="98">
        <f t="shared" si="153"/>
        <v>17722</v>
      </c>
      <c r="AN14" s="98">
        <f t="shared" si="153"/>
        <v>16531</v>
      </c>
      <c r="AO14" s="98">
        <f t="shared" si="153"/>
        <v>34253</v>
      </c>
      <c r="AP14" s="98">
        <f t="shared" si="133"/>
        <v>111201</v>
      </c>
      <c r="AQ14" s="98">
        <f t="shared" si="133"/>
        <v>106995</v>
      </c>
      <c r="AR14" s="98">
        <f t="shared" si="133"/>
        <v>218196</v>
      </c>
      <c r="AS14" s="116">
        <f>AP14/AG14</f>
        <v>0.58923178007863419</v>
      </c>
      <c r="AT14" s="116">
        <f>AQ14/AH14</f>
        <v>0.55142397724110204</v>
      </c>
      <c r="AU14" s="116">
        <f>AR14/AI14</f>
        <v>0.57006552477296246</v>
      </c>
      <c r="AV14" s="99">
        <v>17883</v>
      </c>
      <c r="AW14" s="99">
        <v>18381</v>
      </c>
      <c r="AX14" s="99">
        <f>+AV14+AW14</f>
        <v>36264</v>
      </c>
      <c r="AY14" s="99">
        <v>7656</v>
      </c>
      <c r="AZ14" s="99">
        <v>7191</v>
      </c>
      <c r="BA14" s="99">
        <f>+AY14+AZ14</f>
        <v>14847</v>
      </c>
      <c r="BB14" s="99">
        <v>1889</v>
      </c>
      <c r="BC14" s="99">
        <v>1770</v>
      </c>
      <c r="BD14" s="99">
        <f>+BB14+BC14</f>
        <v>3659</v>
      </c>
      <c r="BE14" s="99">
        <f t="shared" si="134"/>
        <v>9545</v>
      </c>
      <c r="BF14" s="99">
        <f t="shared" si="134"/>
        <v>8961</v>
      </c>
      <c r="BG14" s="99">
        <f t="shared" si="134"/>
        <v>18506</v>
      </c>
      <c r="BH14" s="116">
        <f>BE14/AV14</f>
        <v>0.53374713414975117</v>
      </c>
      <c r="BI14" s="116">
        <f>BF14/AW14</f>
        <v>0.48751428105108535</v>
      </c>
      <c r="BJ14" s="116">
        <f>BG14/AX14</f>
        <v>0.51031325832781826</v>
      </c>
      <c r="BK14" s="103"/>
      <c r="BL14" s="103"/>
      <c r="BM14" s="103"/>
      <c r="BN14" s="104"/>
      <c r="BO14" s="104"/>
      <c r="BP14" s="104"/>
      <c r="BQ14" s="104"/>
      <c r="BR14" s="104"/>
      <c r="BS14" s="104"/>
      <c r="BT14" s="104"/>
      <c r="BU14" s="104"/>
      <c r="BV14" s="104"/>
      <c r="BW14" s="112"/>
      <c r="BX14" s="112"/>
      <c r="BY14" s="112"/>
      <c r="BZ14" s="98">
        <f>AV14+BK14</f>
        <v>17883</v>
      </c>
      <c r="CA14" s="98">
        <f>AW14+BL14</f>
        <v>18381</v>
      </c>
      <c r="CB14" s="98">
        <f>AX14+BM14</f>
        <v>36264</v>
      </c>
      <c r="CC14" s="98">
        <f>AY14+BN14</f>
        <v>7656</v>
      </c>
      <c r="CD14" s="98">
        <f>AZ14+BO14</f>
        <v>7191</v>
      </c>
      <c r="CE14" s="98">
        <f>BA14+BP14</f>
        <v>14847</v>
      </c>
      <c r="CF14" s="98">
        <f>BB14+BQ14</f>
        <v>1889</v>
      </c>
      <c r="CG14" s="98">
        <f>BC14+BR14</f>
        <v>1770</v>
      </c>
      <c r="CH14" s="98">
        <f>BD14+BS14</f>
        <v>3659</v>
      </c>
      <c r="CI14" s="98">
        <f t="shared" si="136"/>
        <v>9545</v>
      </c>
      <c r="CJ14" s="98">
        <f t="shared" si="136"/>
        <v>8961</v>
      </c>
      <c r="CK14" s="98">
        <f t="shared" si="136"/>
        <v>18506</v>
      </c>
      <c r="CL14" s="116">
        <f>CI14/BZ14</f>
        <v>0.53374713414975117</v>
      </c>
      <c r="CM14" s="116">
        <f>CJ14/CA14</f>
        <v>0.48751428105108535</v>
      </c>
      <c r="CN14" s="116">
        <f>CK14/CB14</f>
        <v>0.51031325832781826</v>
      </c>
      <c r="CO14" s="99">
        <v>37511</v>
      </c>
      <c r="CP14" s="99">
        <v>37393</v>
      </c>
      <c r="CQ14" s="99">
        <f>+CO14+CP14</f>
        <v>74904</v>
      </c>
      <c r="CR14" s="99">
        <v>15255</v>
      </c>
      <c r="CS14" s="99">
        <v>14072</v>
      </c>
      <c r="CT14" s="99">
        <f>+CR14+CS14</f>
        <v>29327</v>
      </c>
      <c r="CU14" s="99">
        <v>4510</v>
      </c>
      <c r="CV14" s="99">
        <v>3957</v>
      </c>
      <c r="CW14" s="99">
        <f>+CU14+CV14</f>
        <v>8467</v>
      </c>
      <c r="CX14" s="99">
        <f>+CR14+CU14</f>
        <v>19765</v>
      </c>
      <c r="CY14" s="99">
        <f>+CS14+CV14</f>
        <v>18029</v>
      </c>
      <c r="CZ14" s="99">
        <f>+CT14+CW14</f>
        <v>37794</v>
      </c>
      <c r="DA14" s="116">
        <f t="shared" si="137"/>
        <v>0.52691210578230385</v>
      </c>
      <c r="DB14" s="116">
        <f t="shared" si="137"/>
        <v>0.48214906533308372</v>
      </c>
      <c r="DC14" s="116">
        <f t="shared" si="137"/>
        <v>0.5045658442806793</v>
      </c>
      <c r="DD14" s="103"/>
      <c r="DE14" s="103"/>
      <c r="DF14" s="103"/>
      <c r="DG14" s="104"/>
      <c r="DH14" s="104"/>
      <c r="DI14" s="104"/>
      <c r="DJ14" s="104"/>
      <c r="DK14" s="104"/>
      <c r="DL14" s="104"/>
      <c r="DM14" s="104"/>
      <c r="DN14" s="104"/>
      <c r="DO14" s="104"/>
      <c r="DP14" s="112"/>
      <c r="DQ14" s="112"/>
      <c r="DR14" s="112"/>
      <c r="DS14" s="98">
        <f t="shared" si="170"/>
        <v>37511</v>
      </c>
      <c r="DT14" s="98">
        <f t="shared" si="170"/>
        <v>37393</v>
      </c>
      <c r="DU14" s="98">
        <f t="shared" si="170"/>
        <v>74904</v>
      </c>
      <c r="DV14" s="98">
        <f>CR14+DG14</f>
        <v>15255</v>
      </c>
      <c r="DW14" s="98">
        <f>CS14+DH14</f>
        <v>14072</v>
      </c>
      <c r="DX14" s="98">
        <f>CT14+DI14</f>
        <v>29327</v>
      </c>
      <c r="DY14" s="98">
        <f>CU14+DJ14</f>
        <v>4510</v>
      </c>
      <c r="DZ14" s="98">
        <f>CV14+DK14</f>
        <v>3957</v>
      </c>
      <c r="EA14" s="98">
        <f>CW14+DL14</f>
        <v>8467</v>
      </c>
      <c r="EB14" s="98">
        <f>CX14+DM14</f>
        <v>19765</v>
      </c>
      <c r="EC14" s="98">
        <f>CY14+DN14</f>
        <v>18029</v>
      </c>
      <c r="ED14" s="98">
        <f>CZ14+DO14</f>
        <v>37794</v>
      </c>
      <c r="EE14" s="116">
        <f>EB14/DS14</f>
        <v>0.52691210578230385</v>
      </c>
      <c r="EF14" s="116">
        <f>EC14/DT14</f>
        <v>0.48214906533308372</v>
      </c>
      <c r="EG14" s="116">
        <f>ED14/DU14</f>
        <v>0.5045658442806793</v>
      </c>
      <c r="EH14" s="98">
        <f>+AP14</f>
        <v>111201</v>
      </c>
      <c r="EI14" s="98">
        <f>+AQ14</f>
        <v>106995</v>
      </c>
      <c r="EJ14" s="98">
        <f>+AR14</f>
        <v>218196</v>
      </c>
      <c r="EK14" s="98">
        <v>25995</v>
      </c>
      <c r="EL14" s="98">
        <v>30514</v>
      </c>
      <c r="EM14" s="98">
        <f>EK14+EL14</f>
        <v>56509</v>
      </c>
      <c r="EN14" s="100">
        <f>+EK14*100/EH14</f>
        <v>23.376588340032914</v>
      </c>
      <c r="EO14" s="100">
        <f>+EL14*100/EI14</f>
        <v>28.519089677087713</v>
      </c>
      <c r="EP14" s="100">
        <f>+EM14*100/EJ14</f>
        <v>25.898274945461878</v>
      </c>
      <c r="EQ14" s="98">
        <f>+CI14</f>
        <v>9545</v>
      </c>
      <c r="ER14" s="98">
        <f>+CJ14</f>
        <v>8961</v>
      </c>
      <c r="ES14" s="98">
        <f>+CK14</f>
        <v>18506</v>
      </c>
      <c r="ET14" s="98">
        <v>1922</v>
      </c>
      <c r="EU14" s="98">
        <v>1726</v>
      </c>
      <c r="EV14" s="98">
        <f>ET14+EU14</f>
        <v>3648</v>
      </c>
      <c r="EW14" s="100">
        <f>+ET14*100/EQ14</f>
        <v>20.136196961760085</v>
      </c>
      <c r="EX14" s="100">
        <f>+EU14*100/ER14</f>
        <v>19.261243164825355</v>
      </c>
      <c r="EY14" s="100">
        <f>+EV14*100/ES14</f>
        <v>19.71252566735113</v>
      </c>
      <c r="EZ14" s="98">
        <f>+EB14</f>
        <v>19765</v>
      </c>
      <c r="FA14" s="98">
        <f>+EC14</f>
        <v>18029</v>
      </c>
      <c r="FB14" s="98">
        <f>+ED14</f>
        <v>37794</v>
      </c>
      <c r="FC14" s="98">
        <v>3797</v>
      </c>
      <c r="FD14" s="98">
        <v>3250</v>
      </c>
      <c r="FE14" s="98">
        <f>FC14+FD14</f>
        <v>7047</v>
      </c>
      <c r="FF14" s="100">
        <f>+FC14*100/EZ14</f>
        <v>19.210726030862634</v>
      </c>
      <c r="FG14" s="100">
        <f>+FD14*100/FA14</f>
        <v>18.026512840423763</v>
      </c>
      <c r="FH14" s="100">
        <f>+FE14*100/FB14</f>
        <v>18.645816796316875</v>
      </c>
    </row>
    <row r="15" spans="1:182" ht="27" customHeight="1">
      <c r="A15" s="94">
        <v>6</v>
      </c>
      <c r="B15" s="118" t="s">
        <v>315</v>
      </c>
      <c r="C15" s="96">
        <v>22</v>
      </c>
      <c r="D15" s="96">
        <v>232</v>
      </c>
      <c r="E15" s="96">
        <f t="shared" ref="E15:E43" si="182">C15+D15</f>
        <v>254</v>
      </c>
      <c r="F15" s="96">
        <v>22</v>
      </c>
      <c r="G15" s="96">
        <v>230</v>
      </c>
      <c r="H15" s="96">
        <f t="shared" ref="H15:H43" si="183">F15+G15</f>
        <v>252</v>
      </c>
      <c r="I15" s="104"/>
      <c r="J15" s="104"/>
      <c r="K15" s="104"/>
      <c r="L15" s="97">
        <f t="shared" ref="L15:L16" si="184">F15+I15</f>
        <v>22</v>
      </c>
      <c r="M15" s="98">
        <f t="shared" ref="M15:M16" si="185">G15+J15</f>
        <v>230</v>
      </c>
      <c r="N15" s="98">
        <f t="shared" ref="N15:N16" si="186">H15+K15</f>
        <v>252</v>
      </c>
      <c r="O15" s="116">
        <f t="shared" ref="O15:O41" si="187">L15/C15</f>
        <v>1</v>
      </c>
      <c r="P15" s="116">
        <f t="shared" ref="P15:P43" si="188">M15/D15</f>
        <v>0.99137931034482762</v>
      </c>
      <c r="Q15" s="116">
        <f t="shared" ref="Q15:Q43" si="189">N15/E15</f>
        <v>0.99212598425196852</v>
      </c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12"/>
      <c r="AE15" s="112"/>
      <c r="AF15" s="112"/>
      <c r="AG15" s="98">
        <f t="shared" ref="AG15:AG43" si="190">C15+R15</f>
        <v>22</v>
      </c>
      <c r="AH15" s="98">
        <f t="shared" ref="AH15:AI43" si="191">D15+S15</f>
        <v>232</v>
      </c>
      <c r="AI15" s="98">
        <f t="shared" ref="AI15:AR23" si="192">E15+T15</f>
        <v>254</v>
      </c>
      <c r="AJ15" s="98">
        <f t="shared" ref="AJ15:AJ43" si="193">F15+U15</f>
        <v>22</v>
      </c>
      <c r="AK15" s="98">
        <f t="shared" ref="AK15:AL43" si="194">G15+V15</f>
        <v>230</v>
      </c>
      <c r="AL15" s="98">
        <f t="shared" si="192"/>
        <v>252</v>
      </c>
      <c r="AM15" s="103"/>
      <c r="AN15" s="103"/>
      <c r="AO15" s="103"/>
      <c r="AP15" s="98">
        <f t="shared" ref="AP15:AP43" si="195">L15+AA15</f>
        <v>22</v>
      </c>
      <c r="AQ15" s="98">
        <f t="shared" ref="AQ15:AR43" si="196">M15+AB15</f>
        <v>230</v>
      </c>
      <c r="AR15" s="98">
        <f t="shared" si="192"/>
        <v>252</v>
      </c>
      <c r="AS15" s="116">
        <f t="shared" ref="AS15:AS43" si="197">AP15/AG15</f>
        <v>1</v>
      </c>
      <c r="AT15" s="116">
        <f t="shared" ref="AT15:AT43" si="198">AQ15/AH15</f>
        <v>0.99137931034482762</v>
      </c>
      <c r="AU15" s="116">
        <f t="shared" ref="AU15:AU43" si="199">AR15/AI15</f>
        <v>0.99212598425196852</v>
      </c>
      <c r="AV15" s="99">
        <v>1</v>
      </c>
      <c r="AW15" s="99">
        <v>4</v>
      </c>
      <c r="AX15" s="99">
        <f t="shared" ref="AX15:AX43" si="200">+AV15+AW15</f>
        <v>5</v>
      </c>
      <c r="AY15" s="99">
        <v>1</v>
      </c>
      <c r="AZ15" s="99">
        <v>4</v>
      </c>
      <c r="BA15" s="99">
        <f t="shared" ref="BA15:BA43" si="201">+AY15+AZ15</f>
        <v>5</v>
      </c>
      <c r="BB15" s="104"/>
      <c r="BC15" s="104"/>
      <c r="BD15" s="104"/>
      <c r="BE15" s="99">
        <f t="shared" ref="BE15:BE43" si="202">+AY15+BB15</f>
        <v>1</v>
      </c>
      <c r="BF15" s="99">
        <f t="shared" ref="BF15:BG43" si="203">+AZ15+BC15</f>
        <v>4</v>
      </c>
      <c r="BG15" s="99">
        <f t="shared" ref="BG15:BG23" si="204">+BA15+BD15</f>
        <v>5</v>
      </c>
      <c r="BH15" s="116">
        <f t="shared" ref="BH15:BH43" si="205">BE15/AV15</f>
        <v>1</v>
      </c>
      <c r="BI15" s="116">
        <f t="shared" ref="BI15:BI43" si="206">BF15/AW15</f>
        <v>1</v>
      </c>
      <c r="BJ15" s="116">
        <f t="shared" ref="BJ15:BJ43" si="207">BG15/AX15</f>
        <v>1</v>
      </c>
      <c r="BK15" s="111"/>
      <c r="BL15" s="111"/>
      <c r="BM15" s="103"/>
      <c r="BN15" s="104"/>
      <c r="BO15" s="104"/>
      <c r="BP15" s="104"/>
      <c r="BQ15" s="104"/>
      <c r="BR15" s="104"/>
      <c r="BS15" s="104"/>
      <c r="BT15" s="104"/>
      <c r="BU15" s="104"/>
      <c r="BV15" s="104"/>
      <c r="BW15" s="112"/>
      <c r="BX15" s="112"/>
      <c r="BY15" s="112"/>
      <c r="BZ15" s="98">
        <f t="shared" ref="BZ15:BZ23" si="208">AV15+BK15</f>
        <v>1</v>
      </c>
      <c r="CA15" s="98">
        <f t="shared" ref="CA15:CA23" si="209">AW15+BL15</f>
        <v>4</v>
      </c>
      <c r="CB15" s="98">
        <f t="shared" ref="CB15:CB23" si="210">AX15+BM15</f>
        <v>5</v>
      </c>
      <c r="CC15" s="98">
        <f t="shared" ref="CC15:CC43" si="211">AY15+BN15</f>
        <v>1</v>
      </c>
      <c r="CD15" s="98">
        <f t="shared" ref="CD15:CD43" si="212">AZ15+BO15</f>
        <v>4</v>
      </c>
      <c r="CE15" s="98">
        <f t="shared" ref="CE15:CE43" si="213">BA15+BP15</f>
        <v>5</v>
      </c>
      <c r="CF15" s="103"/>
      <c r="CG15" s="103"/>
      <c r="CH15" s="103"/>
      <c r="CI15" s="98">
        <f t="shared" ref="CI15:CI16" si="214">BE15+BT15</f>
        <v>1</v>
      </c>
      <c r="CJ15" s="98">
        <f t="shared" ref="CJ15:CJ16" si="215">BF15+BU15</f>
        <v>4</v>
      </c>
      <c r="CK15" s="98">
        <f t="shared" ref="CK15:CK16" si="216">BG15+BV15</f>
        <v>5</v>
      </c>
      <c r="CL15" s="116">
        <f t="shared" ref="CL15:CL16" si="217">CI15/BZ15</f>
        <v>1</v>
      </c>
      <c r="CM15" s="116">
        <f t="shared" ref="CM15:CM43" si="218">CJ15/CA15</f>
        <v>1</v>
      </c>
      <c r="CN15" s="116">
        <f t="shared" ref="CN15:CN43" si="219">CK15/CB15</f>
        <v>1</v>
      </c>
      <c r="CO15" s="99">
        <v>0</v>
      </c>
      <c r="CP15" s="99">
        <v>9</v>
      </c>
      <c r="CQ15" s="99">
        <f t="shared" ref="CQ15:CQ43" si="220">+CO15+CP15</f>
        <v>9</v>
      </c>
      <c r="CR15" s="99">
        <v>0</v>
      </c>
      <c r="CS15" s="99">
        <v>9</v>
      </c>
      <c r="CT15" s="99">
        <f t="shared" ref="CT15:CT43" si="221">+CR15+CS15</f>
        <v>9</v>
      </c>
      <c r="CU15" s="104"/>
      <c r="CV15" s="104"/>
      <c r="CW15" s="104"/>
      <c r="CX15" s="99">
        <f t="shared" ref="CX15:CX43" si="222">+CR15+CU15</f>
        <v>0</v>
      </c>
      <c r="CY15" s="99">
        <f t="shared" ref="CY15:CZ43" si="223">+CS15+CV15</f>
        <v>9</v>
      </c>
      <c r="CZ15" s="99">
        <f t="shared" ref="CZ15:CZ23" si="224">+CT15+CW15</f>
        <v>9</v>
      </c>
      <c r="DA15" s="116">
        <v>0</v>
      </c>
      <c r="DB15" s="116">
        <f t="shared" ref="DB15:DB43" si="225">CY15/CP15</f>
        <v>1</v>
      </c>
      <c r="DC15" s="116">
        <f t="shared" ref="DC15:DC43" si="226">CZ15/CQ15</f>
        <v>1</v>
      </c>
      <c r="DD15" s="111"/>
      <c r="DE15" s="111"/>
      <c r="DF15" s="103"/>
      <c r="DG15" s="104"/>
      <c r="DH15" s="104"/>
      <c r="DI15" s="104"/>
      <c r="DJ15" s="104"/>
      <c r="DK15" s="104"/>
      <c r="DL15" s="104"/>
      <c r="DM15" s="104"/>
      <c r="DN15" s="104"/>
      <c r="DO15" s="104"/>
      <c r="DP15" s="112"/>
      <c r="DQ15" s="112"/>
      <c r="DR15" s="112"/>
      <c r="DS15" s="98">
        <f t="shared" ref="DS15:DS43" si="227">CO15+DD15</f>
        <v>0</v>
      </c>
      <c r="DT15" s="98">
        <f t="shared" ref="DT15:DT43" si="228">CP15+DE15</f>
        <v>9</v>
      </c>
      <c r="DU15" s="98">
        <f t="shared" ref="DU15:DU43" si="229">CQ15+DF15</f>
        <v>9</v>
      </c>
      <c r="DV15" s="98">
        <f t="shared" ref="DV15:DV43" si="230">CR15+DG15</f>
        <v>0</v>
      </c>
      <c r="DW15" s="98">
        <f t="shared" ref="DW15:DW43" si="231">CS15+DH15</f>
        <v>9</v>
      </c>
      <c r="DX15" s="98">
        <f t="shared" ref="DX15:DX43" si="232">CT15+DI15</f>
        <v>9</v>
      </c>
      <c r="DY15" s="103"/>
      <c r="DZ15" s="103"/>
      <c r="EA15" s="103"/>
      <c r="EB15" s="98">
        <f t="shared" ref="EB15:EB43" si="233">CX15+DM15</f>
        <v>0</v>
      </c>
      <c r="EC15" s="98">
        <f t="shared" ref="EC15:EC43" si="234">CY15+DN15</f>
        <v>9</v>
      </c>
      <c r="ED15" s="98">
        <f t="shared" ref="ED15:ED43" si="235">CZ15+DO15</f>
        <v>9</v>
      </c>
      <c r="EE15" s="116">
        <v>0</v>
      </c>
      <c r="EF15" s="116">
        <f t="shared" ref="EF15:EF43" si="236">EC15/DT15</f>
        <v>1</v>
      </c>
      <c r="EG15" s="116">
        <f t="shared" ref="EG15:EG43" si="237">ED15/DU15</f>
        <v>1</v>
      </c>
      <c r="EH15" s="98">
        <f t="shared" ref="EH15:EH43" si="238">+AP15</f>
        <v>22</v>
      </c>
      <c r="EI15" s="98">
        <f t="shared" ref="EI15:EJ43" si="239">+AQ15</f>
        <v>230</v>
      </c>
      <c r="EJ15" s="98">
        <f t="shared" ref="EJ15:EJ23" si="240">+AR15</f>
        <v>252</v>
      </c>
      <c r="EK15" s="101">
        <v>16</v>
      </c>
      <c r="EL15" s="101">
        <v>189</v>
      </c>
      <c r="EM15" s="98">
        <f t="shared" ref="EM15:EM43" si="241">EK15+EL15</f>
        <v>205</v>
      </c>
      <c r="EN15" s="100">
        <f t="shared" ref="EN15:EN23" si="242">+EK15*100/EH15</f>
        <v>72.727272727272734</v>
      </c>
      <c r="EO15" s="100">
        <f t="shared" ref="EO15:EO23" si="243">+EL15*100/EI15</f>
        <v>82.173913043478265</v>
      </c>
      <c r="EP15" s="100">
        <f t="shared" ref="EP15:EP23" si="244">+EM15*100/EJ15</f>
        <v>81.349206349206355</v>
      </c>
      <c r="EQ15" s="98">
        <f t="shared" ref="EQ15:EQ43" si="245">+CI15</f>
        <v>1</v>
      </c>
      <c r="ER15" s="98">
        <f t="shared" ref="ER15:ES43" si="246">+CJ15</f>
        <v>4</v>
      </c>
      <c r="ES15" s="98">
        <f t="shared" ref="ES15:ES23" si="247">+CK15</f>
        <v>5</v>
      </c>
      <c r="ET15" s="101">
        <v>1</v>
      </c>
      <c r="EU15" s="101">
        <v>3</v>
      </c>
      <c r="EV15" s="98">
        <f t="shared" ref="EV15:EV43" si="248">ET15+EU15</f>
        <v>4</v>
      </c>
      <c r="EW15" s="100">
        <f t="shared" ref="EW15:EW23" si="249">+ET15*100/EQ15</f>
        <v>100</v>
      </c>
      <c r="EX15" s="100">
        <f t="shared" ref="EX15:EX23" si="250">+EU15*100/ER15</f>
        <v>75</v>
      </c>
      <c r="EY15" s="100">
        <f t="shared" ref="EY15:EY23" si="251">+EV15*100/ES15</f>
        <v>80</v>
      </c>
      <c r="EZ15" s="98">
        <f t="shared" ref="EZ15:EZ43" si="252">+EB15</f>
        <v>0</v>
      </c>
      <c r="FA15" s="98">
        <f t="shared" ref="FA15:FB43" si="253">+EC15</f>
        <v>9</v>
      </c>
      <c r="FB15" s="98">
        <f t="shared" ref="FB15:FB23" si="254">+ED15</f>
        <v>9</v>
      </c>
      <c r="FC15" s="101">
        <v>0</v>
      </c>
      <c r="FD15" s="101">
        <v>3</v>
      </c>
      <c r="FE15" s="98">
        <f t="shared" ref="FE15:FE43" si="255">FC15+FD15</f>
        <v>3</v>
      </c>
      <c r="FF15" s="100">
        <v>0</v>
      </c>
      <c r="FG15" s="100">
        <f t="shared" ref="FG15:FG23" si="256">+FD15*100/FA15</f>
        <v>33.333333333333336</v>
      </c>
      <c r="FH15" s="100">
        <f t="shared" ref="FH15:FH23" si="257">+FE15*100/FB15</f>
        <v>33.333333333333336</v>
      </c>
    </row>
    <row r="16" spans="1:182" ht="27" customHeight="1">
      <c r="A16" s="94">
        <v>7</v>
      </c>
      <c r="B16" s="118" t="s">
        <v>138</v>
      </c>
      <c r="C16" s="96">
        <v>675292</v>
      </c>
      <c r="D16" s="96">
        <v>658651</v>
      </c>
      <c r="E16" s="96">
        <f t="shared" si="182"/>
        <v>1333943</v>
      </c>
      <c r="F16" s="96">
        <v>400918</v>
      </c>
      <c r="G16" s="96">
        <v>294783</v>
      </c>
      <c r="H16" s="96">
        <f t="shared" si="183"/>
        <v>695701</v>
      </c>
      <c r="I16" s="103"/>
      <c r="J16" s="103"/>
      <c r="K16" s="104"/>
      <c r="L16" s="97">
        <f t="shared" si="184"/>
        <v>400918</v>
      </c>
      <c r="M16" s="98">
        <f t="shared" si="185"/>
        <v>294783</v>
      </c>
      <c r="N16" s="98">
        <f t="shared" si="186"/>
        <v>695701</v>
      </c>
      <c r="O16" s="116">
        <f t="shared" si="187"/>
        <v>0.59369576420274484</v>
      </c>
      <c r="P16" s="116">
        <f t="shared" si="188"/>
        <v>0.44755568578807292</v>
      </c>
      <c r="Q16" s="116">
        <f t="shared" si="189"/>
        <v>0.52153727708005515</v>
      </c>
      <c r="R16" s="99">
        <v>201695</v>
      </c>
      <c r="S16" s="99">
        <v>195656</v>
      </c>
      <c r="T16" s="98">
        <f>R16+S16</f>
        <v>397351</v>
      </c>
      <c r="U16" s="98">
        <v>96493</v>
      </c>
      <c r="V16" s="98">
        <v>73586</v>
      </c>
      <c r="W16" s="98">
        <f t="shared" ref="W16:W43" si="258">U16+V16</f>
        <v>170079</v>
      </c>
      <c r="X16" s="103"/>
      <c r="Y16" s="103"/>
      <c r="Z16" s="103"/>
      <c r="AA16" s="98">
        <f t="shared" ref="AA16:AA43" si="259">U16+X16</f>
        <v>96493</v>
      </c>
      <c r="AB16" s="98">
        <f t="shared" ref="AB16:AB43" si="260">V16+Y16</f>
        <v>73586</v>
      </c>
      <c r="AC16" s="98">
        <f t="shared" ref="AC16:AC43" si="261">W16+Z16</f>
        <v>170079</v>
      </c>
      <c r="AD16" s="116">
        <f t="shared" ref="AD16:AD17" si="262">AA16/R16</f>
        <v>0.47841047125610453</v>
      </c>
      <c r="AE16" s="116">
        <f t="shared" ref="AE16" si="263">AB16/S16</f>
        <v>0.37609886739992643</v>
      </c>
      <c r="AF16" s="116">
        <f t="shared" ref="AF16:AF17" si="264">AC16/T16</f>
        <v>0.42803214286613095</v>
      </c>
      <c r="AG16" s="98">
        <f t="shared" si="190"/>
        <v>876987</v>
      </c>
      <c r="AH16" s="98">
        <f t="shared" si="191"/>
        <v>854307</v>
      </c>
      <c r="AI16" s="98">
        <f t="shared" si="192"/>
        <v>1731294</v>
      </c>
      <c r="AJ16" s="98">
        <f t="shared" si="193"/>
        <v>497411</v>
      </c>
      <c r="AK16" s="98">
        <f t="shared" si="194"/>
        <v>368369</v>
      </c>
      <c r="AL16" s="98">
        <f t="shared" si="192"/>
        <v>865780</v>
      </c>
      <c r="AM16" s="98">
        <f>I16+X16</f>
        <v>0</v>
      </c>
      <c r="AN16" s="98">
        <f t="shared" ref="AN16:AO40" si="265">J16+Y16</f>
        <v>0</v>
      </c>
      <c r="AO16" s="98">
        <f t="shared" si="192"/>
        <v>0</v>
      </c>
      <c r="AP16" s="98">
        <f t="shared" si="195"/>
        <v>497411</v>
      </c>
      <c r="AQ16" s="98">
        <f t="shared" si="196"/>
        <v>368369</v>
      </c>
      <c r="AR16" s="98">
        <f t="shared" si="192"/>
        <v>865780</v>
      </c>
      <c r="AS16" s="116">
        <f t="shared" si="197"/>
        <v>0.56718172561280844</v>
      </c>
      <c r="AT16" s="116">
        <f t="shared" si="198"/>
        <v>0.43119042686060166</v>
      </c>
      <c r="AU16" s="116">
        <f t="shared" si="199"/>
        <v>0.50007682115227103</v>
      </c>
      <c r="AV16" s="99">
        <v>115027</v>
      </c>
      <c r="AW16" s="99">
        <v>100291</v>
      </c>
      <c r="AX16" s="99">
        <f t="shared" si="200"/>
        <v>215318</v>
      </c>
      <c r="AY16" s="99">
        <v>58454</v>
      </c>
      <c r="AZ16" s="99">
        <v>30558</v>
      </c>
      <c r="BA16" s="99">
        <f t="shared" si="201"/>
        <v>89012</v>
      </c>
      <c r="BB16" s="104"/>
      <c r="BC16" s="104"/>
      <c r="BD16" s="104"/>
      <c r="BE16" s="99">
        <f t="shared" si="202"/>
        <v>58454</v>
      </c>
      <c r="BF16" s="99">
        <f t="shared" si="203"/>
        <v>30558</v>
      </c>
      <c r="BG16" s="99">
        <f t="shared" si="204"/>
        <v>89012</v>
      </c>
      <c r="BH16" s="116">
        <f t="shared" si="205"/>
        <v>0.50817634120684707</v>
      </c>
      <c r="BI16" s="116">
        <f t="shared" si="206"/>
        <v>0.30469334237369256</v>
      </c>
      <c r="BJ16" s="116">
        <f t="shared" si="207"/>
        <v>0.41339785805181173</v>
      </c>
      <c r="BK16" s="95">
        <v>43611</v>
      </c>
      <c r="BL16" s="95">
        <v>39148</v>
      </c>
      <c r="BM16" s="98">
        <f t="shared" ref="BM16:BM43" si="266">BK16+BL16</f>
        <v>82759</v>
      </c>
      <c r="BN16" s="99">
        <v>18197</v>
      </c>
      <c r="BO16" s="99">
        <v>10790</v>
      </c>
      <c r="BP16" s="99">
        <f t="shared" ref="BP16:BP43" si="267">BN16+BO16</f>
        <v>28987</v>
      </c>
      <c r="BQ16" s="104"/>
      <c r="BR16" s="104"/>
      <c r="BS16" s="104"/>
      <c r="BT16" s="99">
        <f>+BN16+BQ16</f>
        <v>18197</v>
      </c>
      <c r="BU16" s="99">
        <f t="shared" ref="BU16:BV43" si="268">+BO16+BR16</f>
        <v>10790</v>
      </c>
      <c r="BV16" s="99">
        <f t="shared" ref="BV16" si="269">+BP16+BS16</f>
        <v>28987</v>
      </c>
      <c r="BW16" s="116">
        <f t="shared" ref="BW16:BW43" si="270">BT16/BK16</f>
        <v>0.4172571140308638</v>
      </c>
      <c r="BX16" s="116">
        <f t="shared" ref="BX16:BX43" si="271">BU16/BL16</f>
        <v>0.27562072136507615</v>
      </c>
      <c r="BY16" s="116">
        <f t="shared" ref="BY16:BY43" si="272">BV16/BM16</f>
        <v>0.35025797798426755</v>
      </c>
      <c r="BZ16" s="98">
        <f t="shared" si="208"/>
        <v>158638</v>
      </c>
      <c r="CA16" s="98">
        <f t="shared" si="209"/>
        <v>139439</v>
      </c>
      <c r="CB16" s="98">
        <f t="shared" si="210"/>
        <v>298077</v>
      </c>
      <c r="CC16" s="98">
        <f t="shared" si="211"/>
        <v>76651</v>
      </c>
      <c r="CD16" s="98">
        <f t="shared" si="212"/>
        <v>41348</v>
      </c>
      <c r="CE16" s="98">
        <f t="shared" si="213"/>
        <v>117999</v>
      </c>
      <c r="CF16" s="103"/>
      <c r="CG16" s="103"/>
      <c r="CH16" s="103"/>
      <c r="CI16" s="98">
        <f t="shared" si="214"/>
        <v>76651</v>
      </c>
      <c r="CJ16" s="98">
        <f t="shared" si="215"/>
        <v>41348</v>
      </c>
      <c r="CK16" s="98">
        <f t="shared" si="216"/>
        <v>117999</v>
      </c>
      <c r="CL16" s="116">
        <f t="shared" si="217"/>
        <v>0.48318183537361792</v>
      </c>
      <c r="CM16" s="116">
        <f t="shared" si="218"/>
        <v>0.29653109962062263</v>
      </c>
      <c r="CN16" s="116">
        <f t="shared" si="219"/>
        <v>0.39586751074386822</v>
      </c>
      <c r="CO16" s="99">
        <v>10011</v>
      </c>
      <c r="CP16" s="99">
        <v>9832</v>
      </c>
      <c r="CQ16" s="99">
        <f t="shared" si="220"/>
        <v>19843</v>
      </c>
      <c r="CR16" s="99">
        <v>5655</v>
      </c>
      <c r="CS16" s="99">
        <v>4199</v>
      </c>
      <c r="CT16" s="99">
        <f t="shared" si="221"/>
        <v>9854</v>
      </c>
      <c r="CU16" s="104"/>
      <c r="CV16" s="104"/>
      <c r="CW16" s="104"/>
      <c r="CX16" s="99">
        <f t="shared" si="222"/>
        <v>5655</v>
      </c>
      <c r="CY16" s="99">
        <f t="shared" si="223"/>
        <v>4199</v>
      </c>
      <c r="CZ16" s="99">
        <f t="shared" si="224"/>
        <v>9854</v>
      </c>
      <c r="DA16" s="116">
        <f t="shared" ref="DA16:DA43" si="273">CX16/CO16</f>
        <v>0.56487863350314649</v>
      </c>
      <c r="DB16" s="116">
        <f t="shared" si="225"/>
        <v>0.42707485760781122</v>
      </c>
      <c r="DC16" s="116">
        <f t="shared" si="226"/>
        <v>0.496598296628534</v>
      </c>
      <c r="DD16" s="95">
        <v>3502</v>
      </c>
      <c r="DE16" s="95">
        <v>2864</v>
      </c>
      <c r="DF16" s="98">
        <f t="shared" ref="DF16:DF43" si="274">DD16+DE16</f>
        <v>6366</v>
      </c>
      <c r="DG16" s="99">
        <v>1528</v>
      </c>
      <c r="DH16" s="99">
        <v>935</v>
      </c>
      <c r="DI16" s="99">
        <f t="shared" ref="DI16:DI43" si="275">+DG16+DH16</f>
        <v>2463</v>
      </c>
      <c r="DJ16" s="104"/>
      <c r="DK16" s="104"/>
      <c r="DL16" s="104"/>
      <c r="DM16" s="99">
        <f t="shared" ref="DM16:DM43" si="276">+DG16+DJ16</f>
        <v>1528</v>
      </c>
      <c r="DN16" s="99">
        <f t="shared" ref="DN16:DO43" si="277">+DH16+DK16</f>
        <v>935</v>
      </c>
      <c r="DO16" s="99">
        <f t="shared" ref="DO16" si="278">+DI16+DL16</f>
        <v>2463</v>
      </c>
      <c r="DP16" s="116">
        <f t="shared" ref="DP16:DP43" si="279">DM16/DD16</f>
        <v>0.43632210165619645</v>
      </c>
      <c r="DQ16" s="116">
        <f t="shared" ref="DQ16:DQ43" si="280">DN16/DE16</f>
        <v>0.32646648044692739</v>
      </c>
      <c r="DR16" s="116">
        <f t="shared" ref="DR16:DR43" si="281">DO16/DF16</f>
        <v>0.38689915174363809</v>
      </c>
      <c r="DS16" s="98">
        <f t="shared" si="227"/>
        <v>13513</v>
      </c>
      <c r="DT16" s="98">
        <f t="shared" si="228"/>
        <v>12696</v>
      </c>
      <c r="DU16" s="98">
        <f t="shared" si="229"/>
        <v>26209</v>
      </c>
      <c r="DV16" s="98">
        <f t="shared" si="230"/>
        <v>7183</v>
      </c>
      <c r="DW16" s="98">
        <f t="shared" si="231"/>
        <v>5134</v>
      </c>
      <c r="DX16" s="98">
        <f t="shared" si="232"/>
        <v>12317</v>
      </c>
      <c r="DY16" s="103"/>
      <c r="DZ16" s="103"/>
      <c r="EA16" s="103"/>
      <c r="EB16" s="98">
        <f t="shared" si="233"/>
        <v>7183</v>
      </c>
      <c r="EC16" s="98">
        <f t="shared" si="234"/>
        <v>5134</v>
      </c>
      <c r="ED16" s="98">
        <f t="shared" si="235"/>
        <v>12317</v>
      </c>
      <c r="EE16" s="116">
        <f t="shared" ref="EE16" si="282">EB16/DS16</f>
        <v>0.53156219936357585</v>
      </c>
      <c r="EF16" s="116">
        <f t="shared" si="236"/>
        <v>0.4043793320730939</v>
      </c>
      <c r="EG16" s="116">
        <f t="shared" si="237"/>
        <v>0.46995306955625932</v>
      </c>
      <c r="EH16" s="98">
        <f t="shared" si="238"/>
        <v>497411</v>
      </c>
      <c r="EI16" s="98">
        <f t="shared" si="239"/>
        <v>368369</v>
      </c>
      <c r="EJ16" s="98">
        <f t="shared" si="240"/>
        <v>865780</v>
      </c>
      <c r="EK16" s="101">
        <v>156102</v>
      </c>
      <c r="EL16" s="101">
        <v>85119</v>
      </c>
      <c r="EM16" s="98">
        <f t="shared" si="241"/>
        <v>241221</v>
      </c>
      <c r="EN16" s="100">
        <f t="shared" si="242"/>
        <v>31.38290065961549</v>
      </c>
      <c r="EO16" s="100">
        <f t="shared" si="243"/>
        <v>23.10699325947623</v>
      </c>
      <c r="EP16" s="100">
        <f t="shared" si="244"/>
        <v>27.861696966896901</v>
      </c>
      <c r="EQ16" s="98">
        <f t="shared" si="245"/>
        <v>76651</v>
      </c>
      <c r="ER16" s="98">
        <f t="shared" si="246"/>
        <v>41348</v>
      </c>
      <c r="ES16" s="98">
        <f t="shared" si="247"/>
        <v>117999</v>
      </c>
      <c r="ET16" s="101">
        <v>18656</v>
      </c>
      <c r="EU16" s="101">
        <v>6106</v>
      </c>
      <c r="EV16" s="98">
        <f t="shared" si="248"/>
        <v>24762</v>
      </c>
      <c r="EW16" s="100">
        <f t="shared" si="249"/>
        <v>24.338886642052941</v>
      </c>
      <c r="EX16" s="100">
        <f t="shared" si="250"/>
        <v>14.767340621069943</v>
      </c>
      <c r="EY16" s="100">
        <f t="shared" si="251"/>
        <v>20.984923601047466</v>
      </c>
      <c r="EZ16" s="98">
        <f t="shared" si="252"/>
        <v>7183</v>
      </c>
      <c r="FA16" s="98">
        <f t="shared" si="253"/>
        <v>5134</v>
      </c>
      <c r="FB16" s="98">
        <f t="shared" si="254"/>
        <v>12317</v>
      </c>
      <c r="FC16" s="101">
        <v>2021</v>
      </c>
      <c r="FD16" s="101">
        <v>1114</v>
      </c>
      <c r="FE16" s="98">
        <f t="shared" si="255"/>
        <v>3135</v>
      </c>
      <c r="FF16" s="100">
        <f t="shared" ref="FF16:FF23" si="283">+FC16*100/EZ16</f>
        <v>28.135876374773773</v>
      </c>
      <c r="FG16" s="100">
        <f t="shared" si="256"/>
        <v>21.698480716790026</v>
      </c>
      <c r="FH16" s="100">
        <f t="shared" si="257"/>
        <v>25.452626451246246</v>
      </c>
    </row>
    <row r="17" spans="1:164" ht="27" customHeight="1">
      <c r="A17" s="94">
        <v>8</v>
      </c>
      <c r="B17" s="118" t="s">
        <v>139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12"/>
      <c r="P17" s="112"/>
      <c r="Q17" s="112"/>
      <c r="R17" s="98">
        <v>30550</v>
      </c>
      <c r="S17" s="103"/>
      <c r="T17" s="98">
        <f>R17+S17</f>
        <v>30550</v>
      </c>
      <c r="U17" s="98">
        <v>18878</v>
      </c>
      <c r="V17" s="103"/>
      <c r="W17" s="98">
        <f t="shared" si="258"/>
        <v>18878</v>
      </c>
      <c r="X17" s="103"/>
      <c r="Y17" s="103"/>
      <c r="Z17" s="103"/>
      <c r="AA17" s="98">
        <f t="shared" ref="AA17" si="284">U17+X17</f>
        <v>18878</v>
      </c>
      <c r="AB17" s="103">
        <f t="shared" ref="AB17" si="285">V17+Y17</f>
        <v>0</v>
      </c>
      <c r="AC17" s="98">
        <f t="shared" ref="AC17" si="286">W17+Z17</f>
        <v>18878</v>
      </c>
      <c r="AD17" s="116">
        <f t="shared" si="262"/>
        <v>0.61793780687397704</v>
      </c>
      <c r="AE17" s="103"/>
      <c r="AF17" s="116">
        <f t="shared" si="264"/>
        <v>0.61793780687397704</v>
      </c>
      <c r="AG17" s="98">
        <f t="shared" si="190"/>
        <v>30550</v>
      </c>
      <c r="AH17" s="103">
        <f t="shared" si="191"/>
        <v>0</v>
      </c>
      <c r="AI17" s="98">
        <f t="shared" si="192"/>
        <v>30550</v>
      </c>
      <c r="AJ17" s="98">
        <f t="shared" si="193"/>
        <v>18878</v>
      </c>
      <c r="AK17" s="103">
        <f t="shared" si="194"/>
        <v>0</v>
      </c>
      <c r="AL17" s="98">
        <f t="shared" si="192"/>
        <v>18878</v>
      </c>
      <c r="AM17" s="103"/>
      <c r="AN17" s="103"/>
      <c r="AO17" s="103"/>
      <c r="AP17" s="98">
        <f t="shared" si="195"/>
        <v>18878</v>
      </c>
      <c r="AQ17" s="103">
        <f t="shared" si="196"/>
        <v>0</v>
      </c>
      <c r="AR17" s="98">
        <f t="shared" si="192"/>
        <v>18878</v>
      </c>
      <c r="AS17" s="116">
        <f>AP17/AG17</f>
        <v>0.61793780687397704</v>
      </c>
      <c r="AT17" s="103"/>
      <c r="AU17" s="116">
        <f t="shared" si="199"/>
        <v>0.61793780687397704</v>
      </c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98">
        <f t="shared" si="238"/>
        <v>18878</v>
      </c>
      <c r="EI17" s="98">
        <f t="shared" si="239"/>
        <v>0</v>
      </c>
      <c r="EJ17" s="98">
        <f t="shared" si="240"/>
        <v>18878</v>
      </c>
      <c r="EK17" s="98">
        <v>3</v>
      </c>
      <c r="EL17" s="98">
        <v>0</v>
      </c>
      <c r="EM17" s="98">
        <f t="shared" si="241"/>
        <v>3</v>
      </c>
      <c r="EN17" s="100">
        <f t="shared" si="242"/>
        <v>1.5891513931560547E-2</v>
      </c>
      <c r="EO17" s="100" t="s">
        <v>319</v>
      </c>
      <c r="EP17" s="100">
        <f t="shared" si="244"/>
        <v>1.5891513931560547E-2</v>
      </c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</row>
    <row r="18" spans="1:164" ht="27" customHeight="1">
      <c r="A18" s="94">
        <v>9</v>
      </c>
      <c r="B18" s="118" t="s">
        <v>145</v>
      </c>
      <c r="C18" s="96">
        <v>181880</v>
      </c>
      <c r="D18" s="96">
        <v>209351</v>
      </c>
      <c r="E18" s="96">
        <f>C18+D18</f>
        <v>391231</v>
      </c>
      <c r="F18" s="96">
        <v>109151</v>
      </c>
      <c r="G18" s="96">
        <v>130486</v>
      </c>
      <c r="H18" s="96">
        <f>F18+G18</f>
        <v>239637</v>
      </c>
      <c r="I18" s="96">
        <v>1637</v>
      </c>
      <c r="J18" s="96">
        <v>1791</v>
      </c>
      <c r="K18" s="96">
        <f>I18+J18</f>
        <v>3428</v>
      </c>
      <c r="L18" s="97">
        <f t="shared" ref="L18:N22" si="287">F18+I18</f>
        <v>110788</v>
      </c>
      <c r="M18" s="98">
        <f t="shared" si="287"/>
        <v>132277</v>
      </c>
      <c r="N18" s="98">
        <f t="shared" si="287"/>
        <v>243065</v>
      </c>
      <c r="O18" s="116">
        <f>L18/C18</f>
        <v>0.60912689685506927</v>
      </c>
      <c r="P18" s="116">
        <f>M18/D18</f>
        <v>0.6318431724711131</v>
      </c>
      <c r="Q18" s="116">
        <f>N18/E18</f>
        <v>0.62128256707673979</v>
      </c>
      <c r="R18" s="98">
        <v>5944</v>
      </c>
      <c r="S18" s="98">
        <v>4775</v>
      </c>
      <c r="T18" s="98">
        <f>R18+S18</f>
        <v>10719</v>
      </c>
      <c r="U18" s="98">
        <v>2011</v>
      </c>
      <c r="V18" s="98">
        <v>1951</v>
      </c>
      <c r="W18" s="98">
        <f>U18+V18</f>
        <v>3962</v>
      </c>
      <c r="X18" s="98">
        <v>785</v>
      </c>
      <c r="Y18" s="98">
        <v>641</v>
      </c>
      <c r="Z18" s="98">
        <f>X18+Y18</f>
        <v>1426</v>
      </c>
      <c r="AA18" s="98">
        <f t="shared" ref="AA18:AC19" si="288">U18+X18</f>
        <v>2796</v>
      </c>
      <c r="AB18" s="98">
        <f t="shared" si="288"/>
        <v>2592</v>
      </c>
      <c r="AC18" s="98">
        <f t="shared" si="288"/>
        <v>5388</v>
      </c>
      <c r="AD18" s="116">
        <f>AA18/R18</f>
        <v>0.47039030955585465</v>
      </c>
      <c r="AE18" s="116">
        <f>AB18/S18</f>
        <v>0.5428272251308901</v>
      </c>
      <c r="AF18" s="116">
        <f>AC18/T18</f>
        <v>0.50265883011474954</v>
      </c>
      <c r="AG18" s="98">
        <f t="shared" ref="AG18" si="289">C18+R18</f>
        <v>187824</v>
      </c>
      <c r="AH18" s="98">
        <f t="shared" ref="AH18" si="290">D18+S18</f>
        <v>214126</v>
      </c>
      <c r="AI18" s="98">
        <f t="shared" ref="AI18" si="291">E18+T18</f>
        <v>401950</v>
      </c>
      <c r="AJ18" s="98">
        <f t="shared" ref="AJ18" si="292">F18+U18</f>
        <v>111162</v>
      </c>
      <c r="AK18" s="98">
        <f t="shared" ref="AK18" si="293">G18+V18</f>
        <v>132437</v>
      </c>
      <c r="AL18" s="98">
        <f t="shared" ref="AL18" si="294">H18+W18</f>
        <v>243599</v>
      </c>
      <c r="AM18" s="98">
        <f t="shared" ref="AM18" si="295">I18+X18</f>
        <v>2422</v>
      </c>
      <c r="AN18" s="98">
        <f t="shared" ref="AN18" si="296">J18+Y18</f>
        <v>2432</v>
      </c>
      <c r="AO18" s="98">
        <f t="shared" ref="AO18" si="297">K18+Z18</f>
        <v>4854</v>
      </c>
      <c r="AP18" s="98">
        <f t="shared" ref="AP18" si="298">L18+AA18</f>
        <v>113584</v>
      </c>
      <c r="AQ18" s="98">
        <f t="shared" ref="AQ18" si="299">M18+AB18</f>
        <v>134869</v>
      </c>
      <c r="AR18" s="98">
        <f t="shared" ref="AR18" si="300">N18+AC18</f>
        <v>248453</v>
      </c>
      <c r="AS18" s="116">
        <f>AP18/AG18</f>
        <v>0.60473634892239547</v>
      </c>
      <c r="AT18" s="116">
        <f t="shared" ref="AT18:AU20" si="301">AQ18/AH18</f>
        <v>0.62985812091945859</v>
      </c>
      <c r="AU18" s="116">
        <f t="shared" si="301"/>
        <v>0.61811916905087694</v>
      </c>
      <c r="AV18" s="99">
        <v>27461</v>
      </c>
      <c r="AW18" s="99">
        <v>31119</v>
      </c>
      <c r="AX18" s="99">
        <f>+AV18+AW18</f>
        <v>58580</v>
      </c>
      <c r="AY18" s="99">
        <v>15431</v>
      </c>
      <c r="AZ18" s="99">
        <v>18048</v>
      </c>
      <c r="BA18" s="99">
        <f>+AY18+AZ18</f>
        <v>33479</v>
      </c>
      <c r="BB18" s="99">
        <v>280</v>
      </c>
      <c r="BC18" s="99">
        <v>299</v>
      </c>
      <c r="BD18" s="99">
        <f>+BB18+BC18</f>
        <v>579</v>
      </c>
      <c r="BE18" s="99">
        <f>+AY18+BB18</f>
        <v>15711</v>
      </c>
      <c r="BF18" s="99">
        <f>+AZ18+BC18</f>
        <v>18347</v>
      </c>
      <c r="BG18" s="99">
        <f>+BA18+BD18</f>
        <v>34058</v>
      </c>
      <c r="BH18" s="116">
        <f>BE18/AV18</f>
        <v>0.57212046174574849</v>
      </c>
      <c r="BI18" s="116">
        <f>BF18/AW18</f>
        <v>0.58957550049808793</v>
      </c>
      <c r="BJ18" s="116">
        <f>BG18/AX18</f>
        <v>0.58139296688289521</v>
      </c>
      <c r="BK18" s="95">
        <v>900</v>
      </c>
      <c r="BL18" s="95">
        <v>697</v>
      </c>
      <c r="BM18" s="98">
        <f>BK18+BL18</f>
        <v>1597</v>
      </c>
      <c r="BN18" s="99">
        <v>296</v>
      </c>
      <c r="BO18" s="99">
        <v>326</v>
      </c>
      <c r="BP18" s="99">
        <f>BN18+BO18</f>
        <v>622</v>
      </c>
      <c r="BQ18" s="99">
        <v>124</v>
      </c>
      <c r="BR18" s="99">
        <v>112</v>
      </c>
      <c r="BS18" s="99">
        <f>BQ18+BR18</f>
        <v>236</v>
      </c>
      <c r="BT18" s="99">
        <f>+BN18+BQ18</f>
        <v>420</v>
      </c>
      <c r="BU18" s="99">
        <f>+BO18+BR18</f>
        <v>438</v>
      </c>
      <c r="BV18" s="99">
        <f>+BP18+BS18</f>
        <v>858</v>
      </c>
      <c r="BW18" s="116">
        <f>BT18/BK18</f>
        <v>0.46666666666666667</v>
      </c>
      <c r="BX18" s="116">
        <f>BU18/BL18</f>
        <v>0.6284074605451937</v>
      </c>
      <c r="BY18" s="116">
        <f>BV18/BM18</f>
        <v>0.53725735754539761</v>
      </c>
      <c r="BZ18" s="98">
        <f t="shared" ref="BZ18" si="302">AV18+BK18</f>
        <v>28361</v>
      </c>
      <c r="CA18" s="98">
        <f t="shared" ref="CA18" si="303">AW18+BL18</f>
        <v>31816</v>
      </c>
      <c r="CB18" s="98">
        <f t="shared" ref="CB18" si="304">AX18+BM18</f>
        <v>60177</v>
      </c>
      <c r="CC18" s="98">
        <f t="shared" ref="CC18" si="305">AY18+BN18</f>
        <v>15727</v>
      </c>
      <c r="CD18" s="98">
        <f t="shared" ref="CD18" si="306">AZ18+BO18</f>
        <v>18374</v>
      </c>
      <c r="CE18" s="98">
        <f t="shared" ref="CE18" si="307">BA18+BP18</f>
        <v>34101</v>
      </c>
      <c r="CF18" s="98">
        <f t="shared" ref="CF18" si="308">BB18+BQ18</f>
        <v>404</v>
      </c>
      <c r="CG18" s="98">
        <f t="shared" ref="CG18" si="309">BC18+BR18</f>
        <v>411</v>
      </c>
      <c r="CH18" s="98">
        <f t="shared" ref="CH18" si="310">BD18+BS18</f>
        <v>815</v>
      </c>
      <c r="CI18" s="98">
        <f t="shared" ref="CI18" si="311">BE18+BT18</f>
        <v>16131</v>
      </c>
      <c r="CJ18" s="98">
        <f t="shared" ref="CJ18" si="312">BF18+BU18</f>
        <v>18785</v>
      </c>
      <c r="CK18" s="98">
        <f t="shared" ref="CK18" si="313">BG18+BV18</f>
        <v>34916</v>
      </c>
      <c r="CL18" s="116">
        <f>CI18/BZ18</f>
        <v>0.56877402066217697</v>
      </c>
      <c r="CM18" s="116">
        <f>CJ18/CA18</f>
        <v>0.59042620065375917</v>
      </c>
      <c r="CN18" s="116">
        <f>CK18/CB18</f>
        <v>0.5802216793791648</v>
      </c>
      <c r="CO18" s="99">
        <v>50535</v>
      </c>
      <c r="CP18" s="99">
        <v>61282</v>
      </c>
      <c r="CQ18" s="99">
        <f>+CO18+CP18</f>
        <v>111817</v>
      </c>
      <c r="CR18" s="99">
        <v>29297</v>
      </c>
      <c r="CS18" s="99">
        <v>35632</v>
      </c>
      <c r="CT18" s="99">
        <f>+CR18+CS18</f>
        <v>64929</v>
      </c>
      <c r="CU18" s="99">
        <v>378</v>
      </c>
      <c r="CV18" s="99">
        <v>446</v>
      </c>
      <c r="CW18" s="99">
        <f>+CU18+CV18</f>
        <v>824</v>
      </c>
      <c r="CX18" s="99">
        <f>+CR18+CU18</f>
        <v>29675</v>
      </c>
      <c r="CY18" s="99">
        <f>+CS18+CV18</f>
        <v>36078</v>
      </c>
      <c r="CZ18" s="99">
        <f>+CT18+CW18</f>
        <v>65753</v>
      </c>
      <c r="DA18" s="116">
        <f>CX18/CO18</f>
        <v>0.58721678044919368</v>
      </c>
      <c r="DB18" s="116">
        <f>CY18/CP18</f>
        <v>0.58872099474560224</v>
      </c>
      <c r="DC18" s="116">
        <f>CZ18/CQ18</f>
        <v>0.58804117441891657</v>
      </c>
      <c r="DD18" s="95">
        <v>1376</v>
      </c>
      <c r="DE18" s="95">
        <v>1324</v>
      </c>
      <c r="DF18" s="98">
        <f>DD18+DE18</f>
        <v>2700</v>
      </c>
      <c r="DG18" s="99">
        <v>473</v>
      </c>
      <c r="DH18" s="99">
        <v>498</v>
      </c>
      <c r="DI18" s="99">
        <f>+DG18+DH18</f>
        <v>971</v>
      </c>
      <c r="DJ18" s="99">
        <v>170</v>
      </c>
      <c r="DK18" s="99">
        <v>126</v>
      </c>
      <c r="DL18" s="99">
        <f>DJ18+DK18</f>
        <v>296</v>
      </c>
      <c r="DM18" s="99">
        <f>+DG18+DJ18</f>
        <v>643</v>
      </c>
      <c r="DN18" s="99">
        <f>+DH18+DK18</f>
        <v>624</v>
      </c>
      <c r="DO18" s="99">
        <f>+DI18+DL18</f>
        <v>1267</v>
      </c>
      <c r="DP18" s="116">
        <f>DM18/DD18</f>
        <v>0.46729651162790697</v>
      </c>
      <c r="DQ18" s="116">
        <f>DN18/DE18</f>
        <v>0.47129909365558914</v>
      </c>
      <c r="DR18" s="116">
        <f>DO18/DF18</f>
        <v>0.46925925925925926</v>
      </c>
      <c r="DS18" s="98">
        <f t="shared" ref="DS18" si="314">CO18+DD18</f>
        <v>51911</v>
      </c>
      <c r="DT18" s="98">
        <f t="shared" ref="DT18" si="315">CP18+DE18</f>
        <v>62606</v>
      </c>
      <c r="DU18" s="98">
        <f t="shared" ref="DU18" si="316">CQ18+DF18</f>
        <v>114517</v>
      </c>
      <c r="DV18" s="98">
        <f t="shared" ref="DV18:ED18" si="317">CR18+DG18</f>
        <v>29770</v>
      </c>
      <c r="DW18" s="98">
        <f t="shared" si="317"/>
        <v>36130</v>
      </c>
      <c r="DX18" s="98">
        <f t="shared" si="317"/>
        <v>65900</v>
      </c>
      <c r="DY18" s="98">
        <f t="shared" si="317"/>
        <v>548</v>
      </c>
      <c r="DZ18" s="98">
        <f t="shared" si="317"/>
        <v>572</v>
      </c>
      <c r="EA18" s="98">
        <f t="shared" si="317"/>
        <v>1120</v>
      </c>
      <c r="EB18" s="98">
        <f t="shared" si="317"/>
        <v>30318</v>
      </c>
      <c r="EC18" s="98">
        <f t="shared" si="317"/>
        <v>36702</v>
      </c>
      <c r="ED18" s="98">
        <f t="shared" si="317"/>
        <v>67020</v>
      </c>
      <c r="EE18" s="116">
        <f>EB18/DS18</f>
        <v>0.58403806514996826</v>
      </c>
      <c r="EF18" s="116">
        <f>EC18/DT18</f>
        <v>0.58623774079161739</v>
      </c>
      <c r="EG18" s="116">
        <f>ED18/DU18</f>
        <v>0.58524061929669835</v>
      </c>
      <c r="EH18" s="98">
        <f t="shared" ref="EH18:EJ20" si="318">+AP18</f>
        <v>113584</v>
      </c>
      <c r="EI18" s="98">
        <f t="shared" si="318"/>
        <v>134869</v>
      </c>
      <c r="EJ18" s="98">
        <f t="shared" si="318"/>
        <v>248453</v>
      </c>
      <c r="EK18" s="101">
        <v>23725</v>
      </c>
      <c r="EL18" s="101">
        <v>26408</v>
      </c>
      <c r="EM18" s="98">
        <f>EK18+EL18</f>
        <v>50133</v>
      </c>
      <c r="EN18" s="100">
        <f>+EK18*100/EH18</f>
        <v>20.887625017608112</v>
      </c>
      <c r="EO18" s="100">
        <f>+EL18*100/EI18</f>
        <v>19.58048180085861</v>
      </c>
      <c r="EP18" s="100">
        <f>+EM18*100/EJ18</f>
        <v>20.178061846707426</v>
      </c>
      <c r="EQ18" s="98">
        <f>+CI18</f>
        <v>16131</v>
      </c>
      <c r="ER18" s="98">
        <f>+CJ18</f>
        <v>18785</v>
      </c>
      <c r="ES18" s="98">
        <f>+CK18</f>
        <v>34916</v>
      </c>
      <c r="ET18" s="101">
        <v>3167</v>
      </c>
      <c r="EU18" s="101">
        <v>3222</v>
      </c>
      <c r="EV18" s="98">
        <f>ET18+EU18</f>
        <v>6389</v>
      </c>
      <c r="EW18" s="100">
        <f>+ET18*100/EQ18</f>
        <v>19.633004773417642</v>
      </c>
      <c r="EX18" s="100">
        <f>+EU18*100/ER18</f>
        <v>17.151982965131754</v>
      </c>
      <c r="EY18" s="100">
        <f>+EV18*100/ES18</f>
        <v>18.298201397640049</v>
      </c>
      <c r="EZ18" s="98">
        <f>+EB18</f>
        <v>30318</v>
      </c>
      <c r="FA18" s="98">
        <f>+EC18</f>
        <v>36702</v>
      </c>
      <c r="FB18" s="98">
        <f>+ED18</f>
        <v>67020</v>
      </c>
      <c r="FC18" s="101">
        <v>4276</v>
      </c>
      <c r="FD18" s="101">
        <v>4489</v>
      </c>
      <c r="FE18" s="98">
        <f>FC18+FD18</f>
        <v>8765</v>
      </c>
      <c r="FF18" s="100">
        <f>+FC18*100/EZ18</f>
        <v>14.103832706642919</v>
      </c>
      <c r="FG18" s="100">
        <f>+FD18*100/FA18</f>
        <v>12.23094109312844</v>
      </c>
      <c r="FH18" s="100">
        <f>+FE18*100/FB18</f>
        <v>13.078185616233959</v>
      </c>
    </row>
    <row r="19" spans="1:164" ht="27" customHeight="1">
      <c r="A19" s="94">
        <v>10</v>
      </c>
      <c r="B19" s="118" t="s">
        <v>93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97">
        <f t="shared" si="287"/>
        <v>0</v>
      </c>
      <c r="M19" s="98">
        <f t="shared" si="287"/>
        <v>0</v>
      </c>
      <c r="N19" s="98">
        <f t="shared" si="287"/>
        <v>0</v>
      </c>
      <c r="O19" s="112"/>
      <c r="P19" s="112"/>
      <c r="Q19" s="112"/>
      <c r="R19" s="98">
        <v>111</v>
      </c>
      <c r="S19" s="98">
        <v>69</v>
      </c>
      <c r="T19" s="98">
        <f>R19+S19</f>
        <v>180</v>
      </c>
      <c r="U19" s="98">
        <v>63</v>
      </c>
      <c r="V19" s="98">
        <v>59</v>
      </c>
      <c r="W19" s="98">
        <f>U19+V19</f>
        <v>122</v>
      </c>
      <c r="X19" s="103"/>
      <c r="Y19" s="103"/>
      <c r="Z19" s="103"/>
      <c r="AA19" s="98">
        <f t="shared" si="288"/>
        <v>63</v>
      </c>
      <c r="AB19" s="98">
        <f t="shared" si="288"/>
        <v>59</v>
      </c>
      <c r="AC19" s="98">
        <f t="shared" si="288"/>
        <v>122</v>
      </c>
      <c r="AD19" s="116">
        <f t="shared" ref="AD19" si="319">AA19/R19</f>
        <v>0.56756756756756754</v>
      </c>
      <c r="AE19" s="116">
        <f t="shared" ref="AE19" si="320">AB19/S19</f>
        <v>0.85507246376811596</v>
      </c>
      <c r="AF19" s="116">
        <f>AC19/T19</f>
        <v>0.67777777777777781</v>
      </c>
      <c r="AG19" s="98">
        <f t="shared" ref="AG19:AL20" si="321">C19+R19</f>
        <v>111</v>
      </c>
      <c r="AH19" s="98">
        <f t="shared" si="321"/>
        <v>69</v>
      </c>
      <c r="AI19" s="98">
        <f t="shared" si="321"/>
        <v>180</v>
      </c>
      <c r="AJ19" s="98">
        <f t="shared" si="321"/>
        <v>63</v>
      </c>
      <c r="AK19" s="98">
        <f t="shared" si="321"/>
        <v>59</v>
      </c>
      <c r="AL19" s="98">
        <f t="shared" si="321"/>
        <v>122</v>
      </c>
      <c r="AM19" s="103"/>
      <c r="AN19" s="103"/>
      <c r="AO19" s="103"/>
      <c r="AP19" s="98">
        <f t="shared" ref="AP19:AR20" si="322">L19+AA19</f>
        <v>63</v>
      </c>
      <c r="AQ19" s="98">
        <f t="shared" si="322"/>
        <v>59</v>
      </c>
      <c r="AR19" s="98">
        <f t="shared" si="322"/>
        <v>122</v>
      </c>
      <c r="AS19" s="116">
        <f>AP19/AG19</f>
        <v>0.56756756756756754</v>
      </c>
      <c r="AT19" s="116">
        <f t="shared" si="301"/>
        <v>0.85507246376811596</v>
      </c>
      <c r="AU19" s="116">
        <f t="shared" si="301"/>
        <v>0.67777777777777781</v>
      </c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12"/>
      <c r="BI19" s="112"/>
      <c r="BJ19" s="112"/>
      <c r="BK19" s="103"/>
      <c r="BL19" s="103"/>
      <c r="BM19" s="103"/>
      <c r="BN19" s="104"/>
      <c r="BO19" s="104"/>
      <c r="BP19" s="104"/>
      <c r="BQ19" s="104"/>
      <c r="BR19" s="104"/>
      <c r="BS19" s="104"/>
      <c r="BT19" s="104"/>
      <c r="BU19" s="104"/>
      <c r="BV19" s="104"/>
      <c r="BW19" s="112"/>
      <c r="BX19" s="112"/>
      <c r="BY19" s="112"/>
      <c r="BZ19" s="98">
        <f t="shared" ref="BZ19:CB22" si="323">AV19+BK19</f>
        <v>0</v>
      </c>
      <c r="CA19" s="98">
        <f t="shared" si="323"/>
        <v>0</v>
      </c>
      <c r="CB19" s="98">
        <f t="shared" si="323"/>
        <v>0</v>
      </c>
      <c r="CC19" s="103"/>
      <c r="CD19" s="103"/>
      <c r="CE19" s="103"/>
      <c r="CF19" s="103"/>
      <c r="CG19" s="103"/>
      <c r="CH19" s="103"/>
      <c r="CI19" s="103"/>
      <c r="CJ19" s="103"/>
      <c r="CK19" s="103"/>
      <c r="CL19" s="116">
        <v>0</v>
      </c>
      <c r="CM19" s="116">
        <v>0</v>
      </c>
      <c r="CN19" s="116">
        <v>0</v>
      </c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12"/>
      <c r="DB19" s="112"/>
      <c r="DC19" s="112"/>
      <c r="DD19" s="103"/>
      <c r="DE19" s="103"/>
      <c r="DF19" s="103"/>
      <c r="DG19" s="104"/>
      <c r="DH19" s="104"/>
      <c r="DI19" s="104"/>
      <c r="DJ19" s="104"/>
      <c r="DK19" s="104"/>
      <c r="DL19" s="104"/>
      <c r="DM19" s="104"/>
      <c r="DN19" s="104"/>
      <c r="DO19" s="104"/>
      <c r="DP19" s="112"/>
      <c r="DQ19" s="112"/>
      <c r="DR19" s="112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12"/>
      <c r="EF19" s="112"/>
      <c r="EG19" s="112"/>
      <c r="EH19" s="98">
        <f t="shared" si="318"/>
        <v>63</v>
      </c>
      <c r="EI19" s="98">
        <f t="shared" si="318"/>
        <v>59</v>
      </c>
      <c r="EJ19" s="98">
        <f t="shared" si="318"/>
        <v>122</v>
      </c>
      <c r="EK19" s="98">
        <v>0</v>
      </c>
      <c r="EL19" s="98">
        <v>3</v>
      </c>
      <c r="EM19" s="98">
        <f>EK19+EL19</f>
        <v>3</v>
      </c>
      <c r="EN19" s="98">
        <v>0</v>
      </c>
      <c r="EO19" s="100">
        <f>+EL19*100/EI19</f>
        <v>5.0847457627118642</v>
      </c>
      <c r="EP19" s="100">
        <f>+EM19*100/EJ19</f>
        <v>2.459016393442623</v>
      </c>
      <c r="EQ19" s="103"/>
      <c r="ER19" s="103"/>
      <c r="ES19" s="103"/>
      <c r="ET19" s="103"/>
      <c r="EU19" s="103"/>
      <c r="EV19" s="103"/>
      <c r="EW19" s="110"/>
      <c r="EX19" s="110"/>
      <c r="EY19" s="110"/>
      <c r="EZ19" s="103"/>
      <c r="FA19" s="103"/>
      <c r="FB19" s="103"/>
      <c r="FC19" s="103"/>
      <c r="FD19" s="103"/>
      <c r="FE19" s="103"/>
      <c r="FF19" s="110"/>
      <c r="FG19" s="110"/>
      <c r="FH19" s="110"/>
    </row>
    <row r="20" spans="1:164" ht="27" customHeight="1">
      <c r="A20" s="94">
        <v>11</v>
      </c>
      <c r="B20" s="118" t="s">
        <v>144</v>
      </c>
      <c r="C20" s="96">
        <v>440</v>
      </c>
      <c r="D20" s="96">
        <v>312</v>
      </c>
      <c r="E20" s="96">
        <f>C20+D20</f>
        <v>752</v>
      </c>
      <c r="F20" s="96">
        <v>399</v>
      </c>
      <c r="G20" s="96">
        <v>297</v>
      </c>
      <c r="H20" s="96">
        <f>F20+G20</f>
        <v>696</v>
      </c>
      <c r="I20" s="96">
        <v>10</v>
      </c>
      <c r="J20" s="96">
        <v>2</v>
      </c>
      <c r="K20" s="96">
        <f>I20+J20</f>
        <v>12</v>
      </c>
      <c r="L20" s="97">
        <f t="shared" si="287"/>
        <v>409</v>
      </c>
      <c r="M20" s="98">
        <f t="shared" si="287"/>
        <v>299</v>
      </c>
      <c r="N20" s="98">
        <f t="shared" si="287"/>
        <v>708</v>
      </c>
      <c r="O20" s="116">
        <f>L20/C20</f>
        <v>0.92954545454545456</v>
      </c>
      <c r="P20" s="116">
        <f>M20/D20</f>
        <v>0.95833333333333337</v>
      </c>
      <c r="Q20" s="116">
        <f t="shared" ref="Q20" si="324">N20/E20</f>
        <v>0.94148936170212771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12"/>
      <c r="AE20" s="112"/>
      <c r="AF20" s="112"/>
      <c r="AG20" s="98">
        <f t="shared" si="321"/>
        <v>440</v>
      </c>
      <c r="AH20" s="98">
        <f t="shared" si="321"/>
        <v>312</v>
      </c>
      <c r="AI20" s="98">
        <f t="shared" si="321"/>
        <v>752</v>
      </c>
      <c r="AJ20" s="98">
        <f t="shared" si="321"/>
        <v>399</v>
      </c>
      <c r="AK20" s="98">
        <f t="shared" si="321"/>
        <v>297</v>
      </c>
      <c r="AL20" s="98">
        <f t="shared" si="321"/>
        <v>696</v>
      </c>
      <c r="AM20" s="98">
        <f>I20+X20</f>
        <v>10</v>
      </c>
      <c r="AN20" s="98">
        <f>J20+Y20</f>
        <v>2</v>
      </c>
      <c r="AO20" s="98">
        <f>K20+Z20</f>
        <v>12</v>
      </c>
      <c r="AP20" s="98">
        <f t="shared" si="322"/>
        <v>409</v>
      </c>
      <c r="AQ20" s="98">
        <f t="shared" si="322"/>
        <v>299</v>
      </c>
      <c r="AR20" s="98">
        <f t="shared" si="322"/>
        <v>708</v>
      </c>
      <c r="AS20" s="116">
        <f>AP20/AG20</f>
        <v>0.92954545454545456</v>
      </c>
      <c r="AT20" s="116">
        <f t="shared" si="301"/>
        <v>0.95833333333333337</v>
      </c>
      <c r="AU20" s="116">
        <f t="shared" si="301"/>
        <v>0.94148936170212771</v>
      </c>
      <c r="AV20" s="99">
        <v>38</v>
      </c>
      <c r="AW20" s="99">
        <v>50</v>
      </c>
      <c r="AX20" s="99">
        <f>+AV20+AW20</f>
        <v>88</v>
      </c>
      <c r="AY20" s="99">
        <v>35</v>
      </c>
      <c r="AZ20" s="99">
        <v>46</v>
      </c>
      <c r="BA20" s="99">
        <f>+AY20+AZ20</f>
        <v>81</v>
      </c>
      <c r="BB20" s="99">
        <v>1</v>
      </c>
      <c r="BC20" s="99">
        <v>2</v>
      </c>
      <c r="BD20" s="99">
        <f>+BB20+BC20</f>
        <v>3</v>
      </c>
      <c r="BE20" s="99">
        <f>+AY20+BB20</f>
        <v>36</v>
      </c>
      <c r="BF20" s="99">
        <f>+AZ20+BC20</f>
        <v>48</v>
      </c>
      <c r="BG20" s="99">
        <f>+BA20+BD20</f>
        <v>84</v>
      </c>
      <c r="BH20" s="116">
        <f>BE20/AV20</f>
        <v>0.94736842105263153</v>
      </c>
      <c r="BI20" s="116">
        <f>BF20/AW20</f>
        <v>0.96</v>
      </c>
      <c r="BJ20" s="116">
        <f>BG20/AX20</f>
        <v>0.95454545454545459</v>
      </c>
      <c r="BK20" s="103"/>
      <c r="BL20" s="103"/>
      <c r="BM20" s="103"/>
      <c r="BN20" s="104"/>
      <c r="BO20" s="104"/>
      <c r="BP20" s="104"/>
      <c r="BQ20" s="104"/>
      <c r="BR20" s="104"/>
      <c r="BS20" s="104"/>
      <c r="BT20" s="104"/>
      <c r="BU20" s="104"/>
      <c r="BV20" s="104"/>
      <c r="BW20" s="112"/>
      <c r="BX20" s="112"/>
      <c r="BY20" s="112"/>
      <c r="BZ20" s="98">
        <f t="shared" si="323"/>
        <v>38</v>
      </c>
      <c r="CA20" s="98">
        <f t="shared" si="323"/>
        <v>50</v>
      </c>
      <c r="CB20" s="98">
        <f t="shared" si="323"/>
        <v>88</v>
      </c>
      <c r="CC20" s="98">
        <f t="shared" ref="CC20:CK20" si="325">AY20+BN20</f>
        <v>35</v>
      </c>
      <c r="CD20" s="98">
        <f t="shared" si="325"/>
        <v>46</v>
      </c>
      <c r="CE20" s="98">
        <f t="shared" si="325"/>
        <v>81</v>
      </c>
      <c r="CF20" s="98">
        <f t="shared" si="325"/>
        <v>1</v>
      </c>
      <c r="CG20" s="98">
        <f t="shared" si="325"/>
        <v>2</v>
      </c>
      <c r="CH20" s="98">
        <f t="shared" si="325"/>
        <v>3</v>
      </c>
      <c r="CI20" s="98">
        <f t="shared" si="325"/>
        <v>36</v>
      </c>
      <c r="CJ20" s="98">
        <f t="shared" si="325"/>
        <v>48</v>
      </c>
      <c r="CK20" s="98">
        <f t="shared" si="325"/>
        <v>84</v>
      </c>
      <c r="CL20" s="116">
        <f>CI20/BZ20</f>
        <v>0.94736842105263153</v>
      </c>
      <c r="CM20" s="116">
        <f>CJ20/CA20</f>
        <v>0.96</v>
      </c>
      <c r="CN20" s="116">
        <f>CK20/CB20</f>
        <v>0.95454545454545459</v>
      </c>
      <c r="CO20" s="99">
        <v>179</v>
      </c>
      <c r="CP20" s="99">
        <v>106</v>
      </c>
      <c r="CQ20" s="99">
        <f>+CO20+CP20</f>
        <v>285</v>
      </c>
      <c r="CR20" s="99">
        <v>174</v>
      </c>
      <c r="CS20" s="99">
        <v>102</v>
      </c>
      <c r="CT20" s="99">
        <f>+CR20+CS20</f>
        <v>276</v>
      </c>
      <c r="CU20" s="99">
        <v>1</v>
      </c>
      <c r="CV20" s="99">
        <v>1</v>
      </c>
      <c r="CW20" s="99">
        <f>+CU20+CV20</f>
        <v>2</v>
      </c>
      <c r="CX20" s="99">
        <f>+CR20+CU20</f>
        <v>175</v>
      </c>
      <c r="CY20" s="99">
        <f>+CS20+CV20</f>
        <v>103</v>
      </c>
      <c r="CZ20" s="99">
        <f>+CT20+CW20</f>
        <v>278</v>
      </c>
      <c r="DA20" s="116">
        <f>CX20/CO20</f>
        <v>0.97765363128491622</v>
      </c>
      <c r="DB20" s="116">
        <f>CY20/CP20</f>
        <v>0.97169811320754718</v>
      </c>
      <c r="DC20" s="116">
        <f>CZ20/CQ20</f>
        <v>0.9754385964912281</v>
      </c>
      <c r="DD20" s="103"/>
      <c r="DE20" s="103"/>
      <c r="DF20" s="103"/>
      <c r="DG20" s="104"/>
      <c r="DH20" s="104"/>
      <c r="DI20" s="104"/>
      <c r="DJ20" s="104"/>
      <c r="DK20" s="104"/>
      <c r="DL20" s="104"/>
      <c r="DM20" s="104"/>
      <c r="DN20" s="104"/>
      <c r="DO20" s="104"/>
      <c r="DP20" s="112"/>
      <c r="DQ20" s="112"/>
      <c r="DR20" s="112"/>
      <c r="DS20" s="98">
        <f t="shared" ref="DS20:ED20" si="326">CO20+DD20</f>
        <v>179</v>
      </c>
      <c r="DT20" s="98">
        <f t="shared" si="326"/>
        <v>106</v>
      </c>
      <c r="DU20" s="98">
        <f t="shared" si="326"/>
        <v>285</v>
      </c>
      <c r="DV20" s="98">
        <f t="shared" si="326"/>
        <v>174</v>
      </c>
      <c r="DW20" s="98">
        <f t="shared" si="326"/>
        <v>102</v>
      </c>
      <c r="DX20" s="98">
        <f t="shared" si="326"/>
        <v>276</v>
      </c>
      <c r="DY20" s="98">
        <f t="shared" si="326"/>
        <v>1</v>
      </c>
      <c r="DZ20" s="98">
        <f t="shared" si="326"/>
        <v>1</v>
      </c>
      <c r="EA20" s="98">
        <f t="shared" si="326"/>
        <v>2</v>
      </c>
      <c r="EB20" s="98">
        <f t="shared" si="326"/>
        <v>175</v>
      </c>
      <c r="EC20" s="98">
        <f t="shared" si="326"/>
        <v>103</v>
      </c>
      <c r="ED20" s="98">
        <f t="shared" si="326"/>
        <v>278</v>
      </c>
      <c r="EE20" s="116">
        <f>EB20/DS20</f>
        <v>0.97765363128491622</v>
      </c>
      <c r="EF20" s="116">
        <f>EC20/DT20</f>
        <v>0.97169811320754718</v>
      </c>
      <c r="EG20" s="116">
        <f>ED20/DU20</f>
        <v>0.9754385964912281</v>
      </c>
      <c r="EH20" s="98">
        <f t="shared" si="318"/>
        <v>409</v>
      </c>
      <c r="EI20" s="98">
        <f t="shared" si="318"/>
        <v>299</v>
      </c>
      <c r="EJ20" s="98">
        <f t="shared" si="318"/>
        <v>708</v>
      </c>
      <c r="EK20" s="98">
        <v>127</v>
      </c>
      <c r="EL20" s="98">
        <v>92</v>
      </c>
      <c r="EM20" s="98">
        <f>EK20+EL20</f>
        <v>219</v>
      </c>
      <c r="EN20" s="100">
        <f>+EK20*100/EH20</f>
        <v>31.051344743276285</v>
      </c>
      <c r="EO20" s="100">
        <f>+EL20*100/EI20</f>
        <v>30.76923076923077</v>
      </c>
      <c r="EP20" s="100">
        <f>+EM20*100/EJ20</f>
        <v>30.932203389830509</v>
      </c>
      <c r="EQ20" s="98">
        <f>+CI20</f>
        <v>36</v>
      </c>
      <c r="ER20" s="98">
        <f>+CJ20</f>
        <v>48</v>
      </c>
      <c r="ES20" s="98">
        <f>+CK20</f>
        <v>84</v>
      </c>
      <c r="ET20" s="98">
        <v>13</v>
      </c>
      <c r="EU20" s="98">
        <v>19</v>
      </c>
      <c r="EV20" s="98">
        <f>ET20+EU20</f>
        <v>32</v>
      </c>
      <c r="EW20" s="100">
        <f>+ET20*100/EQ20</f>
        <v>36.111111111111114</v>
      </c>
      <c r="EX20" s="100">
        <f>+EU20*100/ER20</f>
        <v>39.583333333333336</v>
      </c>
      <c r="EY20" s="100">
        <f>+EV20*100/ES20</f>
        <v>38.095238095238095</v>
      </c>
      <c r="EZ20" s="98">
        <f>+EB20</f>
        <v>175</v>
      </c>
      <c r="FA20" s="98">
        <f>+EC20</f>
        <v>103</v>
      </c>
      <c r="FB20" s="98">
        <f>+ED20</f>
        <v>278</v>
      </c>
      <c r="FC20" s="98">
        <v>87</v>
      </c>
      <c r="FD20" s="98">
        <v>45</v>
      </c>
      <c r="FE20" s="98">
        <f>FC20+FD20</f>
        <v>132</v>
      </c>
      <c r="FF20" s="100">
        <f>+FC20*100/EZ20</f>
        <v>49.714285714285715</v>
      </c>
      <c r="FG20" s="100">
        <f>+FD20*100/FA20</f>
        <v>43.689320388349515</v>
      </c>
      <c r="FH20" s="100">
        <f>+FE20*100/FB20</f>
        <v>47.482014388489212</v>
      </c>
    </row>
    <row r="21" spans="1:164" ht="28.5">
      <c r="A21" s="94">
        <v>12</v>
      </c>
      <c r="B21" s="371" t="s">
        <v>148</v>
      </c>
      <c r="C21" s="96">
        <v>9163</v>
      </c>
      <c r="D21" s="96">
        <v>9599</v>
      </c>
      <c r="E21" s="96">
        <f>C21+D21</f>
        <v>18762</v>
      </c>
      <c r="F21" s="96">
        <v>8381</v>
      </c>
      <c r="G21" s="96">
        <v>8844</v>
      </c>
      <c r="H21" s="96">
        <f>F21+G21</f>
        <v>17225</v>
      </c>
      <c r="I21" s="96">
        <v>265</v>
      </c>
      <c r="J21" s="96">
        <v>273</v>
      </c>
      <c r="K21" s="96">
        <f>I21+J21</f>
        <v>538</v>
      </c>
      <c r="L21" s="97">
        <f t="shared" si="287"/>
        <v>8646</v>
      </c>
      <c r="M21" s="98">
        <f t="shared" si="287"/>
        <v>9117</v>
      </c>
      <c r="N21" s="98">
        <f t="shared" si="287"/>
        <v>17763</v>
      </c>
      <c r="O21" s="116">
        <f t="shared" ref="O21:O22" si="327">L21/C21</f>
        <v>0.943577430972389</v>
      </c>
      <c r="P21" s="116">
        <f t="shared" ref="P21:P22" si="328">M21/D21</f>
        <v>0.94978643608709246</v>
      </c>
      <c r="Q21" s="116">
        <f t="shared" ref="Q21:Q22" si="329">N21/E21</f>
        <v>0.94675407739047013</v>
      </c>
      <c r="R21" s="98">
        <v>363</v>
      </c>
      <c r="S21" s="98">
        <v>230</v>
      </c>
      <c r="T21" s="98">
        <f t="shared" ref="T21:T22" si="330">R21+S21</f>
        <v>593</v>
      </c>
      <c r="U21" s="98">
        <v>145</v>
      </c>
      <c r="V21" s="98">
        <v>98</v>
      </c>
      <c r="W21" s="98">
        <f t="shared" ref="W21:W22" si="331">U21+V21</f>
        <v>243</v>
      </c>
      <c r="X21" s="98">
        <v>35</v>
      </c>
      <c r="Y21" s="98">
        <v>22</v>
      </c>
      <c r="Z21" s="98">
        <f t="shared" ref="Z21:Z22" si="332">X21+Y21</f>
        <v>57</v>
      </c>
      <c r="AA21" s="98">
        <f t="shared" ref="AA21:AA22" si="333">U21+X21</f>
        <v>180</v>
      </c>
      <c r="AB21" s="98">
        <f t="shared" ref="AB21:AB22" si="334">V21+Y21</f>
        <v>120</v>
      </c>
      <c r="AC21" s="98">
        <f t="shared" ref="AC21:AC22" si="335">W21+Z21</f>
        <v>300</v>
      </c>
      <c r="AD21" s="116">
        <f t="shared" ref="AD21:AD22" si="336">AA21/R21</f>
        <v>0.49586776859504134</v>
      </c>
      <c r="AE21" s="116">
        <f t="shared" ref="AE21:AE22" si="337">AB21/S21</f>
        <v>0.52173913043478259</v>
      </c>
      <c r="AF21" s="116">
        <f t="shared" ref="AF21:AF22" si="338">AC21/T21</f>
        <v>0.50590219224283306</v>
      </c>
      <c r="AG21" s="98">
        <f t="shared" ref="AG21:AG22" si="339">C21+R21</f>
        <v>9526</v>
      </c>
      <c r="AH21" s="98">
        <f t="shared" ref="AH21:AH22" si="340">D21+S21</f>
        <v>9829</v>
      </c>
      <c r="AI21" s="98">
        <f t="shared" ref="AI21:AI22" si="341">E21+T21</f>
        <v>19355</v>
      </c>
      <c r="AJ21" s="98">
        <f t="shared" ref="AJ21:AJ22" si="342">F21+U21</f>
        <v>8526</v>
      </c>
      <c r="AK21" s="98">
        <f t="shared" ref="AK21:AK22" si="343">G21+V21</f>
        <v>8942</v>
      </c>
      <c r="AL21" s="98">
        <f t="shared" ref="AL21:AL22" si="344">H21+W21</f>
        <v>17468</v>
      </c>
      <c r="AM21" s="98">
        <f t="shared" ref="AM21:AM22" si="345">I21+X21</f>
        <v>300</v>
      </c>
      <c r="AN21" s="98">
        <f t="shared" ref="AN21:AN22" si="346">J21+Y21</f>
        <v>295</v>
      </c>
      <c r="AO21" s="98">
        <f t="shared" ref="AO21:AO22" si="347">K21+Z21</f>
        <v>595</v>
      </c>
      <c r="AP21" s="98">
        <f t="shared" ref="AP21:AP22" si="348">L21+AA21</f>
        <v>8826</v>
      </c>
      <c r="AQ21" s="98">
        <f t="shared" ref="AQ21:AQ22" si="349">M21+AB21</f>
        <v>9237</v>
      </c>
      <c r="AR21" s="98">
        <f t="shared" ref="AR21:AR22" si="350">N21+AC21</f>
        <v>18063</v>
      </c>
      <c r="AS21" s="116">
        <f t="shared" ref="AS21:AS22" si="351">AP21/AG21</f>
        <v>0.9265169011127441</v>
      </c>
      <c r="AT21" s="116">
        <f t="shared" ref="AT21:AT22" si="352">AQ21/AH21</f>
        <v>0.93977006816563236</v>
      </c>
      <c r="AU21" s="116">
        <f t="shared" ref="AU21:AU22" si="353">AR21/AI21</f>
        <v>0.93324722293980888</v>
      </c>
      <c r="AV21" s="99">
        <v>108</v>
      </c>
      <c r="AW21" s="99">
        <v>148</v>
      </c>
      <c r="AX21" s="99">
        <f t="shared" ref="AX21:AX22" si="354">+AV21+AW21</f>
        <v>256</v>
      </c>
      <c r="AY21" s="99">
        <v>96</v>
      </c>
      <c r="AZ21" s="99">
        <v>128</v>
      </c>
      <c r="BA21" s="99">
        <f t="shared" ref="BA21:BA22" si="355">+AY21+AZ21</f>
        <v>224</v>
      </c>
      <c r="BB21" s="99">
        <v>3</v>
      </c>
      <c r="BC21" s="99">
        <v>8</v>
      </c>
      <c r="BD21" s="99">
        <f t="shared" ref="BD21:BD22" si="356">+BB21+BC21</f>
        <v>11</v>
      </c>
      <c r="BE21" s="99">
        <f t="shared" ref="BE21:BE22" si="357">+AY21+BB21</f>
        <v>99</v>
      </c>
      <c r="BF21" s="99">
        <f t="shared" ref="BF21:BF22" si="358">+AZ21+BC21</f>
        <v>136</v>
      </c>
      <c r="BG21" s="99">
        <f t="shared" ref="BG21:BG22" si="359">+BA21+BD21</f>
        <v>235</v>
      </c>
      <c r="BH21" s="116">
        <f t="shared" ref="BH21:BH22" si="360">BE21/AV21</f>
        <v>0.91666666666666663</v>
      </c>
      <c r="BI21" s="116">
        <f t="shared" ref="BI21:BI22" si="361">BF21/AW21</f>
        <v>0.91891891891891897</v>
      </c>
      <c r="BJ21" s="116">
        <f t="shared" ref="BJ21:BJ22" si="362">BG21/AX21</f>
        <v>0.91796875</v>
      </c>
      <c r="BK21" s="95">
        <v>13</v>
      </c>
      <c r="BL21" s="95">
        <v>7</v>
      </c>
      <c r="BM21" s="98">
        <f t="shared" ref="BM21:BM22" si="363">BK21+BL21</f>
        <v>20</v>
      </c>
      <c r="BN21" s="99">
        <v>7</v>
      </c>
      <c r="BO21" s="99">
        <v>3</v>
      </c>
      <c r="BP21" s="99">
        <f t="shared" ref="BP21:BP22" si="364">BN21+BO21</f>
        <v>10</v>
      </c>
      <c r="BQ21" s="99">
        <v>2</v>
      </c>
      <c r="BR21" s="99">
        <v>0</v>
      </c>
      <c r="BS21" s="99">
        <f t="shared" ref="BS21:BS22" si="365">BQ21+BR21</f>
        <v>2</v>
      </c>
      <c r="BT21" s="99">
        <f t="shared" ref="BT21:BT22" si="366">+BN21+BQ21</f>
        <v>9</v>
      </c>
      <c r="BU21" s="99">
        <f t="shared" ref="BU21:BU22" si="367">+BO21+BR21</f>
        <v>3</v>
      </c>
      <c r="BV21" s="99">
        <f t="shared" ref="BV21:BV22" si="368">+BP21+BS21</f>
        <v>12</v>
      </c>
      <c r="BW21" s="116">
        <f t="shared" ref="BW21:BW22" si="369">BT21/BK21</f>
        <v>0.69230769230769229</v>
      </c>
      <c r="BX21" s="116">
        <f t="shared" ref="BX21:BX22" si="370">BU21/BL21</f>
        <v>0.42857142857142855</v>
      </c>
      <c r="BY21" s="116">
        <f t="shared" ref="BY21:BY22" si="371">BV21/BM21</f>
        <v>0.6</v>
      </c>
      <c r="BZ21" s="98">
        <f t="shared" si="323"/>
        <v>121</v>
      </c>
      <c r="CA21" s="98">
        <f t="shared" si="323"/>
        <v>155</v>
      </c>
      <c r="CB21" s="98">
        <f t="shared" si="323"/>
        <v>276</v>
      </c>
      <c r="CC21" s="98">
        <f t="shared" ref="CC21:CC22" si="372">AY21+BN21</f>
        <v>103</v>
      </c>
      <c r="CD21" s="98">
        <f t="shared" ref="CD21:CD22" si="373">AZ21+BO21</f>
        <v>131</v>
      </c>
      <c r="CE21" s="98">
        <f t="shared" ref="CE21:CE22" si="374">BA21+BP21</f>
        <v>234</v>
      </c>
      <c r="CF21" s="98">
        <f t="shared" ref="CF21:CF22" si="375">BB21+BQ21</f>
        <v>5</v>
      </c>
      <c r="CG21" s="98">
        <f t="shared" ref="CG21:CG22" si="376">BC21+BR21</f>
        <v>8</v>
      </c>
      <c r="CH21" s="98">
        <f t="shared" ref="CH21:CH22" si="377">BD21+BS21</f>
        <v>13</v>
      </c>
      <c r="CI21" s="98">
        <f t="shared" ref="CI21" si="378">BE21+BT21</f>
        <v>108</v>
      </c>
      <c r="CJ21" s="98">
        <f t="shared" ref="CJ21" si="379">BF21+BU21</f>
        <v>139</v>
      </c>
      <c r="CK21" s="98">
        <f t="shared" ref="CK21" si="380">BG21+BV21</f>
        <v>247</v>
      </c>
      <c r="CL21" s="116">
        <f t="shared" ref="CL21:CL22" si="381">CI21/BZ21</f>
        <v>0.8925619834710744</v>
      </c>
      <c r="CM21" s="116">
        <f t="shared" ref="CM21:CM22" si="382">CJ21/CA21</f>
        <v>0.89677419354838706</v>
      </c>
      <c r="CN21" s="116">
        <f t="shared" ref="CN21:CN22" si="383">CK21/CB21</f>
        <v>0.89492753623188404</v>
      </c>
      <c r="CO21" s="99">
        <v>1028</v>
      </c>
      <c r="CP21" s="99">
        <v>1118</v>
      </c>
      <c r="CQ21" s="99">
        <f t="shared" ref="CQ21:CQ22" si="384">+CO21+CP21</f>
        <v>2146</v>
      </c>
      <c r="CR21" s="99">
        <v>937</v>
      </c>
      <c r="CS21" s="99">
        <v>1028</v>
      </c>
      <c r="CT21" s="99">
        <f t="shared" ref="CT21:CT22" si="385">+CR21+CS21</f>
        <v>1965</v>
      </c>
      <c r="CU21" s="99">
        <v>29</v>
      </c>
      <c r="CV21" s="99">
        <v>39</v>
      </c>
      <c r="CW21" s="99">
        <f t="shared" ref="CW21:CW22" si="386">+CU21+CV21</f>
        <v>68</v>
      </c>
      <c r="CX21" s="99">
        <f t="shared" ref="CX21:CX22" si="387">+CR21+CU21</f>
        <v>966</v>
      </c>
      <c r="CY21" s="99">
        <f>+CS21+CV21</f>
        <v>1067</v>
      </c>
      <c r="CZ21" s="99">
        <f t="shared" ref="CZ21:CZ22" si="388">+CT21+CW21</f>
        <v>2033</v>
      </c>
      <c r="DA21" s="116">
        <f t="shared" ref="DA21:DA22" si="389">CX21/CO21</f>
        <v>0.93968871595330739</v>
      </c>
      <c r="DB21" s="116">
        <f t="shared" ref="DB21:DB22" si="390">CY21/CP21</f>
        <v>0.95438282647584971</v>
      </c>
      <c r="DC21" s="116">
        <f t="shared" ref="DC21:DC22" si="391">CZ21/CQ21</f>
        <v>0.94734389561975774</v>
      </c>
      <c r="DD21" s="95">
        <v>42</v>
      </c>
      <c r="DE21" s="95">
        <v>30</v>
      </c>
      <c r="DF21" s="98">
        <f t="shared" ref="DF21:DF22" si="392">DD21+DE21</f>
        <v>72</v>
      </c>
      <c r="DG21" s="99">
        <v>19</v>
      </c>
      <c r="DH21" s="99">
        <v>13</v>
      </c>
      <c r="DI21" s="99">
        <f t="shared" ref="DI21:DI22" si="393">+DG21+DH21</f>
        <v>32</v>
      </c>
      <c r="DJ21" s="99">
        <v>6</v>
      </c>
      <c r="DK21" s="99">
        <v>3</v>
      </c>
      <c r="DL21" s="99">
        <f t="shared" ref="DL21:DL22" si="394">DJ21+DK21</f>
        <v>9</v>
      </c>
      <c r="DM21" s="99">
        <f t="shared" ref="DM21:DM22" si="395">+DG21+DJ21</f>
        <v>25</v>
      </c>
      <c r="DN21" s="99">
        <f t="shared" ref="DN21:DN22" si="396">+DH21+DK21</f>
        <v>16</v>
      </c>
      <c r="DO21" s="99">
        <f t="shared" ref="DO21:DO22" si="397">+DI21+DL21</f>
        <v>41</v>
      </c>
      <c r="DP21" s="116">
        <f t="shared" ref="DP21:DP22" si="398">DM21/DD21</f>
        <v>0.59523809523809523</v>
      </c>
      <c r="DQ21" s="116">
        <f t="shared" ref="DQ21:DQ22" si="399">DN21/DE21</f>
        <v>0.53333333333333333</v>
      </c>
      <c r="DR21" s="116">
        <f t="shared" ref="DR21:DR22" si="400">DO21/DF21</f>
        <v>0.56944444444444442</v>
      </c>
      <c r="DS21" s="98">
        <f t="shared" ref="DS21:DS22" si="401">CO21+DD21</f>
        <v>1070</v>
      </c>
      <c r="DT21" s="98">
        <f t="shared" ref="DT21:DT22" si="402">CP21+DE21</f>
        <v>1148</v>
      </c>
      <c r="DU21" s="98">
        <f t="shared" ref="DU21:DU22" si="403">CQ21+DF21</f>
        <v>2218</v>
      </c>
      <c r="DV21" s="98">
        <f t="shared" ref="DV21:DV22" si="404">CR21+DG21</f>
        <v>956</v>
      </c>
      <c r="DW21" s="98">
        <f t="shared" ref="DW21:DW22" si="405">CS21+DH21</f>
        <v>1041</v>
      </c>
      <c r="DX21" s="98">
        <f t="shared" ref="DX21:DX22" si="406">CT21+DI21</f>
        <v>1997</v>
      </c>
      <c r="DY21" s="98">
        <f t="shared" ref="DY21:DY22" si="407">CU21+DJ21</f>
        <v>35</v>
      </c>
      <c r="DZ21" s="98">
        <f t="shared" ref="DZ21:DZ22" si="408">CV21+DK21</f>
        <v>42</v>
      </c>
      <c r="EA21" s="98">
        <f t="shared" ref="EA21:EA22" si="409">CW21+DL21</f>
        <v>77</v>
      </c>
      <c r="EB21" s="98">
        <f t="shared" ref="EB21:EB22" si="410">CX21+DM21</f>
        <v>991</v>
      </c>
      <c r="EC21" s="98">
        <f t="shared" ref="EC21:EC22" si="411">CY21+DN21</f>
        <v>1083</v>
      </c>
      <c r="ED21" s="98">
        <f t="shared" ref="ED21:ED22" si="412">CZ21+DO21</f>
        <v>2074</v>
      </c>
      <c r="EE21" s="116">
        <f t="shared" ref="EE21:EE22" si="413">EB21/DS21</f>
        <v>0.92616822429906542</v>
      </c>
      <c r="EF21" s="116">
        <f t="shared" ref="EF21:EF22" si="414">EC21/DT21</f>
        <v>0.94337979094076652</v>
      </c>
      <c r="EG21" s="116">
        <f t="shared" ref="EG21:EG22" si="415">ED21/DU21</f>
        <v>0.93507664562669068</v>
      </c>
      <c r="EH21" s="98">
        <f t="shared" ref="EH21:EH22" si="416">+AP21</f>
        <v>8826</v>
      </c>
      <c r="EI21" s="98">
        <f t="shared" ref="EI21:EI22" si="417">+AQ21</f>
        <v>9237</v>
      </c>
      <c r="EJ21" s="98">
        <f t="shared" ref="EJ21:EJ22" si="418">+AR21</f>
        <v>18063</v>
      </c>
      <c r="EK21" s="101">
        <v>3977</v>
      </c>
      <c r="EL21" s="101">
        <v>5501</v>
      </c>
      <c r="EM21" s="98">
        <f t="shared" ref="EM21:EM22" si="419">EK21+EL21</f>
        <v>9478</v>
      </c>
      <c r="EN21" s="100">
        <f t="shared" ref="EN21" si="420">+EK21*100/EH21</f>
        <v>45.060049852707905</v>
      </c>
      <c r="EO21" s="100">
        <f t="shared" ref="EO21" si="421">+EL21*100/EI21</f>
        <v>59.55396773844322</v>
      </c>
      <c r="EP21" s="100">
        <f t="shared" ref="EP21" si="422">+EM21*100/EJ21</f>
        <v>52.471903891933785</v>
      </c>
      <c r="EQ21" s="98">
        <f t="shared" ref="EQ21:EQ22" si="423">+CI21</f>
        <v>108</v>
      </c>
      <c r="ER21" s="98">
        <f t="shared" ref="ER21:ER22" si="424">+CJ21</f>
        <v>139</v>
      </c>
      <c r="ES21" s="98">
        <f t="shared" ref="ES21:ES22" si="425">+CK21</f>
        <v>247</v>
      </c>
      <c r="ET21" s="101">
        <v>33</v>
      </c>
      <c r="EU21" s="101">
        <v>59</v>
      </c>
      <c r="EV21" s="98">
        <f t="shared" ref="EV21:EV22" si="426">ET21+EU21</f>
        <v>92</v>
      </c>
      <c r="EW21" s="100">
        <f t="shared" ref="EW21:EW22" si="427">+ET21*100/EQ21</f>
        <v>30.555555555555557</v>
      </c>
      <c r="EX21" s="100">
        <f t="shared" ref="EX21:EX22" si="428">+EU21*100/ER21</f>
        <v>42.446043165467628</v>
      </c>
      <c r="EY21" s="100">
        <f t="shared" ref="EY21:EY22" si="429">+EV21*100/ES21</f>
        <v>37.246963562753038</v>
      </c>
      <c r="EZ21" s="98">
        <f t="shared" ref="EZ21:EZ22" si="430">+EB21</f>
        <v>991</v>
      </c>
      <c r="FA21" s="98">
        <f t="shared" ref="FA21:FA22" si="431">+EC21</f>
        <v>1083</v>
      </c>
      <c r="FB21" s="98">
        <f t="shared" ref="FB21:FB22" si="432">+ED21</f>
        <v>2074</v>
      </c>
      <c r="FC21" s="101">
        <v>357</v>
      </c>
      <c r="FD21" s="101">
        <v>524</v>
      </c>
      <c r="FE21" s="98">
        <f t="shared" ref="FE21:FE22" si="433">FC21+FD21</f>
        <v>881</v>
      </c>
      <c r="FF21" s="100">
        <f t="shared" ref="FF21:FF22" si="434">+FC21*100/EZ21</f>
        <v>36.024217961654891</v>
      </c>
      <c r="FG21" s="100">
        <f t="shared" ref="FG21:FG22" si="435">+FD21*100/FA21</f>
        <v>48.384118190212376</v>
      </c>
      <c r="FH21" s="100">
        <f t="shared" ref="FH21:FH22" si="436">+FE21*100/FB21</f>
        <v>42.478302796528446</v>
      </c>
    </row>
    <row r="22" spans="1:164" ht="27" customHeight="1">
      <c r="A22" s="94">
        <v>13</v>
      </c>
      <c r="B22" s="118" t="s">
        <v>149</v>
      </c>
      <c r="C22" s="96">
        <v>453666</v>
      </c>
      <c r="D22" s="96">
        <v>315400</v>
      </c>
      <c r="E22" s="96">
        <f t="shared" ref="E22" si="437">C22+D22</f>
        <v>769066</v>
      </c>
      <c r="F22" s="96">
        <v>293426</v>
      </c>
      <c r="G22" s="96">
        <v>231483</v>
      </c>
      <c r="H22" s="96">
        <f t="shared" ref="H22" si="438">F22+G22</f>
        <v>524909</v>
      </c>
      <c r="I22" s="96">
        <v>3376</v>
      </c>
      <c r="J22" s="96">
        <v>2956</v>
      </c>
      <c r="K22" s="96">
        <f t="shared" ref="K22" si="439">I22+J22</f>
        <v>6332</v>
      </c>
      <c r="L22" s="97">
        <f t="shared" si="287"/>
        <v>296802</v>
      </c>
      <c r="M22" s="98">
        <f t="shared" si="287"/>
        <v>234439</v>
      </c>
      <c r="N22" s="98">
        <f t="shared" si="287"/>
        <v>531241</v>
      </c>
      <c r="O22" s="116">
        <f t="shared" si="327"/>
        <v>0.65423020459985981</v>
      </c>
      <c r="P22" s="116">
        <f t="shared" si="328"/>
        <v>0.74330691185795816</v>
      </c>
      <c r="Q22" s="116">
        <f t="shared" si="329"/>
        <v>0.69076126106211955</v>
      </c>
      <c r="R22" s="98">
        <v>25216</v>
      </c>
      <c r="S22" s="98">
        <v>9449</v>
      </c>
      <c r="T22" s="98">
        <f t="shared" si="330"/>
        <v>34665</v>
      </c>
      <c r="U22" s="98">
        <v>1426</v>
      </c>
      <c r="V22" s="98">
        <v>950</v>
      </c>
      <c r="W22" s="98">
        <f t="shared" si="331"/>
        <v>2376</v>
      </c>
      <c r="X22" s="98">
        <v>140</v>
      </c>
      <c r="Y22" s="98">
        <v>173</v>
      </c>
      <c r="Z22" s="98">
        <f t="shared" si="332"/>
        <v>313</v>
      </c>
      <c r="AA22" s="98">
        <f t="shared" si="333"/>
        <v>1566</v>
      </c>
      <c r="AB22" s="98">
        <f t="shared" si="334"/>
        <v>1123</v>
      </c>
      <c r="AC22" s="98">
        <f t="shared" si="335"/>
        <v>2689</v>
      </c>
      <c r="AD22" s="116">
        <f t="shared" si="336"/>
        <v>6.2103426395939083E-2</v>
      </c>
      <c r="AE22" s="116">
        <f t="shared" si="337"/>
        <v>0.11884855540268811</v>
      </c>
      <c r="AF22" s="116">
        <f t="shared" si="338"/>
        <v>7.7571037069089854E-2</v>
      </c>
      <c r="AG22" s="98">
        <f t="shared" si="339"/>
        <v>478882</v>
      </c>
      <c r="AH22" s="98">
        <f t="shared" si="340"/>
        <v>324849</v>
      </c>
      <c r="AI22" s="98">
        <f t="shared" si="341"/>
        <v>803731</v>
      </c>
      <c r="AJ22" s="98">
        <f t="shared" si="342"/>
        <v>294852</v>
      </c>
      <c r="AK22" s="98">
        <f t="shared" si="343"/>
        <v>232433</v>
      </c>
      <c r="AL22" s="98">
        <f t="shared" si="344"/>
        <v>527285</v>
      </c>
      <c r="AM22" s="98">
        <f t="shared" si="345"/>
        <v>3516</v>
      </c>
      <c r="AN22" s="98">
        <f t="shared" si="346"/>
        <v>3129</v>
      </c>
      <c r="AO22" s="98">
        <f t="shared" si="347"/>
        <v>6645</v>
      </c>
      <c r="AP22" s="98">
        <f t="shared" si="348"/>
        <v>298368</v>
      </c>
      <c r="AQ22" s="98">
        <f t="shared" si="349"/>
        <v>235562</v>
      </c>
      <c r="AR22" s="98">
        <f t="shared" si="350"/>
        <v>533930</v>
      </c>
      <c r="AS22" s="116">
        <f t="shared" si="351"/>
        <v>0.62305119006352294</v>
      </c>
      <c r="AT22" s="116">
        <f t="shared" si="352"/>
        <v>0.72514306647088345</v>
      </c>
      <c r="AU22" s="116">
        <f t="shared" si="353"/>
        <v>0.66431430416395532</v>
      </c>
      <c r="AV22" s="99">
        <v>34439</v>
      </c>
      <c r="AW22" s="99">
        <v>25972</v>
      </c>
      <c r="AX22" s="99">
        <f t="shared" si="354"/>
        <v>60411</v>
      </c>
      <c r="AY22" s="99">
        <v>20133</v>
      </c>
      <c r="AZ22" s="99">
        <v>17126</v>
      </c>
      <c r="BA22" s="99">
        <f t="shared" si="355"/>
        <v>37259</v>
      </c>
      <c r="BB22" s="99">
        <v>307</v>
      </c>
      <c r="BC22" s="99">
        <v>371</v>
      </c>
      <c r="BD22" s="99">
        <f t="shared" si="356"/>
        <v>678</v>
      </c>
      <c r="BE22" s="99">
        <f t="shared" si="357"/>
        <v>20440</v>
      </c>
      <c r="BF22" s="99">
        <f t="shared" si="358"/>
        <v>17497</v>
      </c>
      <c r="BG22" s="99">
        <f t="shared" si="359"/>
        <v>37937</v>
      </c>
      <c r="BH22" s="116">
        <f t="shared" si="360"/>
        <v>0.59351316821045907</v>
      </c>
      <c r="BI22" s="116">
        <f t="shared" si="361"/>
        <v>0.67368704758971198</v>
      </c>
      <c r="BJ22" s="116">
        <f t="shared" si="362"/>
        <v>0.62798165896939295</v>
      </c>
      <c r="BK22" s="95">
        <v>2559</v>
      </c>
      <c r="BL22" s="95">
        <v>1256</v>
      </c>
      <c r="BM22" s="98">
        <f t="shared" si="363"/>
        <v>3815</v>
      </c>
      <c r="BN22" s="99">
        <v>76</v>
      </c>
      <c r="BO22" s="99">
        <v>86</v>
      </c>
      <c r="BP22" s="99">
        <f t="shared" si="364"/>
        <v>162</v>
      </c>
      <c r="BQ22" s="99">
        <v>20</v>
      </c>
      <c r="BR22" s="99">
        <v>24</v>
      </c>
      <c r="BS22" s="99">
        <f t="shared" si="365"/>
        <v>44</v>
      </c>
      <c r="BT22" s="99">
        <f t="shared" si="366"/>
        <v>96</v>
      </c>
      <c r="BU22" s="99">
        <f t="shared" si="367"/>
        <v>110</v>
      </c>
      <c r="BV22" s="99">
        <f t="shared" si="368"/>
        <v>206</v>
      </c>
      <c r="BW22" s="116">
        <f t="shared" si="369"/>
        <v>3.7514654161781943E-2</v>
      </c>
      <c r="BX22" s="116">
        <f t="shared" si="370"/>
        <v>8.7579617834394899E-2</v>
      </c>
      <c r="BY22" s="116">
        <f t="shared" si="371"/>
        <v>5.3997378768020972E-2</v>
      </c>
      <c r="BZ22" s="98">
        <f t="shared" si="323"/>
        <v>36998</v>
      </c>
      <c r="CA22" s="98">
        <f t="shared" si="323"/>
        <v>27228</v>
      </c>
      <c r="CB22" s="98">
        <f t="shared" si="323"/>
        <v>64226</v>
      </c>
      <c r="CC22" s="98">
        <f t="shared" si="372"/>
        <v>20209</v>
      </c>
      <c r="CD22" s="98">
        <f t="shared" si="373"/>
        <v>17212</v>
      </c>
      <c r="CE22" s="98">
        <f t="shared" si="374"/>
        <v>37421</v>
      </c>
      <c r="CF22" s="98">
        <f t="shared" si="375"/>
        <v>327</v>
      </c>
      <c r="CG22" s="98">
        <f t="shared" si="376"/>
        <v>395</v>
      </c>
      <c r="CH22" s="98">
        <f t="shared" si="377"/>
        <v>722</v>
      </c>
      <c r="CI22" s="98">
        <f>BE22+BT22</f>
        <v>20536</v>
      </c>
      <c r="CJ22" s="98">
        <f>BF22+BU22</f>
        <v>17607</v>
      </c>
      <c r="CK22" s="98">
        <f>BG22+BV22</f>
        <v>38143</v>
      </c>
      <c r="CL22" s="116">
        <f t="shared" si="381"/>
        <v>0.55505703010973562</v>
      </c>
      <c r="CM22" s="116">
        <f t="shared" si="382"/>
        <v>0.64665050683120318</v>
      </c>
      <c r="CN22" s="116">
        <f t="shared" si="383"/>
        <v>0.59388721078690876</v>
      </c>
      <c r="CO22" s="99">
        <v>59051</v>
      </c>
      <c r="CP22" s="99">
        <v>52052</v>
      </c>
      <c r="CQ22" s="99">
        <f t="shared" si="384"/>
        <v>111103</v>
      </c>
      <c r="CR22" s="99">
        <v>34227</v>
      </c>
      <c r="CS22" s="99">
        <v>34130</v>
      </c>
      <c r="CT22" s="99">
        <f t="shared" si="385"/>
        <v>68357</v>
      </c>
      <c r="CU22" s="99">
        <v>340</v>
      </c>
      <c r="CV22" s="99">
        <v>461</v>
      </c>
      <c r="CW22" s="99">
        <f t="shared" si="386"/>
        <v>801</v>
      </c>
      <c r="CX22" s="99">
        <f t="shared" si="387"/>
        <v>34567</v>
      </c>
      <c r="CY22" s="99">
        <f>+CS22+CV22</f>
        <v>34591</v>
      </c>
      <c r="CZ22" s="99">
        <f t="shared" si="388"/>
        <v>69158</v>
      </c>
      <c r="DA22" s="116">
        <f t="shared" si="389"/>
        <v>0.58537535350798464</v>
      </c>
      <c r="DB22" s="116">
        <f t="shared" si="390"/>
        <v>0.66454699147006835</v>
      </c>
      <c r="DC22" s="116">
        <f t="shared" si="391"/>
        <v>0.62246744012312893</v>
      </c>
      <c r="DD22" s="95">
        <v>2308</v>
      </c>
      <c r="DE22" s="95">
        <v>857</v>
      </c>
      <c r="DF22" s="98">
        <f t="shared" si="392"/>
        <v>3165</v>
      </c>
      <c r="DG22" s="99">
        <v>189</v>
      </c>
      <c r="DH22" s="99">
        <v>88</v>
      </c>
      <c r="DI22" s="99">
        <f t="shared" si="393"/>
        <v>277</v>
      </c>
      <c r="DJ22" s="99">
        <v>11</v>
      </c>
      <c r="DK22" s="99">
        <v>9</v>
      </c>
      <c r="DL22" s="99">
        <f t="shared" si="394"/>
        <v>20</v>
      </c>
      <c r="DM22" s="99">
        <f t="shared" si="395"/>
        <v>200</v>
      </c>
      <c r="DN22" s="99">
        <f t="shared" si="396"/>
        <v>97</v>
      </c>
      <c r="DO22" s="99">
        <f t="shared" si="397"/>
        <v>297</v>
      </c>
      <c r="DP22" s="116">
        <f t="shared" si="398"/>
        <v>8.6655112651646451E-2</v>
      </c>
      <c r="DQ22" s="116">
        <f t="shared" si="399"/>
        <v>0.11318553092182031</v>
      </c>
      <c r="DR22" s="116">
        <f t="shared" si="400"/>
        <v>9.3838862559241704E-2</v>
      </c>
      <c r="DS22" s="98">
        <f t="shared" si="401"/>
        <v>61359</v>
      </c>
      <c r="DT22" s="98">
        <f t="shared" si="402"/>
        <v>52909</v>
      </c>
      <c r="DU22" s="98">
        <f t="shared" si="403"/>
        <v>114268</v>
      </c>
      <c r="DV22" s="98">
        <f t="shared" si="404"/>
        <v>34416</v>
      </c>
      <c r="DW22" s="98">
        <f t="shared" si="405"/>
        <v>34218</v>
      </c>
      <c r="DX22" s="98">
        <f t="shared" si="406"/>
        <v>68634</v>
      </c>
      <c r="DY22" s="98">
        <f t="shared" si="407"/>
        <v>351</v>
      </c>
      <c r="DZ22" s="98">
        <f t="shared" si="408"/>
        <v>470</v>
      </c>
      <c r="EA22" s="98">
        <f t="shared" si="409"/>
        <v>821</v>
      </c>
      <c r="EB22" s="98">
        <f t="shared" si="410"/>
        <v>34767</v>
      </c>
      <c r="EC22" s="98">
        <f t="shared" si="411"/>
        <v>34688</v>
      </c>
      <c r="ED22" s="98">
        <f t="shared" si="412"/>
        <v>69455</v>
      </c>
      <c r="EE22" s="116">
        <f t="shared" si="413"/>
        <v>0.56661614433090501</v>
      </c>
      <c r="EF22" s="116">
        <f t="shared" si="414"/>
        <v>0.65561624676331054</v>
      </c>
      <c r="EG22" s="116">
        <f t="shared" si="415"/>
        <v>0.60782546294675677</v>
      </c>
      <c r="EH22" s="98">
        <f t="shared" si="416"/>
        <v>298368</v>
      </c>
      <c r="EI22" s="98">
        <f t="shared" si="417"/>
        <v>235562</v>
      </c>
      <c r="EJ22" s="98">
        <f t="shared" si="418"/>
        <v>533930</v>
      </c>
      <c r="EK22" s="101">
        <v>110160</v>
      </c>
      <c r="EL22" s="101">
        <v>95951</v>
      </c>
      <c r="EM22" s="98">
        <f t="shared" si="419"/>
        <v>206111</v>
      </c>
      <c r="EN22" s="100">
        <f t="shared" ref="EN22" si="440">+EK22*100/EH22</f>
        <v>36.920849420849422</v>
      </c>
      <c r="EO22" s="100">
        <f t="shared" ref="EO22" si="441">+EL22*100/EI22</f>
        <v>40.732800706395771</v>
      </c>
      <c r="EP22" s="100">
        <f t="shared" ref="EP22" si="442">+EM22*100/EJ22</f>
        <v>38.602625812372409</v>
      </c>
      <c r="EQ22" s="98">
        <f t="shared" si="423"/>
        <v>20536</v>
      </c>
      <c r="ER22" s="98">
        <f t="shared" si="424"/>
        <v>17607</v>
      </c>
      <c r="ES22" s="98">
        <f t="shared" si="425"/>
        <v>38143</v>
      </c>
      <c r="ET22" s="101">
        <v>6301</v>
      </c>
      <c r="EU22" s="101">
        <v>5821</v>
      </c>
      <c r="EV22" s="98">
        <f t="shared" si="426"/>
        <v>12122</v>
      </c>
      <c r="EW22" s="100">
        <f t="shared" si="427"/>
        <v>30.682703544994158</v>
      </c>
      <c r="EX22" s="100">
        <f t="shared" si="428"/>
        <v>33.060714488555689</v>
      </c>
      <c r="EY22" s="100">
        <f t="shared" si="429"/>
        <v>31.78040531683402</v>
      </c>
      <c r="EZ22" s="98">
        <f t="shared" si="430"/>
        <v>34767</v>
      </c>
      <c r="FA22" s="98">
        <f t="shared" si="431"/>
        <v>34688</v>
      </c>
      <c r="FB22" s="98">
        <f t="shared" si="432"/>
        <v>69455</v>
      </c>
      <c r="FC22" s="101">
        <v>7342</v>
      </c>
      <c r="FD22" s="101">
        <v>8510</v>
      </c>
      <c r="FE22" s="98">
        <f t="shared" si="433"/>
        <v>15852</v>
      </c>
      <c r="FF22" s="100">
        <f t="shared" si="434"/>
        <v>21.117726579802685</v>
      </c>
      <c r="FG22" s="100">
        <f t="shared" si="435"/>
        <v>24.532979704797047</v>
      </c>
      <c r="FH22" s="100">
        <f t="shared" si="436"/>
        <v>22.823410841552086</v>
      </c>
    </row>
    <row r="23" spans="1:164" ht="27" customHeight="1">
      <c r="A23" s="94">
        <v>14</v>
      </c>
      <c r="B23" s="118" t="s">
        <v>140</v>
      </c>
      <c r="C23" s="96">
        <v>175393</v>
      </c>
      <c r="D23" s="96">
        <v>143769</v>
      </c>
      <c r="E23" s="96">
        <f t="shared" si="182"/>
        <v>319162</v>
      </c>
      <c r="F23" s="96">
        <v>81368</v>
      </c>
      <c r="G23" s="96">
        <v>79615</v>
      </c>
      <c r="H23" s="96">
        <f t="shared" si="183"/>
        <v>160983</v>
      </c>
      <c r="I23" s="96">
        <v>3155</v>
      </c>
      <c r="J23" s="96">
        <v>2348</v>
      </c>
      <c r="K23" s="96">
        <f t="shared" ref="K23:K40" si="443">I23+J23</f>
        <v>5503</v>
      </c>
      <c r="L23" s="97">
        <f t="shared" ref="L23" si="444">F23+I23</f>
        <v>84523</v>
      </c>
      <c r="M23" s="98">
        <f t="shared" ref="M23" si="445">G23+J23</f>
        <v>81963</v>
      </c>
      <c r="N23" s="98">
        <f t="shared" ref="N23" si="446">H23+K23</f>
        <v>166486</v>
      </c>
      <c r="O23" s="116">
        <f t="shared" si="187"/>
        <v>0.48190634745970479</v>
      </c>
      <c r="P23" s="116">
        <f t="shared" si="188"/>
        <v>0.57010203868706044</v>
      </c>
      <c r="Q23" s="116">
        <f t="shared" si="189"/>
        <v>0.52163478108296102</v>
      </c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12"/>
      <c r="AE23" s="112"/>
      <c r="AF23" s="112"/>
      <c r="AG23" s="98">
        <f t="shared" si="190"/>
        <v>175393</v>
      </c>
      <c r="AH23" s="98">
        <f t="shared" si="191"/>
        <v>143769</v>
      </c>
      <c r="AI23" s="98">
        <f t="shared" si="192"/>
        <v>319162</v>
      </c>
      <c r="AJ23" s="98">
        <f t="shared" si="193"/>
        <v>81368</v>
      </c>
      <c r="AK23" s="98">
        <f t="shared" si="194"/>
        <v>79615</v>
      </c>
      <c r="AL23" s="98">
        <f t="shared" si="192"/>
        <v>160983</v>
      </c>
      <c r="AM23" s="98">
        <f t="shared" ref="AM23:AM40" si="447">I23+X23</f>
        <v>3155</v>
      </c>
      <c r="AN23" s="98">
        <f t="shared" si="265"/>
        <v>2348</v>
      </c>
      <c r="AO23" s="98">
        <f t="shared" si="192"/>
        <v>5503</v>
      </c>
      <c r="AP23" s="98">
        <f t="shared" si="195"/>
        <v>84523</v>
      </c>
      <c r="AQ23" s="98">
        <f t="shared" si="196"/>
        <v>81963</v>
      </c>
      <c r="AR23" s="98">
        <f t="shared" si="192"/>
        <v>166486</v>
      </c>
      <c r="AS23" s="116">
        <f t="shared" si="197"/>
        <v>0.48190634745970479</v>
      </c>
      <c r="AT23" s="116">
        <f t="shared" si="198"/>
        <v>0.57010203868706044</v>
      </c>
      <c r="AU23" s="116">
        <f t="shared" si="199"/>
        <v>0.52163478108296102</v>
      </c>
      <c r="AV23" s="99">
        <v>44283</v>
      </c>
      <c r="AW23" s="99">
        <v>41715</v>
      </c>
      <c r="AX23" s="99">
        <f t="shared" si="200"/>
        <v>85998</v>
      </c>
      <c r="AY23" s="99">
        <v>16456</v>
      </c>
      <c r="AZ23" s="99">
        <v>16895</v>
      </c>
      <c r="BA23" s="99">
        <f t="shared" si="201"/>
        <v>33351</v>
      </c>
      <c r="BB23" s="99">
        <v>743</v>
      </c>
      <c r="BC23" s="99">
        <v>673</v>
      </c>
      <c r="BD23" s="99">
        <f t="shared" ref="BD23:BD40" si="448">+BB23+BC23</f>
        <v>1416</v>
      </c>
      <c r="BE23" s="99">
        <f t="shared" si="202"/>
        <v>17199</v>
      </c>
      <c r="BF23" s="99">
        <f t="shared" si="203"/>
        <v>17568</v>
      </c>
      <c r="BG23" s="99">
        <f t="shared" si="204"/>
        <v>34767</v>
      </c>
      <c r="BH23" s="116">
        <f t="shared" si="205"/>
        <v>0.3883883205744868</v>
      </c>
      <c r="BI23" s="116">
        <f t="shared" si="206"/>
        <v>0.42114347357065801</v>
      </c>
      <c r="BJ23" s="116">
        <f t="shared" si="207"/>
        <v>0.4042768436475267</v>
      </c>
      <c r="BK23" s="113"/>
      <c r="BL23" s="113"/>
      <c r="BM23" s="103"/>
      <c r="BN23" s="104"/>
      <c r="BO23" s="104"/>
      <c r="BP23" s="104"/>
      <c r="BQ23" s="104"/>
      <c r="BR23" s="104"/>
      <c r="BS23" s="104"/>
      <c r="BT23" s="104"/>
      <c r="BU23" s="104"/>
      <c r="BV23" s="104"/>
      <c r="BW23" s="112"/>
      <c r="BX23" s="112"/>
      <c r="BY23" s="112"/>
      <c r="BZ23" s="98">
        <f t="shared" si="208"/>
        <v>44283</v>
      </c>
      <c r="CA23" s="98">
        <f t="shared" si="209"/>
        <v>41715</v>
      </c>
      <c r="CB23" s="98">
        <f t="shared" si="210"/>
        <v>85998</v>
      </c>
      <c r="CC23" s="98">
        <f t="shared" si="211"/>
        <v>16456</v>
      </c>
      <c r="CD23" s="98">
        <f t="shared" si="212"/>
        <v>16895</v>
      </c>
      <c r="CE23" s="98">
        <f t="shared" si="213"/>
        <v>33351</v>
      </c>
      <c r="CF23" s="98">
        <f t="shared" ref="CF23:CF40" si="449">BB23+BQ23</f>
        <v>743</v>
      </c>
      <c r="CG23" s="98">
        <f t="shared" ref="CG23:CG40" si="450">BC23+BR23</f>
        <v>673</v>
      </c>
      <c r="CH23" s="98">
        <f t="shared" ref="CH23:CH40" si="451">BD23+BS23</f>
        <v>1416</v>
      </c>
      <c r="CI23" s="98">
        <f>BE23+BT23</f>
        <v>17199</v>
      </c>
      <c r="CJ23" s="98">
        <f t="shared" ref="CJ23:CJ38" si="452">BF23+BU23</f>
        <v>17568</v>
      </c>
      <c r="CK23" s="98">
        <f t="shared" ref="CK23:CK38" si="453">BG23+BV23</f>
        <v>34767</v>
      </c>
      <c r="CL23" s="116">
        <f t="shared" ref="CL23:CL43" si="454">CI23/BZ23</f>
        <v>0.3883883205744868</v>
      </c>
      <c r="CM23" s="116">
        <f t="shared" si="218"/>
        <v>0.42114347357065801</v>
      </c>
      <c r="CN23" s="116">
        <f t="shared" si="219"/>
        <v>0.4042768436475267</v>
      </c>
      <c r="CO23" s="99">
        <v>60</v>
      </c>
      <c r="CP23" s="99">
        <v>41</v>
      </c>
      <c r="CQ23" s="99">
        <f t="shared" si="220"/>
        <v>101</v>
      </c>
      <c r="CR23" s="99">
        <v>30</v>
      </c>
      <c r="CS23" s="99">
        <v>29</v>
      </c>
      <c r="CT23" s="99">
        <f t="shared" si="221"/>
        <v>59</v>
      </c>
      <c r="CU23" s="99">
        <v>0</v>
      </c>
      <c r="CV23" s="99">
        <v>1</v>
      </c>
      <c r="CW23" s="99">
        <f t="shared" ref="CW23:CW40" si="455">+CU23+CV23</f>
        <v>1</v>
      </c>
      <c r="CX23" s="99">
        <f t="shared" si="222"/>
        <v>30</v>
      </c>
      <c r="CY23" s="99">
        <f t="shared" si="223"/>
        <v>30</v>
      </c>
      <c r="CZ23" s="99">
        <f t="shared" si="224"/>
        <v>60</v>
      </c>
      <c r="DA23" s="116">
        <f t="shared" si="273"/>
        <v>0.5</v>
      </c>
      <c r="DB23" s="116">
        <f t="shared" si="225"/>
        <v>0.73170731707317072</v>
      </c>
      <c r="DC23" s="116">
        <f t="shared" si="226"/>
        <v>0.59405940594059403</v>
      </c>
      <c r="DD23" s="111"/>
      <c r="DE23" s="111"/>
      <c r="DF23" s="103"/>
      <c r="DG23" s="104"/>
      <c r="DH23" s="104"/>
      <c r="DI23" s="104"/>
      <c r="DJ23" s="104"/>
      <c r="DK23" s="104"/>
      <c r="DL23" s="104"/>
      <c r="DM23" s="104"/>
      <c r="DN23" s="104"/>
      <c r="DO23" s="104"/>
      <c r="DP23" s="112"/>
      <c r="DQ23" s="112"/>
      <c r="DR23" s="112"/>
      <c r="DS23" s="98">
        <f t="shared" si="227"/>
        <v>60</v>
      </c>
      <c r="DT23" s="98">
        <f t="shared" si="228"/>
        <v>41</v>
      </c>
      <c r="DU23" s="98">
        <f t="shared" si="229"/>
        <v>101</v>
      </c>
      <c r="DV23" s="98">
        <f t="shared" si="230"/>
        <v>30</v>
      </c>
      <c r="DW23" s="98">
        <f t="shared" si="231"/>
        <v>29</v>
      </c>
      <c r="DX23" s="98">
        <f t="shared" si="232"/>
        <v>59</v>
      </c>
      <c r="DY23" s="98">
        <f t="shared" ref="DY23:DY40" si="456">CU23+DJ23</f>
        <v>0</v>
      </c>
      <c r="DZ23" s="98">
        <f t="shared" ref="DZ23:DZ40" si="457">CV23+DK23</f>
        <v>1</v>
      </c>
      <c r="EA23" s="98">
        <f t="shared" ref="EA23:EA40" si="458">CW23+DL23</f>
        <v>1</v>
      </c>
      <c r="EB23" s="98">
        <f t="shared" si="233"/>
        <v>30</v>
      </c>
      <c r="EC23" s="98">
        <f t="shared" si="234"/>
        <v>30</v>
      </c>
      <c r="ED23" s="98">
        <f t="shared" si="235"/>
        <v>60</v>
      </c>
      <c r="EE23" s="116">
        <f t="shared" ref="EE23:EE43" si="459">EB23/DS23</f>
        <v>0.5</v>
      </c>
      <c r="EF23" s="116">
        <f t="shared" si="236"/>
        <v>0.73170731707317072</v>
      </c>
      <c r="EG23" s="116">
        <f t="shared" si="237"/>
        <v>0.59405940594059403</v>
      </c>
      <c r="EH23" s="98">
        <f t="shared" si="238"/>
        <v>84523</v>
      </c>
      <c r="EI23" s="98">
        <f t="shared" si="239"/>
        <v>81963</v>
      </c>
      <c r="EJ23" s="98">
        <f t="shared" si="240"/>
        <v>166486</v>
      </c>
      <c r="EK23" s="101">
        <v>61969</v>
      </c>
      <c r="EL23" s="101">
        <v>65106</v>
      </c>
      <c r="EM23" s="98">
        <f t="shared" si="241"/>
        <v>127075</v>
      </c>
      <c r="EN23" s="100">
        <f t="shared" si="242"/>
        <v>73.316138802456138</v>
      </c>
      <c r="EO23" s="100">
        <f t="shared" si="243"/>
        <v>79.433402876907877</v>
      </c>
      <c r="EP23" s="100">
        <f t="shared" si="244"/>
        <v>76.327739269367996</v>
      </c>
      <c r="EQ23" s="98">
        <f t="shared" si="245"/>
        <v>17199</v>
      </c>
      <c r="ER23" s="98">
        <f t="shared" si="246"/>
        <v>17568</v>
      </c>
      <c r="ES23" s="98">
        <f t="shared" si="247"/>
        <v>34767</v>
      </c>
      <c r="ET23" s="101">
        <v>10210</v>
      </c>
      <c r="EU23" s="101">
        <v>11276</v>
      </c>
      <c r="EV23" s="98">
        <f t="shared" si="248"/>
        <v>21486</v>
      </c>
      <c r="EW23" s="100">
        <f t="shared" si="249"/>
        <v>59.363916506773649</v>
      </c>
      <c r="EX23" s="100">
        <f t="shared" si="250"/>
        <v>64.184881602914388</v>
      </c>
      <c r="EY23" s="100">
        <f t="shared" si="251"/>
        <v>61.799982742255587</v>
      </c>
      <c r="EZ23" s="98">
        <f t="shared" si="252"/>
        <v>30</v>
      </c>
      <c r="FA23" s="98">
        <f t="shared" si="253"/>
        <v>30</v>
      </c>
      <c r="FB23" s="98">
        <f t="shared" si="254"/>
        <v>60</v>
      </c>
      <c r="FC23" s="101">
        <v>26</v>
      </c>
      <c r="FD23" s="101">
        <v>25</v>
      </c>
      <c r="FE23" s="98">
        <f t="shared" si="255"/>
        <v>51</v>
      </c>
      <c r="FF23" s="100">
        <f t="shared" si="283"/>
        <v>86.666666666666671</v>
      </c>
      <c r="FG23" s="100">
        <f t="shared" si="256"/>
        <v>83.333333333333329</v>
      </c>
      <c r="FH23" s="100">
        <f t="shared" si="257"/>
        <v>85</v>
      </c>
    </row>
    <row r="24" spans="1:164" ht="27" customHeight="1">
      <c r="A24" s="94">
        <v>15</v>
      </c>
      <c r="B24" s="118" t="s">
        <v>150</v>
      </c>
      <c r="C24" s="96">
        <v>59965</v>
      </c>
      <c r="D24" s="96">
        <v>53601</v>
      </c>
      <c r="E24" s="96">
        <f t="shared" si="182"/>
        <v>113566</v>
      </c>
      <c r="F24" s="96">
        <v>39336</v>
      </c>
      <c r="G24" s="96">
        <v>37797</v>
      </c>
      <c r="H24" s="96">
        <f t="shared" si="183"/>
        <v>77133</v>
      </c>
      <c r="I24" s="96">
        <v>6860</v>
      </c>
      <c r="J24" s="96">
        <v>5831</v>
      </c>
      <c r="K24" s="96">
        <f t="shared" si="443"/>
        <v>12691</v>
      </c>
      <c r="L24" s="97">
        <f t="shared" ref="L24:L43" si="460">F24+I24</f>
        <v>46196</v>
      </c>
      <c r="M24" s="98">
        <f t="shared" ref="M24:M43" si="461">G24+J24</f>
        <v>43628</v>
      </c>
      <c r="N24" s="98">
        <f t="shared" ref="N24:N43" si="462">H24+K24</f>
        <v>89824</v>
      </c>
      <c r="O24" s="116">
        <f t="shared" si="187"/>
        <v>0.77038272325523227</v>
      </c>
      <c r="P24" s="116">
        <f t="shared" si="188"/>
        <v>0.81394003843211882</v>
      </c>
      <c r="Q24" s="116">
        <f t="shared" si="189"/>
        <v>0.79094095063663417</v>
      </c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12"/>
      <c r="AE24" s="112"/>
      <c r="AF24" s="112"/>
      <c r="AG24" s="98">
        <f t="shared" si="190"/>
        <v>59965</v>
      </c>
      <c r="AH24" s="98">
        <f t="shared" si="191"/>
        <v>53601</v>
      </c>
      <c r="AI24" s="98">
        <f t="shared" si="191"/>
        <v>113566</v>
      </c>
      <c r="AJ24" s="98">
        <f t="shared" si="193"/>
        <v>39336</v>
      </c>
      <c r="AK24" s="98">
        <f t="shared" si="194"/>
        <v>37797</v>
      </c>
      <c r="AL24" s="98">
        <f t="shared" si="194"/>
        <v>77133</v>
      </c>
      <c r="AM24" s="98">
        <f t="shared" si="447"/>
        <v>6860</v>
      </c>
      <c r="AN24" s="98">
        <f t="shared" si="265"/>
        <v>5831</v>
      </c>
      <c r="AO24" s="98">
        <f t="shared" si="265"/>
        <v>12691</v>
      </c>
      <c r="AP24" s="98">
        <f t="shared" si="195"/>
        <v>46196</v>
      </c>
      <c r="AQ24" s="98">
        <f t="shared" si="196"/>
        <v>43628</v>
      </c>
      <c r="AR24" s="98">
        <f t="shared" si="196"/>
        <v>89824</v>
      </c>
      <c r="AS24" s="116">
        <f t="shared" si="197"/>
        <v>0.77038272325523227</v>
      </c>
      <c r="AT24" s="116">
        <f t="shared" si="198"/>
        <v>0.81394003843211882</v>
      </c>
      <c r="AU24" s="116">
        <f t="shared" si="199"/>
        <v>0.79094095063663417</v>
      </c>
      <c r="AV24" s="99">
        <v>17399</v>
      </c>
      <c r="AW24" s="99">
        <v>16332</v>
      </c>
      <c r="AX24" s="99">
        <f t="shared" si="200"/>
        <v>33731</v>
      </c>
      <c r="AY24" s="99">
        <v>10420</v>
      </c>
      <c r="AZ24" s="99">
        <v>10612</v>
      </c>
      <c r="BA24" s="99">
        <f t="shared" si="201"/>
        <v>21032</v>
      </c>
      <c r="BB24" s="99">
        <v>2175</v>
      </c>
      <c r="BC24" s="99">
        <v>2019</v>
      </c>
      <c r="BD24" s="99">
        <f t="shared" si="448"/>
        <v>4194</v>
      </c>
      <c r="BE24" s="99">
        <f t="shared" si="202"/>
        <v>12595</v>
      </c>
      <c r="BF24" s="99">
        <f t="shared" si="203"/>
        <v>12631</v>
      </c>
      <c r="BG24" s="99">
        <f t="shared" si="203"/>
        <v>25226</v>
      </c>
      <c r="BH24" s="116">
        <f t="shared" si="205"/>
        <v>0.72389217771136272</v>
      </c>
      <c r="BI24" s="116">
        <f t="shared" si="206"/>
        <v>0.77338966446240509</v>
      </c>
      <c r="BJ24" s="116">
        <f t="shared" si="207"/>
        <v>0.74785805342266753</v>
      </c>
      <c r="BK24" s="111"/>
      <c r="BL24" s="111"/>
      <c r="BM24" s="103"/>
      <c r="BN24" s="104"/>
      <c r="BO24" s="104"/>
      <c r="BP24" s="104"/>
      <c r="BQ24" s="104"/>
      <c r="BR24" s="104"/>
      <c r="BS24" s="104"/>
      <c r="BT24" s="104"/>
      <c r="BU24" s="104"/>
      <c r="BV24" s="104"/>
      <c r="BW24" s="112"/>
      <c r="BX24" s="112"/>
      <c r="BY24" s="112"/>
      <c r="BZ24" s="98">
        <f t="shared" ref="BZ24:BZ36" si="463">AV24+BK24</f>
        <v>17399</v>
      </c>
      <c r="CA24" s="98">
        <f t="shared" ref="CA24:CA36" si="464">AW24+BL24</f>
        <v>16332</v>
      </c>
      <c r="CB24" s="98">
        <f t="shared" ref="CB24:CB36" si="465">AX24+BM24</f>
        <v>33731</v>
      </c>
      <c r="CC24" s="98">
        <f t="shared" si="211"/>
        <v>10420</v>
      </c>
      <c r="CD24" s="98">
        <f t="shared" si="212"/>
        <v>10612</v>
      </c>
      <c r="CE24" s="98">
        <f t="shared" si="213"/>
        <v>21032</v>
      </c>
      <c r="CF24" s="98">
        <f t="shared" si="449"/>
        <v>2175</v>
      </c>
      <c r="CG24" s="98">
        <f t="shared" si="450"/>
        <v>2019</v>
      </c>
      <c r="CH24" s="98">
        <f t="shared" si="451"/>
        <v>4194</v>
      </c>
      <c r="CI24" s="98">
        <f t="shared" ref="CI24:CI30" si="466">BE24+BT24</f>
        <v>12595</v>
      </c>
      <c r="CJ24" s="98">
        <f t="shared" ref="CJ24:CJ30" si="467">BF24+BU24</f>
        <v>12631</v>
      </c>
      <c r="CK24" s="98">
        <f t="shared" ref="CK24:CK30" si="468">BG24+BV24</f>
        <v>25226</v>
      </c>
      <c r="CL24" s="116">
        <f t="shared" si="454"/>
        <v>0.72389217771136272</v>
      </c>
      <c r="CM24" s="116">
        <f t="shared" si="218"/>
        <v>0.77338966446240509</v>
      </c>
      <c r="CN24" s="116">
        <f t="shared" si="219"/>
        <v>0.74785805342266753</v>
      </c>
      <c r="CO24" s="99">
        <v>3721</v>
      </c>
      <c r="CP24" s="99">
        <v>3392</v>
      </c>
      <c r="CQ24" s="99">
        <f t="shared" si="220"/>
        <v>7113</v>
      </c>
      <c r="CR24" s="99">
        <v>2415</v>
      </c>
      <c r="CS24" s="99">
        <v>2356</v>
      </c>
      <c r="CT24" s="99">
        <f t="shared" si="221"/>
        <v>4771</v>
      </c>
      <c r="CU24" s="99">
        <v>395</v>
      </c>
      <c r="CV24" s="99">
        <v>371</v>
      </c>
      <c r="CW24" s="99">
        <f t="shared" si="455"/>
        <v>766</v>
      </c>
      <c r="CX24" s="99">
        <f t="shared" si="222"/>
        <v>2810</v>
      </c>
      <c r="CY24" s="99">
        <f t="shared" ref="CY24" si="469">+CS24+CV24</f>
        <v>2727</v>
      </c>
      <c r="CZ24" s="99">
        <f t="shared" si="223"/>
        <v>5537</v>
      </c>
      <c r="DA24" s="116">
        <f t="shared" si="273"/>
        <v>0.75517334049986562</v>
      </c>
      <c r="DB24" s="116">
        <f t="shared" si="225"/>
        <v>0.80395047169811318</v>
      </c>
      <c r="DC24" s="116">
        <f t="shared" si="226"/>
        <v>0.77843385350766203</v>
      </c>
      <c r="DD24" s="111"/>
      <c r="DE24" s="111"/>
      <c r="DF24" s="103"/>
      <c r="DG24" s="104"/>
      <c r="DH24" s="104"/>
      <c r="DI24" s="104"/>
      <c r="DJ24" s="104"/>
      <c r="DK24" s="104"/>
      <c r="DL24" s="104"/>
      <c r="DM24" s="104"/>
      <c r="DN24" s="104"/>
      <c r="DO24" s="104"/>
      <c r="DP24" s="112"/>
      <c r="DQ24" s="112"/>
      <c r="DR24" s="112"/>
      <c r="DS24" s="98">
        <f t="shared" si="227"/>
        <v>3721</v>
      </c>
      <c r="DT24" s="98">
        <f t="shared" si="228"/>
        <v>3392</v>
      </c>
      <c r="DU24" s="98">
        <f t="shared" si="229"/>
        <v>7113</v>
      </c>
      <c r="DV24" s="98">
        <f t="shared" si="230"/>
        <v>2415</v>
      </c>
      <c r="DW24" s="98">
        <f t="shared" si="231"/>
        <v>2356</v>
      </c>
      <c r="DX24" s="98">
        <f t="shared" si="232"/>
        <v>4771</v>
      </c>
      <c r="DY24" s="98">
        <f t="shared" si="456"/>
        <v>395</v>
      </c>
      <c r="DZ24" s="98">
        <f t="shared" si="457"/>
        <v>371</v>
      </c>
      <c r="EA24" s="98">
        <f t="shared" si="458"/>
        <v>766</v>
      </c>
      <c r="EB24" s="98">
        <f t="shared" si="233"/>
        <v>2810</v>
      </c>
      <c r="EC24" s="98">
        <f t="shared" si="234"/>
        <v>2727</v>
      </c>
      <c r="ED24" s="98">
        <f t="shared" si="235"/>
        <v>5537</v>
      </c>
      <c r="EE24" s="116">
        <f t="shared" si="459"/>
        <v>0.75517334049986562</v>
      </c>
      <c r="EF24" s="116">
        <f t="shared" si="236"/>
        <v>0.80395047169811318</v>
      </c>
      <c r="EG24" s="116">
        <f t="shared" si="237"/>
        <v>0.77843385350766203</v>
      </c>
      <c r="EH24" s="98">
        <f t="shared" si="238"/>
        <v>46196</v>
      </c>
      <c r="EI24" s="98">
        <f t="shared" si="239"/>
        <v>43628</v>
      </c>
      <c r="EJ24" s="98">
        <f t="shared" si="239"/>
        <v>89824</v>
      </c>
      <c r="EK24" s="101">
        <v>29599</v>
      </c>
      <c r="EL24" s="101">
        <v>32689</v>
      </c>
      <c r="EM24" s="98">
        <f t="shared" si="241"/>
        <v>62288</v>
      </c>
      <c r="EN24" s="100">
        <f t="shared" ref="EN24:EN43" si="470">+EK24*100/EH24</f>
        <v>64.072646982422725</v>
      </c>
      <c r="EO24" s="100">
        <f t="shared" ref="EO24:EO43" si="471">+EL24*100/EI24</f>
        <v>74.926652608416617</v>
      </c>
      <c r="EP24" s="100">
        <f t="shared" ref="EP24:EP43" si="472">+EM24*100/EJ24</f>
        <v>69.3444959030994</v>
      </c>
      <c r="EQ24" s="98">
        <f t="shared" si="245"/>
        <v>12595</v>
      </c>
      <c r="ER24" s="98">
        <f t="shared" si="246"/>
        <v>12631</v>
      </c>
      <c r="ES24" s="98">
        <f t="shared" si="246"/>
        <v>25226</v>
      </c>
      <c r="ET24" s="101">
        <v>7116</v>
      </c>
      <c r="EU24" s="101">
        <v>8732</v>
      </c>
      <c r="EV24" s="98">
        <f t="shared" si="248"/>
        <v>15848</v>
      </c>
      <c r="EW24" s="100">
        <f t="shared" ref="EW24:EW43" si="473">+ET24*100/EQ24</f>
        <v>56.498610559745934</v>
      </c>
      <c r="EX24" s="100">
        <f t="shared" ref="EX24:EY43" si="474">+EU24*100/ER24</f>
        <v>69.131501860501942</v>
      </c>
      <c r="EY24" s="100">
        <f t="shared" si="474"/>
        <v>62.824070403551893</v>
      </c>
      <c r="EZ24" s="98">
        <f t="shared" si="252"/>
        <v>2810</v>
      </c>
      <c r="FA24" s="98">
        <f t="shared" si="253"/>
        <v>2727</v>
      </c>
      <c r="FB24" s="98">
        <f t="shared" si="253"/>
        <v>5537</v>
      </c>
      <c r="FC24" s="101">
        <v>1706</v>
      </c>
      <c r="FD24" s="101">
        <v>1908</v>
      </c>
      <c r="FE24" s="98">
        <f t="shared" si="255"/>
        <v>3614</v>
      </c>
      <c r="FF24" s="100">
        <f t="shared" ref="FF24:FF43" si="475">+FC24*100/EZ24</f>
        <v>60.711743772241995</v>
      </c>
      <c r="FG24" s="100">
        <f t="shared" ref="FG24:FG43" si="476">+FD24*100/FA24</f>
        <v>69.966996699669963</v>
      </c>
      <c r="FH24" s="100">
        <f t="shared" ref="FH24:FH43" si="477">+FE24*100/FB24</f>
        <v>65.270001806032141</v>
      </c>
    </row>
    <row r="25" spans="1:164" ht="27" customHeight="1">
      <c r="A25" s="94">
        <v>16</v>
      </c>
      <c r="B25" s="118" t="s">
        <v>151</v>
      </c>
      <c r="C25" s="96">
        <v>75356</v>
      </c>
      <c r="D25" s="96">
        <v>66388</v>
      </c>
      <c r="E25" s="96">
        <f t="shared" si="182"/>
        <v>141744</v>
      </c>
      <c r="F25" s="96">
        <v>46549</v>
      </c>
      <c r="G25" s="96">
        <v>41265</v>
      </c>
      <c r="H25" s="96">
        <f t="shared" si="183"/>
        <v>87814</v>
      </c>
      <c r="I25" s="104"/>
      <c r="J25" s="104"/>
      <c r="K25" s="104"/>
      <c r="L25" s="97">
        <f t="shared" si="460"/>
        <v>46549</v>
      </c>
      <c r="M25" s="98">
        <f t="shared" si="461"/>
        <v>41265</v>
      </c>
      <c r="N25" s="98">
        <f t="shared" si="462"/>
        <v>87814</v>
      </c>
      <c r="O25" s="116">
        <f t="shared" si="187"/>
        <v>0.61772121662508628</v>
      </c>
      <c r="P25" s="116">
        <f t="shared" si="188"/>
        <v>0.62157317587515815</v>
      </c>
      <c r="Q25" s="116">
        <f t="shared" si="189"/>
        <v>0.61952534146066152</v>
      </c>
      <c r="R25" s="98">
        <v>81979</v>
      </c>
      <c r="S25" s="98">
        <v>55099</v>
      </c>
      <c r="T25" s="98">
        <f t="shared" ref="T25:T43" si="478">R25+S25</f>
        <v>137078</v>
      </c>
      <c r="U25" s="98">
        <v>37673</v>
      </c>
      <c r="V25" s="98">
        <v>28593</v>
      </c>
      <c r="W25" s="98">
        <f t="shared" si="258"/>
        <v>66266</v>
      </c>
      <c r="X25" s="103"/>
      <c r="Y25" s="103"/>
      <c r="Z25" s="103"/>
      <c r="AA25" s="98">
        <f t="shared" si="259"/>
        <v>37673</v>
      </c>
      <c r="AB25" s="98">
        <f t="shared" si="260"/>
        <v>28593</v>
      </c>
      <c r="AC25" s="98">
        <f t="shared" si="261"/>
        <v>66266</v>
      </c>
      <c r="AD25" s="116">
        <f t="shared" ref="AD25:AD30" si="479">AA25/R25</f>
        <v>0.45954451749838371</v>
      </c>
      <c r="AE25" s="116">
        <f t="shared" ref="AE25:AE30" si="480">AB25/S25</f>
        <v>0.51893863772482263</v>
      </c>
      <c r="AF25" s="116">
        <f t="shared" ref="AF25:AF43" si="481">AC25/T25</f>
        <v>0.48341819985701573</v>
      </c>
      <c r="AG25" s="98">
        <f t="shared" si="190"/>
        <v>157335</v>
      </c>
      <c r="AH25" s="98">
        <f t="shared" si="191"/>
        <v>121487</v>
      </c>
      <c r="AI25" s="98">
        <f t="shared" si="191"/>
        <v>278822</v>
      </c>
      <c r="AJ25" s="98">
        <f t="shared" si="193"/>
        <v>84222</v>
      </c>
      <c r="AK25" s="98">
        <f t="shared" si="194"/>
        <v>69858</v>
      </c>
      <c r="AL25" s="98">
        <f t="shared" si="194"/>
        <v>154080</v>
      </c>
      <c r="AM25" s="103"/>
      <c r="AN25" s="103"/>
      <c r="AO25" s="103"/>
      <c r="AP25" s="98">
        <f t="shared" si="195"/>
        <v>84222</v>
      </c>
      <c r="AQ25" s="98">
        <f t="shared" si="196"/>
        <v>69858</v>
      </c>
      <c r="AR25" s="98">
        <f t="shared" si="196"/>
        <v>154080</v>
      </c>
      <c r="AS25" s="116">
        <f t="shared" si="197"/>
        <v>0.53530365144437031</v>
      </c>
      <c r="AT25" s="116">
        <f t="shared" si="198"/>
        <v>0.57502448821684626</v>
      </c>
      <c r="AU25" s="116">
        <f t="shared" si="199"/>
        <v>0.55261062613423617</v>
      </c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12"/>
      <c r="BI25" s="112"/>
      <c r="BJ25" s="112"/>
      <c r="BK25" s="103"/>
      <c r="BL25" s="103"/>
      <c r="BM25" s="103"/>
      <c r="BN25" s="104"/>
      <c r="BO25" s="104"/>
      <c r="BP25" s="104"/>
      <c r="BQ25" s="104"/>
      <c r="BR25" s="104"/>
      <c r="BS25" s="104"/>
      <c r="BT25" s="104"/>
      <c r="BU25" s="104"/>
      <c r="BV25" s="104"/>
      <c r="BW25" s="112"/>
      <c r="BX25" s="112"/>
      <c r="BY25" s="112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12"/>
      <c r="CM25" s="112"/>
      <c r="CN25" s="112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12"/>
      <c r="DB25" s="112"/>
      <c r="DC25" s="112"/>
      <c r="DD25" s="103"/>
      <c r="DE25" s="103"/>
      <c r="DF25" s="103"/>
      <c r="DG25" s="104"/>
      <c r="DH25" s="104"/>
      <c r="DI25" s="104"/>
      <c r="DJ25" s="104"/>
      <c r="DK25" s="104"/>
      <c r="DL25" s="104"/>
      <c r="DM25" s="104"/>
      <c r="DN25" s="104"/>
      <c r="DO25" s="104"/>
      <c r="DP25" s="112"/>
      <c r="DQ25" s="112"/>
      <c r="DR25" s="112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12"/>
      <c r="EF25" s="112"/>
      <c r="EG25" s="112"/>
      <c r="EH25" s="98">
        <f t="shared" si="238"/>
        <v>84222</v>
      </c>
      <c r="EI25" s="98">
        <f t="shared" si="239"/>
        <v>69858</v>
      </c>
      <c r="EJ25" s="98">
        <f t="shared" si="239"/>
        <v>154080</v>
      </c>
      <c r="EK25" s="101">
        <v>21002</v>
      </c>
      <c r="EL25" s="101">
        <v>19957</v>
      </c>
      <c r="EM25" s="101">
        <f t="shared" si="241"/>
        <v>40959</v>
      </c>
      <c r="EN25" s="100">
        <f t="shared" si="470"/>
        <v>24.936477404953575</v>
      </c>
      <c r="EO25" s="100">
        <f t="shared" si="471"/>
        <v>28.56795213146669</v>
      </c>
      <c r="EP25" s="100">
        <f t="shared" si="472"/>
        <v>26.582943925233646</v>
      </c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</row>
    <row r="26" spans="1:164" ht="27" customHeight="1">
      <c r="A26" s="94">
        <v>17</v>
      </c>
      <c r="B26" s="118" t="s">
        <v>152</v>
      </c>
      <c r="C26" s="96">
        <v>184745</v>
      </c>
      <c r="D26" s="96">
        <v>195038</v>
      </c>
      <c r="E26" s="96">
        <f t="shared" si="182"/>
        <v>379783</v>
      </c>
      <c r="F26" s="96">
        <v>137459</v>
      </c>
      <c r="G26" s="96">
        <v>135209</v>
      </c>
      <c r="H26" s="96">
        <f t="shared" si="183"/>
        <v>272668</v>
      </c>
      <c r="I26" s="104"/>
      <c r="J26" s="104"/>
      <c r="K26" s="104"/>
      <c r="L26" s="97">
        <f t="shared" si="460"/>
        <v>137459</v>
      </c>
      <c r="M26" s="98">
        <f t="shared" si="461"/>
        <v>135209</v>
      </c>
      <c r="N26" s="98">
        <f t="shared" si="462"/>
        <v>272668</v>
      </c>
      <c r="O26" s="116">
        <f t="shared" si="187"/>
        <v>0.74404720019486315</v>
      </c>
      <c r="P26" s="116">
        <f t="shared" si="188"/>
        <v>0.69324439340026045</v>
      </c>
      <c r="Q26" s="116">
        <f t="shared" si="189"/>
        <v>0.71795735986076259</v>
      </c>
      <c r="R26" s="98">
        <v>43767</v>
      </c>
      <c r="S26" s="98">
        <v>39220</v>
      </c>
      <c r="T26" s="98">
        <f t="shared" si="478"/>
        <v>82987</v>
      </c>
      <c r="U26" s="98">
        <v>23518</v>
      </c>
      <c r="V26" s="98">
        <v>18101</v>
      </c>
      <c r="W26" s="98">
        <f t="shared" si="258"/>
        <v>41619</v>
      </c>
      <c r="X26" s="103"/>
      <c r="Y26" s="103"/>
      <c r="Z26" s="103"/>
      <c r="AA26" s="98">
        <f t="shared" si="259"/>
        <v>23518</v>
      </c>
      <c r="AB26" s="98">
        <f t="shared" si="260"/>
        <v>18101</v>
      </c>
      <c r="AC26" s="98">
        <f t="shared" si="261"/>
        <v>41619</v>
      </c>
      <c r="AD26" s="116">
        <f t="shared" si="479"/>
        <v>0.53734548861014009</v>
      </c>
      <c r="AE26" s="116">
        <f t="shared" si="480"/>
        <v>0.46152473227944923</v>
      </c>
      <c r="AF26" s="116">
        <f t="shared" si="481"/>
        <v>0.50151228505669565</v>
      </c>
      <c r="AG26" s="98">
        <f t="shared" si="190"/>
        <v>228512</v>
      </c>
      <c r="AH26" s="98">
        <f t="shared" si="191"/>
        <v>234258</v>
      </c>
      <c r="AI26" s="98">
        <f t="shared" si="191"/>
        <v>462770</v>
      </c>
      <c r="AJ26" s="98">
        <f t="shared" si="193"/>
        <v>160977</v>
      </c>
      <c r="AK26" s="98">
        <f t="shared" si="194"/>
        <v>153310</v>
      </c>
      <c r="AL26" s="98">
        <f t="shared" si="194"/>
        <v>314287</v>
      </c>
      <c r="AM26" s="103"/>
      <c r="AN26" s="103"/>
      <c r="AO26" s="103"/>
      <c r="AP26" s="98">
        <f t="shared" si="195"/>
        <v>160977</v>
      </c>
      <c r="AQ26" s="98">
        <f t="shared" si="196"/>
        <v>153310</v>
      </c>
      <c r="AR26" s="98">
        <f t="shared" si="196"/>
        <v>314287</v>
      </c>
      <c r="AS26" s="116">
        <f t="shared" si="197"/>
        <v>0.70445753395882926</v>
      </c>
      <c r="AT26" s="116">
        <f t="shared" si="198"/>
        <v>0.65444936779106799</v>
      </c>
      <c r="AU26" s="116">
        <f t="shared" si="199"/>
        <v>0.679142986796897</v>
      </c>
      <c r="AV26" s="99">
        <v>22504</v>
      </c>
      <c r="AW26" s="99">
        <v>22404</v>
      </c>
      <c r="AX26" s="99">
        <f t="shared" si="200"/>
        <v>44908</v>
      </c>
      <c r="AY26" s="99">
        <v>15869</v>
      </c>
      <c r="AZ26" s="99">
        <v>13748</v>
      </c>
      <c r="BA26" s="99">
        <f t="shared" si="201"/>
        <v>29617</v>
      </c>
      <c r="BB26" s="104"/>
      <c r="BC26" s="104"/>
      <c r="BD26" s="104"/>
      <c r="BE26" s="99">
        <f t="shared" si="202"/>
        <v>15869</v>
      </c>
      <c r="BF26" s="99">
        <f t="shared" si="203"/>
        <v>13748</v>
      </c>
      <c r="BG26" s="99">
        <f t="shared" si="203"/>
        <v>29617</v>
      </c>
      <c r="BH26" s="116">
        <f t="shared" si="205"/>
        <v>0.70516352648418057</v>
      </c>
      <c r="BI26" s="116">
        <f t="shared" si="206"/>
        <v>0.61364042135332975</v>
      </c>
      <c r="BJ26" s="116">
        <f t="shared" si="207"/>
        <v>0.65950387458804671</v>
      </c>
      <c r="BK26" s="98">
        <v>6122</v>
      </c>
      <c r="BL26" s="98">
        <v>5666</v>
      </c>
      <c r="BM26" s="98">
        <f t="shared" si="266"/>
        <v>11788</v>
      </c>
      <c r="BN26" s="99">
        <v>3050</v>
      </c>
      <c r="BO26" s="99">
        <v>2281</v>
      </c>
      <c r="BP26" s="99">
        <f t="shared" si="267"/>
        <v>5331</v>
      </c>
      <c r="BQ26" s="104"/>
      <c r="BR26" s="104"/>
      <c r="BS26" s="104"/>
      <c r="BT26" s="99">
        <f t="shared" ref="BT26:BT43" si="482">+BN26+BQ26</f>
        <v>3050</v>
      </c>
      <c r="BU26" s="99">
        <f t="shared" si="268"/>
        <v>2281</v>
      </c>
      <c r="BV26" s="99">
        <f t="shared" si="268"/>
        <v>5331</v>
      </c>
      <c r="BW26" s="116">
        <f t="shared" si="270"/>
        <v>0.49820320156811498</v>
      </c>
      <c r="BX26" s="116">
        <f t="shared" si="271"/>
        <v>0.40257677373808681</v>
      </c>
      <c r="BY26" s="116">
        <f t="shared" si="272"/>
        <v>0.45223956565999324</v>
      </c>
      <c r="BZ26" s="98">
        <f t="shared" si="463"/>
        <v>28626</v>
      </c>
      <c r="CA26" s="98">
        <f t="shared" si="464"/>
        <v>28070</v>
      </c>
      <c r="CB26" s="98">
        <f t="shared" si="465"/>
        <v>56696</v>
      </c>
      <c r="CC26" s="98">
        <f t="shared" si="211"/>
        <v>18919</v>
      </c>
      <c r="CD26" s="98">
        <f t="shared" si="212"/>
        <v>16029</v>
      </c>
      <c r="CE26" s="98">
        <f t="shared" si="213"/>
        <v>34948</v>
      </c>
      <c r="CF26" s="103"/>
      <c r="CG26" s="103"/>
      <c r="CH26" s="103"/>
      <c r="CI26" s="98">
        <f t="shared" si="466"/>
        <v>18919</v>
      </c>
      <c r="CJ26" s="98">
        <f t="shared" si="467"/>
        <v>16029</v>
      </c>
      <c r="CK26" s="98">
        <f t="shared" si="468"/>
        <v>34948</v>
      </c>
      <c r="CL26" s="116">
        <f t="shared" si="454"/>
        <v>0.66090267588905194</v>
      </c>
      <c r="CM26" s="116">
        <f t="shared" si="218"/>
        <v>0.57103669397933732</v>
      </c>
      <c r="CN26" s="116">
        <f t="shared" si="219"/>
        <v>0.61641032877098911</v>
      </c>
      <c r="CO26" s="99">
        <v>42485</v>
      </c>
      <c r="CP26" s="99">
        <v>44999</v>
      </c>
      <c r="CQ26" s="99">
        <f t="shared" si="220"/>
        <v>87484</v>
      </c>
      <c r="CR26" s="99">
        <v>29146</v>
      </c>
      <c r="CS26" s="99">
        <v>28391</v>
      </c>
      <c r="CT26" s="99">
        <f t="shared" si="221"/>
        <v>57537</v>
      </c>
      <c r="CU26" s="104"/>
      <c r="CV26" s="104"/>
      <c r="CW26" s="104"/>
      <c r="CX26" s="99">
        <f t="shared" si="222"/>
        <v>29146</v>
      </c>
      <c r="CY26" s="99">
        <f t="shared" si="223"/>
        <v>28391</v>
      </c>
      <c r="CZ26" s="99">
        <f t="shared" si="223"/>
        <v>57537</v>
      </c>
      <c r="DA26" s="116">
        <f t="shared" si="273"/>
        <v>0.6860303636577616</v>
      </c>
      <c r="DB26" s="116">
        <f t="shared" si="225"/>
        <v>0.63092513166959263</v>
      </c>
      <c r="DC26" s="116">
        <f t="shared" si="226"/>
        <v>0.65768597686434094</v>
      </c>
      <c r="DD26" s="98">
        <v>13534</v>
      </c>
      <c r="DE26" s="98">
        <v>13892</v>
      </c>
      <c r="DF26" s="98">
        <f t="shared" si="274"/>
        <v>27426</v>
      </c>
      <c r="DG26" s="99">
        <v>6894</v>
      </c>
      <c r="DH26" s="99">
        <v>6011</v>
      </c>
      <c r="DI26" s="99">
        <f t="shared" si="275"/>
        <v>12905</v>
      </c>
      <c r="DJ26" s="104"/>
      <c r="DK26" s="104"/>
      <c r="DL26" s="104"/>
      <c r="DM26" s="99">
        <f t="shared" si="276"/>
        <v>6894</v>
      </c>
      <c r="DN26" s="99">
        <f t="shared" si="277"/>
        <v>6011</v>
      </c>
      <c r="DO26" s="99">
        <f t="shared" si="277"/>
        <v>12905</v>
      </c>
      <c r="DP26" s="116">
        <f t="shared" si="279"/>
        <v>0.50938377419831538</v>
      </c>
      <c r="DQ26" s="116">
        <f t="shared" si="280"/>
        <v>0.43269507630290815</v>
      </c>
      <c r="DR26" s="116">
        <f t="shared" si="281"/>
        <v>0.47053890468898124</v>
      </c>
      <c r="DS26" s="98">
        <f t="shared" si="227"/>
        <v>56019</v>
      </c>
      <c r="DT26" s="98">
        <f t="shared" si="228"/>
        <v>58891</v>
      </c>
      <c r="DU26" s="98">
        <f t="shared" si="229"/>
        <v>114910</v>
      </c>
      <c r="DV26" s="98">
        <f t="shared" si="230"/>
        <v>36040</v>
      </c>
      <c r="DW26" s="98">
        <f t="shared" si="231"/>
        <v>34402</v>
      </c>
      <c r="DX26" s="98">
        <f t="shared" si="232"/>
        <v>70442</v>
      </c>
      <c r="DY26" s="103"/>
      <c r="DZ26" s="103"/>
      <c r="EA26" s="103"/>
      <c r="EB26" s="98">
        <f t="shared" si="233"/>
        <v>36040</v>
      </c>
      <c r="EC26" s="98">
        <f t="shared" si="234"/>
        <v>34402</v>
      </c>
      <c r="ED26" s="98">
        <f t="shared" si="235"/>
        <v>70442</v>
      </c>
      <c r="EE26" s="116">
        <f t="shared" si="459"/>
        <v>0.64335314803905819</v>
      </c>
      <c r="EF26" s="116">
        <f t="shared" si="236"/>
        <v>0.58416396393336845</v>
      </c>
      <c r="EG26" s="116">
        <f t="shared" si="237"/>
        <v>0.61301888434426943</v>
      </c>
      <c r="EH26" s="98">
        <f t="shared" si="238"/>
        <v>160977</v>
      </c>
      <c r="EI26" s="98">
        <f t="shared" si="239"/>
        <v>153310</v>
      </c>
      <c r="EJ26" s="98">
        <f t="shared" si="239"/>
        <v>314287</v>
      </c>
      <c r="EK26" s="98">
        <v>65663</v>
      </c>
      <c r="EL26" s="98">
        <v>59738</v>
      </c>
      <c r="EM26" s="98">
        <f t="shared" si="241"/>
        <v>125401</v>
      </c>
      <c r="EN26" s="100">
        <f t="shared" si="470"/>
        <v>40.790299235294484</v>
      </c>
      <c r="EO26" s="100">
        <f t="shared" si="471"/>
        <v>38.965494749200964</v>
      </c>
      <c r="EP26" s="100">
        <f t="shared" si="472"/>
        <v>39.900154953911553</v>
      </c>
      <c r="EQ26" s="98">
        <f t="shared" si="245"/>
        <v>18919</v>
      </c>
      <c r="ER26" s="98">
        <f t="shared" si="246"/>
        <v>16029</v>
      </c>
      <c r="ES26" s="98">
        <f t="shared" si="246"/>
        <v>34948</v>
      </c>
      <c r="ET26" s="98">
        <v>6526</v>
      </c>
      <c r="EU26" s="98">
        <v>4954</v>
      </c>
      <c r="EV26" s="98">
        <f t="shared" si="248"/>
        <v>11480</v>
      </c>
      <c r="EW26" s="100">
        <f t="shared" si="473"/>
        <v>34.494423595327447</v>
      </c>
      <c r="EX26" s="100">
        <f t="shared" si="474"/>
        <v>30.906482001372513</v>
      </c>
      <c r="EY26" s="100">
        <f t="shared" si="474"/>
        <v>32.848803937278241</v>
      </c>
      <c r="EZ26" s="98">
        <f t="shared" si="252"/>
        <v>36040</v>
      </c>
      <c r="FA26" s="98">
        <f t="shared" si="253"/>
        <v>34402</v>
      </c>
      <c r="FB26" s="98">
        <f t="shared" si="253"/>
        <v>70442</v>
      </c>
      <c r="FC26" s="98">
        <v>11880</v>
      </c>
      <c r="FD26" s="98">
        <v>11120</v>
      </c>
      <c r="FE26" s="98">
        <f t="shared" si="255"/>
        <v>23000</v>
      </c>
      <c r="FF26" s="100">
        <f t="shared" si="475"/>
        <v>32.963374028856826</v>
      </c>
      <c r="FG26" s="100">
        <f t="shared" si="476"/>
        <v>32.323702110342424</v>
      </c>
      <c r="FH26" s="100">
        <f t="shared" si="477"/>
        <v>32.650975270435254</v>
      </c>
    </row>
    <row r="27" spans="1:164" ht="28.5">
      <c r="A27" s="94">
        <v>18</v>
      </c>
      <c r="B27" s="118" t="s">
        <v>153</v>
      </c>
      <c r="C27" s="96">
        <v>434503</v>
      </c>
      <c r="D27" s="96">
        <v>394363</v>
      </c>
      <c r="E27" s="96">
        <f t="shared" si="182"/>
        <v>828866</v>
      </c>
      <c r="F27" s="96">
        <v>284727</v>
      </c>
      <c r="G27" s="96">
        <v>296734</v>
      </c>
      <c r="H27" s="96">
        <f t="shared" si="183"/>
        <v>581461</v>
      </c>
      <c r="I27" s="96">
        <v>66564</v>
      </c>
      <c r="J27" s="96">
        <v>45902</v>
      </c>
      <c r="K27" s="96">
        <f t="shared" si="443"/>
        <v>112466</v>
      </c>
      <c r="L27" s="97">
        <f t="shared" si="460"/>
        <v>351291</v>
      </c>
      <c r="M27" s="98">
        <f t="shared" si="461"/>
        <v>342636</v>
      </c>
      <c r="N27" s="98">
        <f t="shared" si="462"/>
        <v>693927</v>
      </c>
      <c r="O27" s="116">
        <f t="shared" si="187"/>
        <v>0.80848923942987738</v>
      </c>
      <c r="P27" s="116">
        <f t="shared" si="188"/>
        <v>0.86883404376171192</v>
      </c>
      <c r="Q27" s="116">
        <f t="shared" si="189"/>
        <v>0.83720046424874472</v>
      </c>
      <c r="R27" s="98">
        <v>21465</v>
      </c>
      <c r="S27" s="98">
        <v>5695</v>
      </c>
      <c r="T27" s="98">
        <f t="shared" si="478"/>
        <v>27160</v>
      </c>
      <c r="U27" s="98">
        <v>806</v>
      </c>
      <c r="V27" s="98">
        <v>316</v>
      </c>
      <c r="W27" s="98">
        <f t="shared" si="258"/>
        <v>1122</v>
      </c>
      <c r="X27" s="98">
        <v>2016</v>
      </c>
      <c r="Y27" s="98">
        <v>689</v>
      </c>
      <c r="Z27" s="98">
        <f t="shared" ref="Z27:Z40" si="483">X27+Y27</f>
        <v>2705</v>
      </c>
      <c r="AA27" s="98">
        <f t="shared" si="259"/>
        <v>2822</v>
      </c>
      <c r="AB27" s="98">
        <f t="shared" si="260"/>
        <v>1005</v>
      </c>
      <c r="AC27" s="98">
        <f t="shared" si="261"/>
        <v>3827</v>
      </c>
      <c r="AD27" s="116">
        <f t="shared" si="479"/>
        <v>0.13146983461448869</v>
      </c>
      <c r="AE27" s="116">
        <f t="shared" si="480"/>
        <v>0.17647058823529413</v>
      </c>
      <c r="AF27" s="116">
        <f t="shared" si="481"/>
        <v>0.14090574374079529</v>
      </c>
      <c r="AG27" s="98">
        <f t="shared" si="190"/>
        <v>455968</v>
      </c>
      <c r="AH27" s="98">
        <f t="shared" si="191"/>
        <v>400058</v>
      </c>
      <c r="AI27" s="98">
        <f t="shared" si="191"/>
        <v>856026</v>
      </c>
      <c r="AJ27" s="98">
        <f t="shared" si="193"/>
        <v>285533</v>
      </c>
      <c r="AK27" s="98">
        <f t="shared" si="194"/>
        <v>297050</v>
      </c>
      <c r="AL27" s="98">
        <f t="shared" si="194"/>
        <v>582583</v>
      </c>
      <c r="AM27" s="98">
        <f t="shared" si="447"/>
        <v>68580</v>
      </c>
      <c r="AN27" s="98">
        <f t="shared" si="265"/>
        <v>46591</v>
      </c>
      <c r="AO27" s="98">
        <f t="shared" si="265"/>
        <v>115171</v>
      </c>
      <c r="AP27" s="98">
        <f t="shared" si="195"/>
        <v>354113</v>
      </c>
      <c r="AQ27" s="98">
        <f t="shared" si="196"/>
        <v>343641</v>
      </c>
      <c r="AR27" s="98">
        <f t="shared" si="196"/>
        <v>697754</v>
      </c>
      <c r="AS27" s="116">
        <f t="shared" si="197"/>
        <v>0.77661809600673737</v>
      </c>
      <c r="AT27" s="116">
        <f t="shared" si="198"/>
        <v>0.85897794819751139</v>
      </c>
      <c r="AU27" s="116">
        <f t="shared" si="199"/>
        <v>0.81510841960407743</v>
      </c>
      <c r="AV27" s="99">
        <v>82799</v>
      </c>
      <c r="AW27" s="99">
        <v>73748</v>
      </c>
      <c r="AX27" s="99">
        <f t="shared" si="200"/>
        <v>156547</v>
      </c>
      <c r="AY27" s="99">
        <v>48918</v>
      </c>
      <c r="AZ27" s="99">
        <v>48772</v>
      </c>
      <c r="BA27" s="99">
        <f t="shared" si="201"/>
        <v>97690</v>
      </c>
      <c r="BB27" s="99">
        <v>14209</v>
      </c>
      <c r="BC27" s="99">
        <v>10915</v>
      </c>
      <c r="BD27" s="99">
        <f t="shared" si="448"/>
        <v>25124</v>
      </c>
      <c r="BE27" s="99">
        <f t="shared" si="202"/>
        <v>63127</v>
      </c>
      <c r="BF27" s="99">
        <f t="shared" si="203"/>
        <v>59687</v>
      </c>
      <c r="BG27" s="99">
        <f t="shared" si="203"/>
        <v>122814</v>
      </c>
      <c r="BH27" s="116">
        <f t="shared" si="205"/>
        <v>0.76241258952402802</v>
      </c>
      <c r="BI27" s="116">
        <f t="shared" si="206"/>
        <v>0.80933720236480988</v>
      </c>
      <c r="BJ27" s="116">
        <f t="shared" si="207"/>
        <v>0.78451838744913671</v>
      </c>
      <c r="BK27" s="98">
        <v>5467</v>
      </c>
      <c r="BL27" s="98">
        <v>1766</v>
      </c>
      <c r="BM27" s="98">
        <f t="shared" si="266"/>
        <v>7233</v>
      </c>
      <c r="BN27" s="99">
        <v>154</v>
      </c>
      <c r="BO27" s="99">
        <v>49</v>
      </c>
      <c r="BP27" s="99">
        <f t="shared" si="267"/>
        <v>203</v>
      </c>
      <c r="BQ27" s="99">
        <v>471</v>
      </c>
      <c r="BR27" s="99">
        <v>177</v>
      </c>
      <c r="BS27" s="99">
        <f t="shared" ref="BS27:BS40" si="484">BQ27+BR27</f>
        <v>648</v>
      </c>
      <c r="BT27" s="99">
        <f t="shared" ref="BT27:BT30" si="485">+BN27+BQ27</f>
        <v>625</v>
      </c>
      <c r="BU27" s="99">
        <f t="shared" ref="BU27:BU30" si="486">+BO27+BR27</f>
        <v>226</v>
      </c>
      <c r="BV27" s="99">
        <f t="shared" ref="BV27:BV30" si="487">+BP27+BS27</f>
        <v>851</v>
      </c>
      <c r="BW27" s="116">
        <f t="shared" si="270"/>
        <v>0.11432229742088897</v>
      </c>
      <c r="BX27" s="116">
        <f t="shared" si="271"/>
        <v>0.12797281993204984</v>
      </c>
      <c r="BY27" s="116">
        <f t="shared" si="272"/>
        <v>0.1176551914834785</v>
      </c>
      <c r="BZ27" s="98">
        <f t="shared" si="463"/>
        <v>88266</v>
      </c>
      <c r="CA27" s="98">
        <f t="shared" si="464"/>
        <v>75514</v>
      </c>
      <c r="CB27" s="98">
        <f t="shared" si="465"/>
        <v>163780</v>
      </c>
      <c r="CC27" s="98">
        <f t="shared" si="211"/>
        <v>49072</v>
      </c>
      <c r="CD27" s="98">
        <f t="shared" si="212"/>
        <v>48821</v>
      </c>
      <c r="CE27" s="98">
        <f t="shared" si="213"/>
        <v>97893</v>
      </c>
      <c r="CF27" s="98">
        <f t="shared" si="449"/>
        <v>14680</v>
      </c>
      <c r="CG27" s="98">
        <f t="shared" si="450"/>
        <v>11092</v>
      </c>
      <c r="CH27" s="98">
        <f t="shared" si="451"/>
        <v>25772</v>
      </c>
      <c r="CI27" s="98">
        <f t="shared" si="466"/>
        <v>63752</v>
      </c>
      <c r="CJ27" s="98">
        <f t="shared" si="467"/>
        <v>59913</v>
      </c>
      <c r="CK27" s="98">
        <f t="shared" si="468"/>
        <v>123665</v>
      </c>
      <c r="CL27" s="116">
        <f t="shared" si="454"/>
        <v>0.72227131624861218</v>
      </c>
      <c r="CM27" s="116">
        <f t="shared" si="218"/>
        <v>0.79340254787191777</v>
      </c>
      <c r="CN27" s="116">
        <f t="shared" si="219"/>
        <v>0.75506777384296009</v>
      </c>
      <c r="CO27" s="99">
        <v>31091</v>
      </c>
      <c r="CP27" s="99">
        <v>26965</v>
      </c>
      <c r="CQ27" s="99">
        <f t="shared" si="220"/>
        <v>58056</v>
      </c>
      <c r="CR27" s="99">
        <v>18809</v>
      </c>
      <c r="CS27" s="99">
        <v>18603</v>
      </c>
      <c r="CT27" s="99">
        <f t="shared" si="221"/>
        <v>37412</v>
      </c>
      <c r="CU27" s="99">
        <v>5425</v>
      </c>
      <c r="CV27" s="99">
        <v>4027</v>
      </c>
      <c r="CW27" s="99">
        <f t="shared" si="455"/>
        <v>9452</v>
      </c>
      <c r="CX27" s="99">
        <f t="shared" si="222"/>
        <v>24234</v>
      </c>
      <c r="CY27" s="99">
        <f t="shared" si="223"/>
        <v>22630</v>
      </c>
      <c r="CZ27" s="99">
        <f t="shared" si="223"/>
        <v>46864</v>
      </c>
      <c r="DA27" s="116">
        <f t="shared" si="273"/>
        <v>0.77945386124601979</v>
      </c>
      <c r="DB27" s="116">
        <f t="shared" si="225"/>
        <v>0.83923604672723906</v>
      </c>
      <c r="DC27" s="116">
        <f t="shared" si="226"/>
        <v>0.80722061457902716</v>
      </c>
      <c r="DD27" s="98">
        <v>1416</v>
      </c>
      <c r="DE27" s="98">
        <v>329</v>
      </c>
      <c r="DF27" s="98">
        <f t="shared" si="274"/>
        <v>1745</v>
      </c>
      <c r="DG27" s="99">
        <v>42</v>
      </c>
      <c r="DH27" s="99">
        <v>12</v>
      </c>
      <c r="DI27" s="99">
        <f t="shared" si="275"/>
        <v>54</v>
      </c>
      <c r="DJ27" s="99">
        <v>135</v>
      </c>
      <c r="DK27" s="99">
        <v>40</v>
      </c>
      <c r="DL27" s="99">
        <f t="shared" ref="DL27:DL40" si="488">DJ27+DK27</f>
        <v>175</v>
      </c>
      <c r="DM27" s="99">
        <f t="shared" si="276"/>
        <v>177</v>
      </c>
      <c r="DN27" s="99">
        <f t="shared" si="277"/>
        <v>52</v>
      </c>
      <c r="DO27" s="99">
        <f t="shared" si="277"/>
        <v>229</v>
      </c>
      <c r="DP27" s="116">
        <f t="shared" si="279"/>
        <v>0.125</v>
      </c>
      <c r="DQ27" s="116">
        <f t="shared" si="280"/>
        <v>0.1580547112462006</v>
      </c>
      <c r="DR27" s="116">
        <f t="shared" si="281"/>
        <v>0.13123209169054442</v>
      </c>
      <c r="DS27" s="98">
        <f t="shared" si="227"/>
        <v>32507</v>
      </c>
      <c r="DT27" s="98">
        <f t="shared" si="228"/>
        <v>27294</v>
      </c>
      <c r="DU27" s="98">
        <f t="shared" si="229"/>
        <v>59801</v>
      </c>
      <c r="DV27" s="98">
        <f t="shared" si="230"/>
        <v>18851</v>
      </c>
      <c r="DW27" s="98">
        <f t="shared" si="231"/>
        <v>18615</v>
      </c>
      <c r="DX27" s="98">
        <f t="shared" si="232"/>
        <v>37466</v>
      </c>
      <c r="DY27" s="98">
        <f t="shared" si="456"/>
        <v>5560</v>
      </c>
      <c r="DZ27" s="98">
        <f t="shared" si="457"/>
        <v>4067</v>
      </c>
      <c r="EA27" s="98">
        <f t="shared" si="458"/>
        <v>9627</v>
      </c>
      <c r="EB27" s="98">
        <f t="shared" si="233"/>
        <v>24411</v>
      </c>
      <c r="EC27" s="98">
        <f t="shared" si="234"/>
        <v>22682</v>
      </c>
      <c r="ED27" s="98">
        <f t="shared" si="235"/>
        <v>47093</v>
      </c>
      <c r="EE27" s="116">
        <f t="shared" si="459"/>
        <v>0.75094595010305476</v>
      </c>
      <c r="EF27" s="116">
        <f t="shared" si="236"/>
        <v>0.83102513372902465</v>
      </c>
      <c r="EG27" s="116">
        <f t="shared" si="237"/>
        <v>0.78749519238808718</v>
      </c>
      <c r="EH27" s="98">
        <f t="shared" si="238"/>
        <v>354113</v>
      </c>
      <c r="EI27" s="98">
        <f t="shared" si="239"/>
        <v>343641</v>
      </c>
      <c r="EJ27" s="98">
        <f t="shared" si="239"/>
        <v>697754</v>
      </c>
      <c r="EK27" s="98">
        <v>193561</v>
      </c>
      <c r="EL27" s="98">
        <v>233022</v>
      </c>
      <c r="EM27" s="98">
        <f t="shared" si="241"/>
        <v>426583</v>
      </c>
      <c r="EN27" s="100">
        <f t="shared" si="470"/>
        <v>54.660800365984869</v>
      </c>
      <c r="EO27" s="100">
        <f t="shared" si="471"/>
        <v>67.809720027586934</v>
      </c>
      <c r="EP27" s="100">
        <f t="shared" si="472"/>
        <v>61.136589686336443</v>
      </c>
      <c r="EQ27" s="98">
        <f t="shared" si="245"/>
        <v>63752</v>
      </c>
      <c r="ER27" s="98">
        <f t="shared" si="246"/>
        <v>59913</v>
      </c>
      <c r="ES27" s="98">
        <f t="shared" si="246"/>
        <v>123665</v>
      </c>
      <c r="ET27" s="98">
        <v>30451</v>
      </c>
      <c r="EU27" s="98">
        <v>34325</v>
      </c>
      <c r="EV27" s="98">
        <f t="shared" si="248"/>
        <v>64776</v>
      </c>
      <c r="EW27" s="100">
        <f t="shared" si="473"/>
        <v>47.76477600702723</v>
      </c>
      <c r="EX27" s="100">
        <f t="shared" si="474"/>
        <v>57.291405871847509</v>
      </c>
      <c r="EY27" s="100">
        <f t="shared" si="474"/>
        <v>52.38022075769215</v>
      </c>
      <c r="EZ27" s="98">
        <f t="shared" si="252"/>
        <v>24411</v>
      </c>
      <c r="FA27" s="98">
        <f t="shared" si="253"/>
        <v>22682</v>
      </c>
      <c r="FB27" s="98">
        <f t="shared" si="253"/>
        <v>47093</v>
      </c>
      <c r="FC27" s="98">
        <v>11362</v>
      </c>
      <c r="FD27" s="98">
        <v>13302</v>
      </c>
      <c r="FE27" s="98">
        <f t="shared" si="255"/>
        <v>24664</v>
      </c>
      <c r="FF27" s="100">
        <f t="shared" si="475"/>
        <v>46.544590553439022</v>
      </c>
      <c r="FG27" s="100">
        <f t="shared" si="476"/>
        <v>58.645622079181727</v>
      </c>
      <c r="FH27" s="100">
        <f t="shared" si="477"/>
        <v>52.372964134797101</v>
      </c>
    </row>
    <row r="28" spans="1:164" ht="28.5">
      <c r="A28" s="94">
        <v>19</v>
      </c>
      <c r="B28" s="118" t="s">
        <v>154</v>
      </c>
      <c r="C28" s="96">
        <v>231537</v>
      </c>
      <c r="D28" s="96">
        <v>223916</v>
      </c>
      <c r="E28" s="96">
        <f t="shared" si="182"/>
        <v>455453</v>
      </c>
      <c r="F28" s="96">
        <v>220053</v>
      </c>
      <c r="G28" s="96">
        <v>217103</v>
      </c>
      <c r="H28" s="96">
        <f t="shared" si="183"/>
        <v>437156</v>
      </c>
      <c r="I28" s="96">
        <v>7454</v>
      </c>
      <c r="J28" s="96">
        <v>4715</v>
      </c>
      <c r="K28" s="96">
        <f t="shared" si="443"/>
        <v>12169</v>
      </c>
      <c r="L28" s="97">
        <f t="shared" si="460"/>
        <v>227507</v>
      </c>
      <c r="M28" s="98">
        <f t="shared" si="461"/>
        <v>221818</v>
      </c>
      <c r="N28" s="98">
        <f t="shared" si="462"/>
        <v>449325</v>
      </c>
      <c r="O28" s="116">
        <f t="shared" si="187"/>
        <v>0.98259457451724774</v>
      </c>
      <c r="P28" s="116">
        <f t="shared" si="188"/>
        <v>0.99063041497704496</v>
      </c>
      <c r="Q28" s="116">
        <f t="shared" si="189"/>
        <v>0.9865452637264438</v>
      </c>
      <c r="R28" s="98">
        <v>9367</v>
      </c>
      <c r="S28" s="98">
        <v>5640</v>
      </c>
      <c r="T28" s="98">
        <f t="shared" si="478"/>
        <v>15007</v>
      </c>
      <c r="U28" s="98">
        <v>7454</v>
      </c>
      <c r="V28" s="98">
        <v>4715</v>
      </c>
      <c r="W28" s="98">
        <f t="shared" si="258"/>
        <v>12169</v>
      </c>
      <c r="X28" s="103"/>
      <c r="Y28" s="103"/>
      <c r="Z28" s="103"/>
      <c r="AA28" s="98">
        <f t="shared" si="259"/>
        <v>7454</v>
      </c>
      <c r="AB28" s="98">
        <f t="shared" si="260"/>
        <v>4715</v>
      </c>
      <c r="AC28" s="98">
        <f t="shared" si="261"/>
        <v>12169</v>
      </c>
      <c r="AD28" s="116">
        <f t="shared" si="479"/>
        <v>0.79577239244155007</v>
      </c>
      <c r="AE28" s="116">
        <f t="shared" si="480"/>
        <v>0.83599290780141844</v>
      </c>
      <c r="AF28" s="116">
        <f t="shared" si="481"/>
        <v>0.81088825214899718</v>
      </c>
      <c r="AG28" s="98">
        <f t="shared" si="190"/>
        <v>240904</v>
      </c>
      <c r="AH28" s="98">
        <f t="shared" si="191"/>
        <v>229556</v>
      </c>
      <c r="AI28" s="98">
        <f t="shared" si="191"/>
        <v>470460</v>
      </c>
      <c r="AJ28" s="98">
        <f t="shared" si="193"/>
        <v>227507</v>
      </c>
      <c r="AK28" s="98">
        <f t="shared" si="194"/>
        <v>221818</v>
      </c>
      <c r="AL28" s="98">
        <f t="shared" si="194"/>
        <v>449325</v>
      </c>
      <c r="AM28" s="98">
        <f t="shared" si="447"/>
        <v>7454</v>
      </c>
      <c r="AN28" s="98">
        <f t="shared" si="265"/>
        <v>4715</v>
      </c>
      <c r="AO28" s="98">
        <f t="shared" si="265"/>
        <v>12169</v>
      </c>
      <c r="AP28" s="98">
        <f t="shared" si="195"/>
        <v>234961</v>
      </c>
      <c r="AQ28" s="98">
        <f t="shared" si="196"/>
        <v>226533</v>
      </c>
      <c r="AR28" s="98">
        <f t="shared" si="196"/>
        <v>461494</v>
      </c>
      <c r="AS28" s="116">
        <f t="shared" si="197"/>
        <v>0.97533042207684384</v>
      </c>
      <c r="AT28" s="116">
        <f t="shared" si="198"/>
        <v>0.98683110003659236</v>
      </c>
      <c r="AU28" s="116">
        <f t="shared" si="199"/>
        <v>0.98094205671045365</v>
      </c>
      <c r="AV28" s="99">
        <v>23902</v>
      </c>
      <c r="AW28" s="99">
        <v>22842</v>
      </c>
      <c r="AX28" s="99">
        <f t="shared" si="200"/>
        <v>46744</v>
      </c>
      <c r="AY28" s="99">
        <v>21533</v>
      </c>
      <c r="AZ28" s="99">
        <v>21493</v>
      </c>
      <c r="BA28" s="99">
        <f t="shared" si="201"/>
        <v>43026</v>
      </c>
      <c r="BB28" s="99">
        <v>1437</v>
      </c>
      <c r="BC28" s="99">
        <v>956</v>
      </c>
      <c r="BD28" s="99">
        <f t="shared" si="448"/>
        <v>2393</v>
      </c>
      <c r="BE28" s="99">
        <f t="shared" si="202"/>
        <v>22970</v>
      </c>
      <c r="BF28" s="99">
        <f t="shared" si="203"/>
        <v>22449</v>
      </c>
      <c r="BG28" s="99">
        <f t="shared" si="203"/>
        <v>45419</v>
      </c>
      <c r="BH28" s="116">
        <f t="shared" si="205"/>
        <v>0.96100744707555852</v>
      </c>
      <c r="BI28" s="116">
        <f t="shared" si="206"/>
        <v>0.98279485158917779</v>
      </c>
      <c r="BJ28" s="116">
        <f t="shared" si="207"/>
        <v>0.97165411603628271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98">
        <f t="shared" si="463"/>
        <v>23902</v>
      </c>
      <c r="CA28" s="98">
        <f t="shared" si="464"/>
        <v>22842</v>
      </c>
      <c r="CB28" s="98">
        <f t="shared" si="465"/>
        <v>46744</v>
      </c>
      <c r="CC28" s="98">
        <f t="shared" si="211"/>
        <v>21533</v>
      </c>
      <c r="CD28" s="98">
        <f t="shared" si="212"/>
        <v>21493</v>
      </c>
      <c r="CE28" s="98">
        <f t="shared" si="213"/>
        <v>43026</v>
      </c>
      <c r="CF28" s="98">
        <f t="shared" si="449"/>
        <v>1437</v>
      </c>
      <c r="CG28" s="98">
        <f t="shared" si="450"/>
        <v>956</v>
      </c>
      <c r="CH28" s="98">
        <f t="shared" si="451"/>
        <v>2393</v>
      </c>
      <c r="CI28" s="98">
        <f t="shared" si="466"/>
        <v>22970</v>
      </c>
      <c r="CJ28" s="98">
        <f t="shared" si="467"/>
        <v>22449</v>
      </c>
      <c r="CK28" s="98">
        <f t="shared" si="468"/>
        <v>45419</v>
      </c>
      <c r="CL28" s="116">
        <f>CI28/BZ28</f>
        <v>0.96100744707555852</v>
      </c>
      <c r="CM28" s="116">
        <f t="shared" si="218"/>
        <v>0.98279485158917779</v>
      </c>
      <c r="CN28" s="116">
        <f t="shared" si="219"/>
        <v>0.97165411603628271</v>
      </c>
      <c r="CO28" s="99">
        <v>4264</v>
      </c>
      <c r="CP28" s="99">
        <v>4192</v>
      </c>
      <c r="CQ28" s="99">
        <f t="shared" si="220"/>
        <v>8456</v>
      </c>
      <c r="CR28" s="99">
        <v>3482</v>
      </c>
      <c r="CS28" s="99">
        <v>3514</v>
      </c>
      <c r="CT28" s="99">
        <f t="shared" si="221"/>
        <v>6996</v>
      </c>
      <c r="CU28" s="99">
        <v>289</v>
      </c>
      <c r="CV28" s="99">
        <v>313</v>
      </c>
      <c r="CW28" s="99">
        <f t="shared" si="455"/>
        <v>602</v>
      </c>
      <c r="CX28" s="99">
        <f t="shared" si="222"/>
        <v>3771</v>
      </c>
      <c r="CY28" s="99">
        <f t="shared" si="223"/>
        <v>3827</v>
      </c>
      <c r="CZ28" s="99">
        <f t="shared" si="223"/>
        <v>7598</v>
      </c>
      <c r="DA28" s="116">
        <f t="shared" si="273"/>
        <v>0.88438086303939967</v>
      </c>
      <c r="DB28" s="116">
        <f t="shared" si="225"/>
        <v>0.91292938931297707</v>
      </c>
      <c r="DC28" s="116">
        <f t="shared" si="226"/>
        <v>0.89853358561967833</v>
      </c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98">
        <f t="shared" si="227"/>
        <v>4264</v>
      </c>
      <c r="DT28" s="98">
        <f t="shared" si="228"/>
        <v>4192</v>
      </c>
      <c r="DU28" s="98">
        <f t="shared" si="229"/>
        <v>8456</v>
      </c>
      <c r="DV28" s="98">
        <f t="shared" si="230"/>
        <v>3482</v>
      </c>
      <c r="DW28" s="98">
        <f t="shared" si="231"/>
        <v>3514</v>
      </c>
      <c r="DX28" s="98">
        <f t="shared" si="232"/>
        <v>6996</v>
      </c>
      <c r="DY28" s="98">
        <f t="shared" si="456"/>
        <v>289</v>
      </c>
      <c r="DZ28" s="98">
        <f t="shared" si="457"/>
        <v>313</v>
      </c>
      <c r="EA28" s="98">
        <f t="shared" si="458"/>
        <v>602</v>
      </c>
      <c r="EB28" s="98">
        <f t="shared" si="233"/>
        <v>3771</v>
      </c>
      <c r="EC28" s="98">
        <f t="shared" si="234"/>
        <v>3827</v>
      </c>
      <c r="ED28" s="98">
        <f t="shared" si="235"/>
        <v>7598</v>
      </c>
      <c r="EE28" s="116">
        <f t="shared" si="459"/>
        <v>0.88438086303939967</v>
      </c>
      <c r="EF28" s="116">
        <f t="shared" si="236"/>
        <v>0.91292938931297707</v>
      </c>
      <c r="EG28" s="116">
        <f t="shared" si="237"/>
        <v>0.89853358561967833</v>
      </c>
      <c r="EH28" s="98">
        <f t="shared" si="238"/>
        <v>234961</v>
      </c>
      <c r="EI28" s="98">
        <f t="shared" si="239"/>
        <v>226533</v>
      </c>
      <c r="EJ28" s="98">
        <f t="shared" si="239"/>
        <v>461494</v>
      </c>
      <c r="EK28" s="98">
        <v>0</v>
      </c>
      <c r="EL28" s="98">
        <v>0</v>
      </c>
      <c r="EM28" s="98">
        <f>72371+120478</f>
        <v>192849</v>
      </c>
      <c r="EN28" s="110"/>
      <c r="EO28" s="110"/>
      <c r="EP28" s="100">
        <f t="shared" si="472"/>
        <v>41.787975574980386</v>
      </c>
      <c r="EQ28" s="98">
        <f t="shared" si="245"/>
        <v>22970</v>
      </c>
      <c r="ER28" s="98">
        <f t="shared" si="246"/>
        <v>22449</v>
      </c>
      <c r="ES28" s="98">
        <f t="shared" si="246"/>
        <v>45419</v>
      </c>
      <c r="ET28" s="98">
        <v>0</v>
      </c>
      <c r="EU28" s="98">
        <v>0</v>
      </c>
      <c r="EV28" s="98">
        <f>1409+2948</f>
        <v>4357</v>
      </c>
      <c r="EW28" s="103"/>
      <c r="EX28" s="103"/>
      <c r="EY28" s="100">
        <f t="shared" si="474"/>
        <v>9.5929016490895886</v>
      </c>
      <c r="EZ28" s="98">
        <f t="shared" si="252"/>
        <v>3771</v>
      </c>
      <c r="FA28" s="98">
        <f t="shared" si="253"/>
        <v>3827</v>
      </c>
      <c r="FB28" s="98">
        <f t="shared" si="253"/>
        <v>7598</v>
      </c>
      <c r="FC28" s="103"/>
      <c r="FD28" s="103"/>
      <c r="FE28" s="98">
        <f>282+112</f>
        <v>394</v>
      </c>
      <c r="FF28" s="103"/>
      <c r="FG28" s="103"/>
      <c r="FH28" s="100">
        <f t="shared" si="477"/>
        <v>5.1855751513556196</v>
      </c>
    </row>
    <row r="29" spans="1:164" ht="28.5">
      <c r="A29" s="94">
        <v>20</v>
      </c>
      <c r="B29" s="118" t="s">
        <v>109</v>
      </c>
      <c r="C29" s="96">
        <v>949323</v>
      </c>
      <c r="D29" s="96">
        <v>759013</v>
      </c>
      <c r="E29" s="96">
        <f>C29+D29</f>
        <v>1708336</v>
      </c>
      <c r="F29" s="96">
        <v>799260</v>
      </c>
      <c r="G29" s="96">
        <v>685002</v>
      </c>
      <c r="H29" s="96">
        <f>F29+G29</f>
        <v>1484262</v>
      </c>
      <c r="I29" s="96">
        <v>18565</v>
      </c>
      <c r="J29" s="96">
        <v>9782</v>
      </c>
      <c r="K29" s="96">
        <f>I29+J29</f>
        <v>28347</v>
      </c>
      <c r="L29" s="97">
        <f>F29+I29</f>
        <v>817825</v>
      </c>
      <c r="M29" s="98">
        <f>G29+J29</f>
        <v>694784</v>
      </c>
      <c r="N29" s="98">
        <f>H29+K29</f>
        <v>1512609</v>
      </c>
      <c r="O29" s="116">
        <f>L29/C29</f>
        <v>0.86148234057322959</v>
      </c>
      <c r="P29" s="116">
        <f>M29/D29</f>
        <v>0.91537826097840225</v>
      </c>
      <c r="Q29" s="116">
        <f>N29/E29</f>
        <v>0.88542827640464172</v>
      </c>
      <c r="R29" s="98">
        <v>33623</v>
      </c>
      <c r="S29" s="98">
        <v>13046</v>
      </c>
      <c r="T29" s="98">
        <f>R29+S29</f>
        <v>46669</v>
      </c>
      <c r="U29" s="98">
        <v>14966</v>
      </c>
      <c r="V29" s="98">
        <v>7251</v>
      </c>
      <c r="W29" s="98">
        <f>U29+V29</f>
        <v>22217</v>
      </c>
      <c r="X29" s="98">
        <v>1609</v>
      </c>
      <c r="Y29" s="98">
        <v>599</v>
      </c>
      <c r="Z29" s="98">
        <f>X29+Y29</f>
        <v>2208</v>
      </c>
      <c r="AA29" s="98">
        <f>U29+X29</f>
        <v>16575</v>
      </c>
      <c r="AB29" s="98">
        <f>V29+Y29</f>
        <v>7850</v>
      </c>
      <c r="AC29" s="98">
        <f>W29+Z29</f>
        <v>24425</v>
      </c>
      <c r="AD29" s="116">
        <f t="shared" ref="AD29" si="489">AA29/R29</f>
        <v>0.49296612437914522</v>
      </c>
      <c r="AE29" s="116">
        <f t="shared" ref="AE29" si="490">AB29/S29</f>
        <v>0.60171700137973327</v>
      </c>
      <c r="AF29" s="116">
        <f>AC29/T29</f>
        <v>0.52336668880841675</v>
      </c>
      <c r="AG29" s="98">
        <f t="shared" ref="AG29:AR29" si="491">C29+R29</f>
        <v>982946</v>
      </c>
      <c r="AH29" s="98">
        <f t="shared" si="491"/>
        <v>772059</v>
      </c>
      <c r="AI29" s="98">
        <f t="shared" si="491"/>
        <v>1755005</v>
      </c>
      <c r="AJ29" s="98">
        <f t="shared" si="491"/>
        <v>814226</v>
      </c>
      <c r="AK29" s="98">
        <f t="shared" si="491"/>
        <v>692253</v>
      </c>
      <c r="AL29" s="98">
        <f t="shared" si="491"/>
        <v>1506479</v>
      </c>
      <c r="AM29" s="98">
        <f t="shared" si="491"/>
        <v>20174</v>
      </c>
      <c r="AN29" s="98">
        <f t="shared" si="491"/>
        <v>10381</v>
      </c>
      <c r="AO29" s="98">
        <f t="shared" si="491"/>
        <v>30555</v>
      </c>
      <c r="AP29" s="98">
        <f t="shared" si="491"/>
        <v>834400</v>
      </c>
      <c r="AQ29" s="98">
        <f t="shared" si="491"/>
        <v>702634</v>
      </c>
      <c r="AR29" s="98">
        <f t="shared" si="491"/>
        <v>1537034</v>
      </c>
      <c r="AS29" s="116">
        <f>AP29/AG29</f>
        <v>0.84887674399204027</v>
      </c>
      <c r="AT29" s="116">
        <f>AQ29/AH29</f>
        <v>0.91007811579166875</v>
      </c>
      <c r="AU29" s="116">
        <f>AR29/AI29</f>
        <v>0.87580035384514576</v>
      </c>
      <c r="AV29" s="99">
        <v>138887</v>
      </c>
      <c r="AW29" s="99">
        <v>112343</v>
      </c>
      <c r="AX29" s="99">
        <f>+AV29+AW29</f>
        <v>251230</v>
      </c>
      <c r="AY29" s="99">
        <v>108819</v>
      </c>
      <c r="AZ29" s="99">
        <v>95959</v>
      </c>
      <c r="BA29" s="99">
        <f>+AY29+AZ29</f>
        <v>204778</v>
      </c>
      <c r="BB29" s="99">
        <v>3795</v>
      </c>
      <c r="BC29" s="99">
        <v>2302</v>
      </c>
      <c r="BD29" s="99">
        <f>+BB29+BC29</f>
        <v>6097</v>
      </c>
      <c r="BE29" s="99">
        <f>+AY29+BB29</f>
        <v>112614</v>
      </c>
      <c r="BF29" s="99">
        <f>+AZ29+BC29</f>
        <v>98261</v>
      </c>
      <c r="BG29" s="99">
        <f>+BA29+BD29</f>
        <v>210875</v>
      </c>
      <c r="BH29" s="116">
        <f>BE29/AV29</f>
        <v>0.81083182731285142</v>
      </c>
      <c r="BI29" s="116">
        <f>BF29/AW29</f>
        <v>0.87465173620074232</v>
      </c>
      <c r="BJ29" s="116">
        <f>BG29/AX29</f>
        <v>0.83937029813318476</v>
      </c>
      <c r="BK29" s="98">
        <v>4522</v>
      </c>
      <c r="BL29" s="98">
        <v>1983</v>
      </c>
      <c r="BM29" s="98">
        <f>BK29+BL29</f>
        <v>6505</v>
      </c>
      <c r="BN29" s="99">
        <v>1625</v>
      </c>
      <c r="BO29" s="99">
        <v>918</v>
      </c>
      <c r="BP29" s="99">
        <f>BN29+BO29</f>
        <v>2543</v>
      </c>
      <c r="BQ29" s="99">
        <v>267</v>
      </c>
      <c r="BR29" s="99">
        <v>108</v>
      </c>
      <c r="BS29" s="99">
        <f>BQ29+BR29</f>
        <v>375</v>
      </c>
      <c r="BT29" s="99">
        <f>+BN29+BQ29</f>
        <v>1892</v>
      </c>
      <c r="BU29" s="99">
        <f>+BO29+BR29</f>
        <v>1026</v>
      </c>
      <c r="BV29" s="99">
        <f>+BP29+BS29</f>
        <v>2918</v>
      </c>
      <c r="BW29" s="116">
        <f>BT29/BK29</f>
        <v>0.41839893852277754</v>
      </c>
      <c r="BX29" s="116">
        <f>BU29/BL29</f>
        <v>0.51739788199697423</v>
      </c>
      <c r="BY29" s="116">
        <f>BV29/BM29</f>
        <v>0.44857801691006916</v>
      </c>
      <c r="BZ29" s="98">
        <f t="shared" ref="BZ29:CK29" si="492">AV29+BK29</f>
        <v>143409</v>
      </c>
      <c r="CA29" s="98">
        <f t="shared" si="492"/>
        <v>114326</v>
      </c>
      <c r="CB29" s="98">
        <f t="shared" si="492"/>
        <v>257735</v>
      </c>
      <c r="CC29" s="98">
        <f t="shared" si="492"/>
        <v>110444</v>
      </c>
      <c r="CD29" s="98">
        <f t="shared" si="492"/>
        <v>96877</v>
      </c>
      <c r="CE29" s="98">
        <f t="shared" si="492"/>
        <v>207321</v>
      </c>
      <c r="CF29" s="98">
        <f t="shared" si="492"/>
        <v>4062</v>
      </c>
      <c r="CG29" s="98">
        <f t="shared" si="492"/>
        <v>2410</v>
      </c>
      <c r="CH29" s="98">
        <f t="shared" si="492"/>
        <v>6472</v>
      </c>
      <c r="CI29" s="98">
        <f t="shared" si="492"/>
        <v>114506</v>
      </c>
      <c r="CJ29" s="98">
        <f t="shared" si="492"/>
        <v>99287</v>
      </c>
      <c r="CK29" s="98">
        <f t="shared" si="492"/>
        <v>213793</v>
      </c>
      <c r="CL29" s="116">
        <f>CI29/BZ29</f>
        <v>0.79845755845170108</v>
      </c>
      <c r="CM29" s="116">
        <f>CJ29/CA29</f>
        <v>0.86845511957035149</v>
      </c>
      <c r="CN29" s="116">
        <f>CK29/CB29</f>
        <v>0.82950705181678852</v>
      </c>
      <c r="CO29" s="99">
        <v>83241</v>
      </c>
      <c r="CP29" s="99">
        <v>66302</v>
      </c>
      <c r="CQ29" s="99">
        <f>+CO29+CP29</f>
        <v>149543</v>
      </c>
      <c r="CR29" s="99">
        <v>63430</v>
      </c>
      <c r="CS29" s="99">
        <v>54168</v>
      </c>
      <c r="CT29" s="99">
        <f>+CR29+CS29</f>
        <v>117598</v>
      </c>
      <c r="CU29" s="99">
        <v>1083</v>
      </c>
      <c r="CV29" s="99">
        <v>1653</v>
      </c>
      <c r="CW29" s="99">
        <f>+CU29+CV29</f>
        <v>2736</v>
      </c>
      <c r="CX29" s="99">
        <f>+CR29+CU29</f>
        <v>64513</v>
      </c>
      <c r="CY29" s="99">
        <f>+CS29+CV29</f>
        <v>55821</v>
      </c>
      <c r="CZ29" s="99">
        <f>+CT29+CW29</f>
        <v>120334</v>
      </c>
      <c r="DA29" s="116">
        <f>CX29/CO29</f>
        <v>0.77501471630566665</v>
      </c>
      <c r="DB29" s="116">
        <f>CY29/CP29</f>
        <v>0.84192030406322582</v>
      </c>
      <c r="DC29" s="116">
        <f>CZ29/CQ29</f>
        <v>0.80467825307771013</v>
      </c>
      <c r="DD29" s="98">
        <v>1560</v>
      </c>
      <c r="DE29" s="98">
        <v>695</v>
      </c>
      <c r="DF29" s="98">
        <f>DD29+DE29</f>
        <v>2255</v>
      </c>
      <c r="DG29" s="99">
        <v>684</v>
      </c>
      <c r="DH29" s="99">
        <v>383</v>
      </c>
      <c r="DI29" s="99">
        <f>+DG29+DH29</f>
        <v>1067</v>
      </c>
      <c r="DJ29" s="99">
        <v>71</v>
      </c>
      <c r="DK29" s="99">
        <v>33</v>
      </c>
      <c r="DL29" s="99">
        <f>DJ29+DK29</f>
        <v>104</v>
      </c>
      <c r="DM29" s="99">
        <f>+DG29+DJ29</f>
        <v>755</v>
      </c>
      <c r="DN29" s="99">
        <f>+DH29+DK29</f>
        <v>416</v>
      </c>
      <c r="DO29" s="99">
        <f>+DI29+DL29</f>
        <v>1171</v>
      </c>
      <c r="DP29" s="116">
        <f>DM29/DD29</f>
        <v>0.48397435897435898</v>
      </c>
      <c r="DQ29" s="116">
        <f>DN29/DE29</f>
        <v>0.59856115107913666</v>
      </c>
      <c r="DR29" s="116">
        <f>DO29/DF29</f>
        <v>0.51929046563192904</v>
      </c>
      <c r="DS29" s="98">
        <f t="shared" ref="DS29:ED29" si="493">CO29+DD29</f>
        <v>84801</v>
      </c>
      <c r="DT29" s="98">
        <f t="shared" si="493"/>
        <v>66997</v>
      </c>
      <c r="DU29" s="98">
        <f t="shared" si="493"/>
        <v>151798</v>
      </c>
      <c r="DV29" s="98">
        <f t="shared" si="493"/>
        <v>64114</v>
      </c>
      <c r="DW29" s="98">
        <f t="shared" si="493"/>
        <v>54551</v>
      </c>
      <c r="DX29" s="98">
        <f t="shared" si="493"/>
        <v>118665</v>
      </c>
      <c r="DY29" s="98">
        <f t="shared" si="493"/>
        <v>1154</v>
      </c>
      <c r="DZ29" s="98">
        <f t="shared" si="493"/>
        <v>1686</v>
      </c>
      <c r="EA29" s="98">
        <f t="shared" si="493"/>
        <v>2840</v>
      </c>
      <c r="EB29" s="98">
        <f t="shared" si="493"/>
        <v>65268</v>
      </c>
      <c r="EC29" s="98">
        <f t="shared" si="493"/>
        <v>56237</v>
      </c>
      <c r="ED29" s="98">
        <f t="shared" si="493"/>
        <v>121505</v>
      </c>
      <c r="EE29" s="116">
        <f>EB29/DS29</f>
        <v>0.76966073513284039</v>
      </c>
      <c r="EF29" s="116">
        <f>EC29/DT29</f>
        <v>0.8393957938415153</v>
      </c>
      <c r="EG29" s="116">
        <f>ED29/DU29</f>
        <v>0.80043874095837886</v>
      </c>
      <c r="EH29" s="98">
        <f>+AP29</f>
        <v>834400</v>
      </c>
      <c r="EI29" s="98">
        <f>+AQ29</f>
        <v>702634</v>
      </c>
      <c r="EJ29" s="98">
        <f>+AR29</f>
        <v>1537034</v>
      </c>
      <c r="EK29" s="98">
        <v>445593</v>
      </c>
      <c r="EL29" s="98">
        <v>452596</v>
      </c>
      <c r="EM29" s="98">
        <f>EK29+EL29</f>
        <v>898189</v>
      </c>
      <c r="EN29" s="100">
        <f>+EK29*100/EH29</f>
        <v>53.402804410354747</v>
      </c>
      <c r="EO29" s="100">
        <f>+EL29*100/EI29</f>
        <v>64.414190033502507</v>
      </c>
      <c r="EP29" s="100">
        <f>+EM29*100/EJ29</f>
        <v>58.436508235992179</v>
      </c>
      <c r="EQ29" s="98">
        <f>+CI29</f>
        <v>114506</v>
      </c>
      <c r="ER29" s="98">
        <f>+CJ29</f>
        <v>99287</v>
      </c>
      <c r="ES29" s="98">
        <f>+CK29</f>
        <v>213793</v>
      </c>
      <c r="ET29" s="98">
        <v>50994</v>
      </c>
      <c r="EU29" s="98">
        <v>55163</v>
      </c>
      <c r="EV29" s="98">
        <f>ET29+EU29</f>
        <v>106157</v>
      </c>
      <c r="EW29" s="100">
        <f>+ET29*100/EQ29</f>
        <v>44.53391088676576</v>
      </c>
      <c r="EX29" s="100">
        <f>+EU29*100/ER29</f>
        <v>55.559136644273671</v>
      </c>
      <c r="EY29" s="100">
        <f>+EV29*100/ES29</f>
        <v>49.654104671340967</v>
      </c>
      <c r="EZ29" s="98">
        <f>+EB29</f>
        <v>65268</v>
      </c>
      <c r="FA29" s="98">
        <f>+EC29</f>
        <v>56237</v>
      </c>
      <c r="FB29" s="98">
        <f>+ED29</f>
        <v>121505</v>
      </c>
      <c r="FC29" s="98">
        <v>27132</v>
      </c>
      <c r="FD29" s="98">
        <v>26310</v>
      </c>
      <c r="FE29" s="98">
        <f>FC29+FD29</f>
        <v>53442</v>
      </c>
      <c r="FF29" s="100">
        <f>+FC29*100/EZ29</f>
        <v>41.570141570141573</v>
      </c>
      <c r="FG29" s="100">
        <f>+FD29*100/FA29</f>
        <v>46.784145669221331</v>
      </c>
      <c r="FH29" s="100">
        <f>+FE29*100/FB29</f>
        <v>43.983375169746104</v>
      </c>
    </row>
    <row r="30" spans="1:164" ht="27" customHeight="1">
      <c r="A30" s="94">
        <v>21</v>
      </c>
      <c r="B30" s="118" t="s">
        <v>155</v>
      </c>
      <c r="C30" s="96">
        <v>429145</v>
      </c>
      <c r="D30" s="96">
        <v>365929</v>
      </c>
      <c r="E30" s="96">
        <f t="shared" si="182"/>
        <v>795074</v>
      </c>
      <c r="F30" s="96">
        <v>207979</v>
      </c>
      <c r="G30" s="96">
        <v>188015</v>
      </c>
      <c r="H30" s="96">
        <f t="shared" si="183"/>
        <v>395994</v>
      </c>
      <c r="I30" s="96">
        <v>62637</v>
      </c>
      <c r="J30" s="96">
        <v>61994</v>
      </c>
      <c r="K30" s="96">
        <f t="shared" si="443"/>
        <v>124631</v>
      </c>
      <c r="L30" s="97">
        <f t="shared" si="460"/>
        <v>270616</v>
      </c>
      <c r="M30" s="98">
        <f t="shared" si="461"/>
        <v>250009</v>
      </c>
      <c r="N30" s="98">
        <f t="shared" si="462"/>
        <v>520625</v>
      </c>
      <c r="O30" s="116">
        <f t="shared" si="187"/>
        <v>0.63059338918081298</v>
      </c>
      <c r="P30" s="116">
        <f t="shared" si="188"/>
        <v>0.68321723613050622</v>
      </c>
      <c r="Q30" s="116">
        <f t="shared" si="189"/>
        <v>0.65481326266485884</v>
      </c>
      <c r="R30" s="98">
        <v>184192</v>
      </c>
      <c r="S30" s="98">
        <v>130125</v>
      </c>
      <c r="T30" s="98">
        <f t="shared" si="478"/>
        <v>314317</v>
      </c>
      <c r="U30" s="98">
        <v>19827</v>
      </c>
      <c r="V30" s="98">
        <v>13154</v>
      </c>
      <c r="W30" s="98">
        <f t="shared" si="258"/>
        <v>32981</v>
      </c>
      <c r="X30" s="98">
        <v>19999</v>
      </c>
      <c r="Y30" s="98">
        <v>17113</v>
      </c>
      <c r="Z30" s="98">
        <f t="shared" si="483"/>
        <v>37112</v>
      </c>
      <c r="AA30" s="98">
        <f t="shared" si="259"/>
        <v>39826</v>
      </c>
      <c r="AB30" s="98">
        <f t="shared" si="260"/>
        <v>30267</v>
      </c>
      <c r="AC30" s="98">
        <f t="shared" si="261"/>
        <v>70093</v>
      </c>
      <c r="AD30" s="116">
        <f t="shared" si="479"/>
        <v>0.21622003127171646</v>
      </c>
      <c r="AE30" s="116">
        <f t="shared" si="480"/>
        <v>0.23259942363112393</v>
      </c>
      <c r="AF30" s="116">
        <f t="shared" si="481"/>
        <v>0.22300098308395663</v>
      </c>
      <c r="AG30" s="98">
        <f t="shared" si="190"/>
        <v>613337</v>
      </c>
      <c r="AH30" s="98">
        <f t="shared" si="191"/>
        <v>496054</v>
      </c>
      <c r="AI30" s="98">
        <f t="shared" si="191"/>
        <v>1109391</v>
      </c>
      <c r="AJ30" s="98">
        <f t="shared" si="193"/>
        <v>227806</v>
      </c>
      <c r="AK30" s="98">
        <f t="shared" si="194"/>
        <v>201169</v>
      </c>
      <c r="AL30" s="98">
        <f t="shared" si="194"/>
        <v>428975</v>
      </c>
      <c r="AM30" s="98">
        <f t="shared" si="447"/>
        <v>82636</v>
      </c>
      <c r="AN30" s="98">
        <f t="shared" si="265"/>
        <v>79107</v>
      </c>
      <c r="AO30" s="98">
        <f t="shared" si="265"/>
        <v>161743</v>
      </c>
      <c r="AP30" s="98">
        <f t="shared" si="195"/>
        <v>310442</v>
      </c>
      <c r="AQ30" s="98">
        <f t="shared" si="196"/>
        <v>280276</v>
      </c>
      <c r="AR30" s="98">
        <f t="shared" si="196"/>
        <v>590718</v>
      </c>
      <c r="AS30" s="116">
        <f t="shared" si="197"/>
        <v>0.50615240887146873</v>
      </c>
      <c r="AT30" s="116">
        <f t="shared" si="198"/>
        <v>0.56501106734347473</v>
      </c>
      <c r="AU30" s="116">
        <f t="shared" si="199"/>
        <v>0.53247051760830943</v>
      </c>
      <c r="AV30" s="99">
        <v>77057</v>
      </c>
      <c r="AW30" s="99">
        <v>58109</v>
      </c>
      <c r="AX30" s="99">
        <f t="shared" si="200"/>
        <v>135166</v>
      </c>
      <c r="AY30" s="99">
        <v>33398</v>
      </c>
      <c r="AZ30" s="99">
        <v>26185</v>
      </c>
      <c r="BA30" s="99">
        <f t="shared" si="201"/>
        <v>59583</v>
      </c>
      <c r="BB30" s="99">
        <v>11212</v>
      </c>
      <c r="BC30" s="99">
        <v>10359</v>
      </c>
      <c r="BD30" s="99">
        <f t="shared" si="448"/>
        <v>21571</v>
      </c>
      <c r="BE30" s="99">
        <f t="shared" si="202"/>
        <v>44610</v>
      </c>
      <c r="BF30" s="99">
        <f t="shared" si="203"/>
        <v>36544</v>
      </c>
      <c r="BG30" s="99">
        <f t="shared" si="203"/>
        <v>81154</v>
      </c>
      <c r="BH30" s="116">
        <f t="shared" si="205"/>
        <v>0.57892209662976757</v>
      </c>
      <c r="BI30" s="116">
        <f t="shared" si="206"/>
        <v>0.62888709150045607</v>
      </c>
      <c r="BJ30" s="116">
        <f t="shared" si="207"/>
        <v>0.60040246807629138</v>
      </c>
      <c r="BK30" s="95">
        <v>37649</v>
      </c>
      <c r="BL30" s="95">
        <v>26543</v>
      </c>
      <c r="BM30" s="98">
        <f t="shared" si="266"/>
        <v>64192</v>
      </c>
      <c r="BN30" s="99">
        <v>3903</v>
      </c>
      <c r="BO30" s="99">
        <v>2486</v>
      </c>
      <c r="BP30" s="99">
        <f t="shared" si="267"/>
        <v>6389</v>
      </c>
      <c r="BQ30" s="99">
        <v>3968</v>
      </c>
      <c r="BR30" s="99">
        <v>3369</v>
      </c>
      <c r="BS30" s="99">
        <f t="shared" si="484"/>
        <v>7337</v>
      </c>
      <c r="BT30" s="99">
        <f t="shared" si="485"/>
        <v>7871</v>
      </c>
      <c r="BU30" s="99">
        <f t="shared" si="486"/>
        <v>5855</v>
      </c>
      <c r="BV30" s="99">
        <f t="shared" si="487"/>
        <v>13726</v>
      </c>
      <c r="BW30" s="116">
        <f t="shared" si="270"/>
        <v>0.20906265770671201</v>
      </c>
      <c r="BX30" s="116">
        <f t="shared" si="271"/>
        <v>0.22058546509437515</v>
      </c>
      <c r="BY30" s="116">
        <f t="shared" si="272"/>
        <v>0.21382726819541376</v>
      </c>
      <c r="BZ30" s="98">
        <f t="shared" si="463"/>
        <v>114706</v>
      </c>
      <c r="CA30" s="98">
        <f t="shared" si="464"/>
        <v>84652</v>
      </c>
      <c r="CB30" s="98">
        <f t="shared" si="465"/>
        <v>199358</v>
      </c>
      <c r="CC30" s="98">
        <f t="shared" si="211"/>
        <v>37301</v>
      </c>
      <c r="CD30" s="98">
        <f t="shared" si="212"/>
        <v>28671</v>
      </c>
      <c r="CE30" s="98">
        <f t="shared" si="213"/>
        <v>65972</v>
      </c>
      <c r="CF30" s="98">
        <f t="shared" si="449"/>
        <v>15180</v>
      </c>
      <c r="CG30" s="98">
        <f t="shared" si="450"/>
        <v>13728</v>
      </c>
      <c r="CH30" s="98">
        <f t="shared" si="451"/>
        <v>28908</v>
      </c>
      <c r="CI30" s="98">
        <f t="shared" si="466"/>
        <v>52481</v>
      </c>
      <c r="CJ30" s="98">
        <f t="shared" si="467"/>
        <v>42399</v>
      </c>
      <c r="CK30" s="98">
        <f t="shared" si="468"/>
        <v>94880</v>
      </c>
      <c r="CL30" s="116">
        <f t="shared" si="454"/>
        <v>0.45752619740902828</v>
      </c>
      <c r="CM30" s="116">
        <f>CJ30/CA30</f>
        <v>0.50086235410858571</v>
      </c>
      <c r="CN30" s="116">
        <f t="shared" si="219"/>
        <v>0.47592772800690214</v>
      </c>
      <c r="CO30" s="99">
        <v>56150</v>
      </c>
      <c r="CP30" s="99">
        <v>58366</v>
      </c>
      <c r="CQ30" s="99">
        <f t="shared" si="220"/>
        <v>114516</v>
      </c>
      <c r="CR30" s="99">
        <v>24925</v>
      </c>
      <c r="CS30" s="99">
        <v>23675</v>
      </c>
      <c r="CT30" s="99">
        <f t="shared" si="221"/>
        <v>48600</v>
      </c>
      <c r="CU30" s="99">
        <v>8174</v>
      </c>
      <c r="CV30" s="98">
        <v>9909</v>
      </c>
      <c r="CW30" s="99">
        <f t="shared" si="455"/>
        <v>18083</v>
      </c>
      <c r="CX30" s="99">
        <f t="shared" si="222"/>
        <v>33099</v>
      </c>
      <c r="CY30" s="99">
        <f t="shared" si="223"/>
        <v>33584</v>
      </c>
      <c r="CZ30" s="99">
        <f t="shared" si="223"/>
        <v>66683</v>
      </c>
      <c r="DA30" s="116">
        <f t="shared" si="273"/>
        <v>0.58947462154942121</v>
      </c>
      <c r="DB30" s="116">
        <f t="shared" si="225"/>
        <v>0.57540348833224819</v>
      </c>
      <c r="DC30" s="116">
        <f t="shared" si="226"/>
        <v>0.58230290963708131</v>
      </c>
      <c r="DD30" s="95">
        <v>41680</v>
      </c>
      <c r="DE30" s="95">
        <v>33256</v>
      </c>
      <c r="DF30" s="98">
        <f t="shared" si="274"/>
        <v>74936</v>
      </c>
      <c r="DG30" s="99">
        <v>3927</v>
      </c>
      <c r="DH30" s="99">
        <v>2839</v>
      </c>
      <c r="DI30" s="99">
        <f t="shared" si="275"/>
        <v>6766</v>
      </c>
      <c r="DJ30" s="99">
        <v>3975</v>
      </c>
      <c r="DK30" s="99">
        <v>3548</v>
      </c>
      <c r="DL30" s="99">
        <f t="shared" si="488"/>
        <v>7523</v>
      </c>
      <c r="DM30" s="99">
        <f t="shared" si="276"/>
        <v>7902</v>
      </c>
      <c r="DN30" s="99">
        <f t="shared" si="277"/>
        <v>6387</v>
      </c>
      <c r="DO30" s="99">
        <f t="shared" si="277"/>
        <v>14289</v>
      </c>
      <c r="DP30" s="116">
        <f t="shared" si="279"/>
        <v>0.18958733205374281</v>
      </c>
      <c r="DQ30" s="116">
        <f t="shared" si="280"/>
        <v>0.19205556891989414</v>
      </c>
      <c r="DR30" s="116">
        <f t="shared" si="281"/>
        <v>0.19068271591758301</v>
      </c>
      <c r="DS30" s="98">
        <f t="shared" ref="DS30" si="494">CO30+DD30</f>
        <v>97830</v>
      </c>
      <c r="DT30" s="98">
        <f t="shared" ref="DT30" si="495">CP30+DE30</f>
        <v>91622</v>
      </c>
      <c r="DU30" s="98">
        <f t="shared" ref="DU30" si="496">CQ30+DF30</f>
        <v>189452</v>
      </c>
      <c r="DV30" s="98">
        <f t="shared" ref="DV30" si="497">CR30+DG30</f>
        <v>28852</v>
      </c>
      <c r="DW30" s="98">
        <f t="shared" ref="DW30" si="498">CS30+DH30</f>
        <v>26514</v>
      </c>
      <c r="DX30" s="98">
        <f t="shared" ref="DX30" si="499">CT30+DI30</f>
        <v>55366</v>
      </c>
      <c r="DY30" s="98">
        <f t="shared" ref="DY30" si="500">CU30+DJ30</f>
        <v>12149</v>
      </c>
      <c r="DZ30" s="98">
        <f t="shared" ref="DZ30" si="501">CV30+DK30</f>
        <v>13457</v>
      </c>
      <c r="EA30" s="98">
        <f t="shared" ref="EA30" si="502">CW30+DL30</f>
        <v>25606</v>
      </c>
      <c r="EB30" s="98">
        <f t="shared" ref="EB30" si="503">CX30+DM30</f>
        <v>41001</v>
      </c>
      <c r="EC30" s="98">
        <f t="shared" ref="EC30" si="504">CY30+DN30</f>
        <v>39971</v>
      </c>
      <c r="ED30" s="98">
        <f t="shared" ref="ED30" si="505">CZ30+DO30</f>
        <v>80972</v>
      </c>
      <c r="EE30" s="116">
        <f t="shared" si="459"/>
        <v>0.41910456915056732</v>
      </c>
      <c r="EF30" s="116">
        <f t="shared" si="236"/>
        <v>0.43625985025430575</v>
      </c>
      <c r="EG30" s="116">
        <f t="shared" si="237"/>
        <v>0.42740113590777612</v>
      </c>
      <c r="EH30" s="98">
        <f t="shared" si="238"/>
        <v>310442</v>
      </c>
      <c r="EI30" s="98">
        <f t="shared" si="239"/>
        <v>280276</v>
      </c>
      <c r="EJ30" s="98">
        <f t="shared" si="239"/>
        <v>590718</v>
      </c>
      <c r="EK30" s="101">
        <v>107790</v>
      </c>
      <c r="EL30" s="101">
        <v>104394</v>
      </c>
      <c r="EM30" s="98">
        <f t="shared" si="241"/>
        <v>212184</v>
      </c>
      <c r="EN30" s="100">
        <f t="shared" si="470"/>
        <v>34.721461657894231</v>
      </c>
      <c r="EO30" s="100">
        <f t="shared" si="471"/>
        <v>37.246856669854004</v>
      </c>
      <c r="EP30" s="100">
        <f t="shared" si="472"/>
        <v>35.919677409525356</v>
      </c>
      <c r="EQ30" s="98">
        <f t="shared" si="245"/>
        <v>52481</v>
      </c>
      <c r="ER30" s="98">
        <f t="shared" si="246"/>
        <v>42399</v>
      </c>
      <c r="ES30" s="98">
        <f t="shared" si="246"/>
        <v>94880</v>
      </c>
      <c r="ET30" s="101">
        <v>15997</v>
      </c>
      <c r="EU30" s="101">
        <v>13136</v>
      </c>
      <c r="EV30" s="98">
        <f t="shared" si="248"/>
        <v>29133</v>
      </c>
      <c r="EW30" s="100">
        <f t="shared" si="473"/>
        <v>30.481507593224215</v>
      </c>
      <c r="EX30" s="100">
        <f t="shared" si="474"/>
        <v>30.981862779782542</v>
      </c>
      <c r="EY30" s="100">
        <f t="shared" si="474"/>
        <v>30.705101180438447</v>
      </c>
      <c r="EZ30" s="98">
        <f t="shared" si="252"/>
        <v>41001</v>
      </c>
      <c r="FA30" s="98">
        <f t="shared" si="253"/>
        <v>39971</v>
      </c>
      <c r="FB30" s="98">
        <f t="shared" si="253"/>
        <v>80972</v>
      </c>
      <c r="FC30" s="101">
        <v>9372</v>
      </c>
      <c r="FD30" s="101">
        <v>8340</v>
      </c>
      <c r="FE30" s="98">
        <f t="shared" si="255"/>
        <v>17712</v>
      </c>
      <c r="FF30" s="100">
        <f t="shared" si="475"/>
        <v>22.857979073681129</v>
      </c>
      <c r="FG30" s="100">
        <f t="shared" si="476"/>
        <v>20.865127217232494</v>
      </c>
      <c r="FH30" s="100">
        <f t="shared" si="477"/>
        <v>21.87422812824186</v>
      </c>
    </row>
    <row r="31" spans="1:164" ht="27" customHeight="1">
      <c r="A31" s="94">
        <v>22</v>
      </c>
      <c r="B31" s="118" t="s">
        <v>141</v>
      </c>
      <c r="C31" s="96">
        <v>17374</v>
      </c>
      <c r="D31" s="96">
        <v>17774</v>
      </c>
      <c r="E31" s="96">
        <f>C31+D31</f>
        <v>35148</v>
      </c>
      <c r="F31" s="96">
        <v>11931</v>
      </c>
      <c r="G31" s="96">
        <v>11313</v>
      </c>
      <c r="H31" s="96">
        <f>F31+G31</f>
        <v>23244</v>
      </c>
      <c r="I31" s="96">
        <v>2057</v>
      </c>
      <c r="J31" s="96">
        <v>2319</v>
      </c>
      <c r="K31" s="96">
        <f>I31+J31</f>
        <v>4376</v>
      </c>
      <c r="L31" s="97">
        <f>F31+I31</f>
        <v>13988</v>
      </c>
      <c r="M31" s="98">
        <f>G31+J31</f>
        <v>13632</v>
      </c>
      <c r="N31" s="98">
        <f>H31+K31</f>
        <v>27620</v>
      </c>
      <c r="O31" s="116">
        <f>L31/C31</f>
        <v>0.80511108553010247</v>
      </c>
      <c r="P31" s="116">
        <f>M31/D31</f>
        <v>0.76696297963317206</v>
      </c>
      <c r="Q31" s="116">
        <f>N31/E31</f>
        <v>0.78581996130647547</v>
      </c>
      <c r="R31" s="98">
        <v>25</v>
      </c>
      <c r="S31" s="98">
        <v>13</v>
      </c>
      <c r="T31" s="98">
        <f>R31+S31</f>
        <v>38</v>
      </c>
      <c r="U31" s="98">
        <v>7</v>
      </c>
      <c r="V31" s="98">
        <v>4</v>
      </c>
      <c r="W31" s="98">
        <f>U31+V31</f>
        <v>11</v>
      </c>
      <c r="X31" s="98">
        <v>1</v>
      </c>
      <c r="Y31" s="98">
        <v>0</v>
      </c>
      <c r="Z31" s="98">
        <f>X31+Y31</f>
        <v>1</v>
      </c>
      <c r="AA31" s="98">
        <f>U31+X31</f>
        <v>8</v>
      </c>
      <c r="AB31" s="98">
        <f>V31+Y31</f>
        <v>4</v>
      </c>
      <c r="AC31" s="98">
        <f>W31+Z31</f>
        <v>12</v>
      </c>
      <c r="AD31" s="116">
        <f t="shared" ref="AD31" si="506">AA31/R31</f>
        <v>0.32</v>
      </c>
      <c r="AE31" s="116">
        <f t="shared" ref="AE31" si="507">AB31/S31</f>
        <v>0.30769230769230771</v>
      </c>
      <c r="AF31" s="116">
        <f>AC31/T31</f>
        <v>0.31578947368421051</v>
      </c>
      <c r="AG31" s="98">
        <f t="shared" ref="AG31:AR31" si="508">C31+R31</f>
        <v>17399</v>
      </c>
      <c r="AH31" s="98">
        <f t="shared" si="508"/>
        <v>17787</v>
      </c>
      <c r="AI31" s="98">
        <f t="shared" si="508"/>
        <v>35186</v>
      </c>
      <c r="AJ31" s="98">
        <f t="shared" si="508"/>
        <v>11938</v>
      </c>
      <c r="AK31" s="98">
        <f t="shared" si="508"/>
        <v>11317</v>
      </c>
      <c r="AL31" s="98">
        <f t="shared" si="508"/>
        <v>23255</v>
      </c>
      <c r="AM31" s="98">
        <f t="shared" si="508"/>
        <v>2058</v>
      </c>
      <c r="AN31" s="98">
        <f t="shared" si="508"/>
        <v>2319</v>
      </c>
      <c r="AO31" s="98">
        <f t="shared" si="508"/>
        <v>4377</v>
      </c>
      <c r="AP31" s="98">
        <f t="shared" si="508"/>
        <v>13996</v>
      </c>
      <c r="AQ31" s="98">
        <f t="shared" si="508"/>
        <v>13636</v>
      </c>
      <c r="AR31" s="98">
        <f t="shared" si="508"/>
        <v>27632</v>
      </c>
      <c r="AS31" s="116">
        <f>AP31/AG31</f>
        <v>0.80441404678429795</v>
      </c>
      <c r="AT31" s="116">
        <f>AQ31/AH31</f>
        <v>0.76662731208185753</v>
      </c>
      <c r="AU31" s="116">
        <f>AR31/AI31</f>
        <v>0.78531234013528106</v>
      </c>
      <c r="AV31" s="99">
        <v>625</v>
      </c>
      <c r="AW31" s="99">
        <v>729</v>
      </c>
      <c r="AX31" s="99">
        <f>+AV31+AW31</f>
        <v>1354</v>
      </c>
      <c r="AY31" s="99">
        <v>449</v>
      </c>
      <c r="AZ31" s="99">
        <v>513</v>
      </c>
      <c r="BA31" s="99">
        <f>+AY31+AZ31</f>
        <v>962</v>
      </c>
      <c r="BB31" s="99">
        <v>67</v>
      </c>
      <c r="BC31" s="99">
        <v>67</v>
      </c>
      <c r="BD31" s="99">
        <f>+BB31+BC31</f>
        <v>134</v>
      </c>
      <c r="BE31" s="99">
        <f>+AY31+BB31</f>
        <v>516</v>
      </c>
      <c r="BF31" s="99">
        <f>+AZ31+BC31</f>
        <v>580</v>
      </c>
      <c r="BG31" s="99">
        <f>+BA31+BD31</f>
        <v>1096</v>
      </c>
      <c r="BH31" s="116">
        <f>BE31/AV31</f>
        <v>0.8256</v>
      </c>
      <c r="BI31" s="116">
        <f>BF31/AW31</f>
        <v>0.79561042524005487</v>
      </c>
      <c r="BJ31" s="116">
        <f>BG31/AX31</f>
        <v>0.80945347119645494</v>
      </c>
      <c r="BK31" s="98">
        <v>1</v>
      </c>
      <c r="BL31" s="98">
        <v>0</v>
      </c>
      <c r="BM31" s="98">
        <f>BK31+BL31</f>
        <v>1</v>
      </c>
      <c r="BN31" s="99">
        <v>0</v>
      </c>
      <c r="BO31" s="99">
        <v>0</v>
      </c>
      <c r="BP31" s="99">
        <f>BN31+BO31</f>
        <v>0</v>
      </c>
      <c r="BQ31" s="99">
        <v>0</v>
      </c>
      <c r="BR31" s="99">
        <v>0</v>
      </c>
      <c r="BS31" s="99">
        <f>BQ31+BR31</f>
        <v>0</v>
      </c>
      <c r="BT31" s="99">
        <f>+BN31+BQ31</f>
        <v>0</v>
      </c>
      <c r="BU31" s="99">
        <f>+BO31+BR31</f>
        <v>0</v>
      </c>
      <c r="BV31" s="99">
        <f>+BP31+BS31</f>
        <v>0</v>
      </c>
      <c r="BW31" s="116">
        <f>BT31/BK31</f>
        <v>0</v>
      </c>
      <c r="BX31" s="116"/>
      <c r="BY31" s="116">
        <f>BV31/BM31</f>
        <v>0</v>
      </c>
      <c r="BZ31" s="98">
        <f t="shared" ref="BZ31:CH31" si="509">AV31+BK31</f>
        <v>626</v>
      </c>
      <c r="CA31" s="98">
        <f t="shared" si="509"/>
        <v>729</v>
      </c>
      <c r="CB31" s="98">
        <f t="shared" si="509"/>
        <v>1355</v>
      </c>
      <c r="CC31" s="98">
        <f t="shared" si="509"/>
        <v>449</v>
      </c>
      <c r="CD31" s="98">
        <f t="shared" si="509"/>
        <v>513</v>
      </c>
      <c r="CE31" s="98">
        <f t="shared" si="509"/>
        <v>962</v>
      </c>
      <c r="CF31" s="98">
        <f t="shared" si="509"/>
        <v>67</v>
      </c>
      <c r="CG31" s="98">
        <f t="shared" si="509"/>
        <v>67</v>
      </c>
      <c r="CH31" s="98">
        <f t="shared" si="509"/>
        <v>134</v>
      </c>
      <c r="CI31" s="98">
        <f t="shared" ref="CI31" si="510">BE31+BT31</f>
        <v>516</v>
      </c>
      <c r="CJ31" s="98">
        <f t="shared" ref="CJ31" si="511">BF31+BU31</f>
        <v>580</v>
      </c>
      <c r="CK31" s="98">
        <f t="shared" ref="CK31" si="512">BG31+BV31</f>
        <v>1096</v>
      </c>
      <c r="CL31" s="116">
        <f>CI31/BZ31</f>
        <v>0.82428115015974446</v>
      </c>
      <c r="CM31" s="116">
        <f>CJ31/CA31</f>
        <v>0.79561042524005487</v>
      </c>
      <c r="CN31" s="116">
        <f>CK31/CB31</f>
        <v>0.80885608856088564</v>
      </c>
      <c r="CO31" s="99">
        <v>6771</v>
      </c>
      <c r="CP31" s="99">
        <v>7070</v>
      </c>
      <c r="CQ31" s="99">
        <f>+CO31+CP31</f>
        <v>13841</v>
      </c>
      <c r="CR31" s="99">
        <v>4549</v>
      </c>
      <c r="CS31" s="99">
        <v>4327</v>
      </c>
      <c r="CT31" s="99">
        <f>+CR31+CS31</f>
        <v>8876</v>
      </c>
      <c r="CU31" s="99">
        <v>922</v>
      </c>
      <c r="CV31" s="99">
        <v>1058</v>
      </c>
      <c r="CW31" s="99">
        <f>+CU31+CV31</f>
        <v>1980</v>
      </c>
      <c r="CX31" s="99">
        <f>+CR31+CU31</f>
        <v>5471</v>
      </c>
      <c r="CY31" s="99">
        <f>+CS31+CV31</f>
        <v>5385</v>
      </c>
      <c r="CZ31" s="99">
        <f>+CT31+CW31</f>
        <v>10856</v>
      </c>
      <c r="DA31" s="116">
        <f>CX31/CO31</f>
        <v>0.80800472603751294</v>
      </c>
      <c r="DB31" s="116">
        <f>CY31/CP31</f>
        <v>0.76166902404526171</v>
      </c>
      <c r="DC31" s="116">
        <f>CZ31/CQ31</f>
        <v>0.78433639187919946</v>
      </c>
      <c r="DD31" s="98">
        <v>5</v>
      </c>
      <c r="DE31" s="98">
        <v>3</v>
      </c>
      <c r="DF31" s="98">
        <f>DD31+DE31</f>
        <v>8</v>
      </c>
      <c r="DG31" s="99">
        <v>1</v>
      </c>
      <c r="DH31" s="99">
        <v>1</v>
      </c>
      <c r="DI31" s="99">
        <f>+DG31+DH31</f>
        <v>2</v>
      </c>
      <c r="DJ31" s="99">
        <v>0</v>
      </c>
      <c r="DK31" s="99">
        <v>0</v>
      </c>
      <c r="DL31" s="99">
        <f>DJ31+DK31</f>
        <v>0</v>
      </c>
      <c r="DM31" s="99">
        <f>+DG31+DJ31</f>
        <v>1</v>
      </c>
      <c r="DN31" s="99">
        <f>+DH31+DK31</f>
        <v>1</v>
      </c>
      <c r="DO31" s="99">
        <f>+DI31+DL31</f>
        <v>2</v>
      </c>
      <c r="DP31" s="116">
        <f>DM31/DD31</f>
        <v>0.2</v>
      </c>
      <c r="DQ31" s="116">
        <f>DN31/DE31</f>
        <v>0.33333333333333331</v>
      </c>
      <c r="DR31" s="116">
        <f>DO31/DF31</f>
        <v>0.25</v>
      </c>
      <c r="DS31" s="98">
        <f t="shared" ref="DS31:ED31" si="513">CO31+DD31</f>
        <v>6776</v>
      </c>
      <c r="DT31" s="98">
        <f t="shared" si="513"/>
        <v>7073</v>
      </c>
      <c r="DU31" s="98">
        <f t="shared" si="513"/>
        <v>13849</v>
      </c>
      <c r="DV31" s="98">
        <f t="shared" si="513"/>
        <v>4550</v>
      </c>
      <c r="DW31" s="98">
        <f t="shared" si="513"/>
        <v>4328</v>
      </c>
      <c r="DX31" s="98">
        <f t="shared" si="513"/>
        <v>8878</v>
      </c>
      <c r="DY31" s="98">
        <f t="shared" si="513"/>
        <v>922</v>
      </c>
      <c r="DZ31" s="98">
        <f t="shared" si="513"/>
        <v>1058</v>
      </c>
      <c r="EA31" s="98">
        <f t="shared" si="513"/>
        <v>1980</v>
      </c>
      <c r="EB31" s="98">
        <f t="shared" si="513"/>
        <v>5472</v>
      </c>
      <c r="EC31" s="98">
        <f t="shared" si="513"/>
        <v>5386</v>
      </c>
      <c r="ED31" s="98">
        <f t="shared" si="513"/>
        <v>10858</v>
      </c>
      <c r="EE31" s="116">
        <f>EB31/DS31</f>
        <v>0.80755608028335302</v>
      </c>
      <c r="EF31" s="116">
        <f>EC31/DT31</f>
        <v>0.76148734624628867</v>
      </c>
      <c r="EG31" s="116">
        <f>ED31/DU31</f>
        <v>0.78402772763376416</v>
      </c>
      <c r="EH31" s="98">
        <f>+AP31</f>
        <v>13996</v>
      </c>
      <c r="EI31" s="98">
        <f>+AQ31</f>
        <v>13636</v>
      </c>
      <c r="EJ31" s="98">
        <f>+AR31</f>
        <v>27632</v>
      </c>
      <c r="EK31" s="98">
        <v>486</v>
      </c>
      <c r="EL31" s="98">
        <v>473</v>
      </c>
      <c r="EM31" s="98">
        <f>EK31+EL31</f>
        <v>959</v>
      </c>
      <c r="EN31" s="100">
        <f>+EK31*100/EH31</f>
        <v>3.4724206916261791</v>
      </c>
      <c r="EO31" s="100">
        <f>+EL31*100/EI31</f>
        <v>3.4687591669111177</v>
      </c>
      <c r="EP31" s="100">
        <f>+EM31*100/EJ31</f>
        <v>3.4706137811233351</v>
      </c>
      <c r="EQ31" s="98">
        <f>+CI31</f>
        <v>516</v>
      </c>
      <c r="ER31" s="98">
        <f>+CJ31</f>
        <v>580</v>
      </c>
      <c r="ES31" s="98">
        <f>+CK31</f>
        <v>1096</v>
      </c>
      <c r="ET31" s="98">
        <v>20</v>
      </c>
      <c r="EU31" s="98">
        <v>38</v>
      </c>
      <c r="EV31" s="98">
        <f>ET31+EU31</f>
        <v>58</v>
      </c>
      <c r="EW31" s="100">
        <f>+ET31*100/EQ31</f>
        <v>3.8759689922480618</v>
      </c>
      <c r="EX31" s="100">
        <f>+EU31*100/ER31</f>
        <v>6.5517241379310347</v>
      </c>
      <c r="EY31" s="100">
        <f>+EV31*100/ES31</f>
        <v>5.2919708029197077</v>
      </c>
      <c r="EZ31" s="98">
        <f>+EB31</f>
        <v>5472</v>
      </c>
      <c r="FA31" s="98">
        <f>+EC31</f>
        <v>5386</v>
      </c>
      <c r="FB31" s="98">
        <f>+ED31</f>
        <v>10858</v>
      </c>
      <c r="FC31" s="98">
        <v>85</v>
      </c>
      <c r="FD31" s="98">
        <v>81</v>
      </c>
      <c r="FE31" s="98">
        <f>FC31+FD31</f>
        <v>166</v>
      </c>
      <c r="FF31" s="100">
        <f>+FC31*100/EZ31</f>
        <v>1.5533625730994152</v>
      </c>
      <c r="FG31" s="100">
        <f>+FD31*100/FA31</f>
        <v>1.5038989974006685</v>
      </c>
      <c r="FH31" s="100">
        <f>+FE31*100/FB31</f>
        <v>1.5288266715785597</v>
      </c>
    </row>
    <row r="32" spans="1:164" ht="27" customHeight="1">
      <c r="A32" s="94">
        <v>23</v>
      </c>
      <c r="B32" s="118" t="s">
        <v>158</v>
      </c>
      <c r="C32" s="96">
        <v>16119</v>
      </c>
      <c r="D32" s="96">
        <v>19116</v>
      </c>
      <c r="E32" s="96">
        <f t="shared" si="182"/>
        <v>35235</v>
      </c>
      <c r="F32" s="96">
        <v>11240</v>
      </c>
      <c r="G32" s="96">
        <v>13046</v>
      </c>
      <c r="H32" s="96">
        <f t="shared" si="183"/>
        <v>24286</v>
      </c>
      <c r="I32" s="104"/>
      <c r="J32" s="104"/>
      <c r="K32" s="104"/>
      <c r="L32" s="97">
        <f t="shared" si="460"/>
        <v>11240</v>
      </c>
      <c r="M32" s="98">
        <f t="shared" si="461"/>
        <v>13046</v>
      </c>
      <c r="N32" s="98">
        <f t="shared" si="462"/>
        <v>24286</v>
      </c>
      <c r="O32" s="116">
        <f t="shared" si="187"/>
        <v>0.69731372913952483</v>
      </c>
      <c r="P32" s="116">
        <f t="shared" si="188"/>
        <v>0.6824649508265328</v>
      </c>
      <c r="Q32" s="116">
        <f t="shared" si="189"/>
        <v>0.68925784021569458</v>
      </c>
      <c r="R32" s="98">
        <v>7536</v>
      </c>
      <c r="S32" s="98">
        <v>8202</v>
      </c>
      <c r="T32" s="98">
        <f t="shared" si="478"/>
        <v>15738</v>
      </c>
      <c r="U32" s="98">
        <v>1449</v>
      </c>
      <c r="V32" s="98">
        <v>1823</v>
      </c>
      <c r="W32" s="98">
        <f t="shared" si="258"/>
        <v>3272</v>
      </c>
      <c r="X32" s="103"/>
      <c r="Y32" s="103"/>
      <c r="Z32" s="103"/>
      <c r="AA32" s="98">
        <f t="shared" si="259"/>
        <v>1449</v>
      </c>
      <c r="AB32" s="98">
        <f t="shared" si="260"/>
        <v>1823</v>
      </c>
      <c r="AC32" s="98">
        <f t="shared" si="261"/>
        <v>3272</v>
      </c>
      <c r="AD32" s="116">
        <f t="shared" ref="AD32:AD34" si="514">AA32/R32</f>
        <v>0.19227707006369427</v>
      </c>
      <c r="AE32" s="116">
        <f t="shared" ref="AE32:AE34" si="515">AB32/S32</f>
        <v>0.22226286271641063</v>
      </c>
      <c r="AF32" s="116">
        <f t="shared" si="481"/>
        <v>0.20790443512517473</v>
      </c>
      <c r="AG32" s="98">
        <f t="shared" si="190"/>
        <v>23655</v>
      </c>
      <c r="AH32" s="98">
        <f t="shared" si="191"/>
        <v>27318</v>
      </c>
      <c r="AI32" s="98">
        <f t="shared" si="191"/>
        <v>50973</v>
      </c>
      <c r="AJ32" s="98">
        <f t="shared" si="193"/>
        <v>12689</v>
      </c>
      <c r="AK32" s="98">
        <f t="shared" si="194"/>
        <v>14869</v>
      </c>
      <c r="AL32" s="98">
        <f t="shared" si="194"/>
        <v>27558</v>
      </c>
      <c r="AM32" s="103"/>
      <c r="AN32" s="103"/>
      <c r="AO32" s="103"/>
      <c r="AP32" s="98">
        <f t="shared" si="195"/>
        <v>12689</v>
      </c>
      <c r="AQ32" s="98">
        <f t="shared" si="196"/>
        <v>14869</v>
      </c>
      <c r="AR32" s="98">
        <f t="shared" si="196"/>
        <v>27558</v>
      </c>
      <c r="AS32" s="116">
        <f t="shared" si="197"/>
        <v>0.53641936165715498</v>
      </c>
      <c r="AT32" s="116">
        <f t="shared" si="198"/>
        <v>0.54429314005417673</v>
      </c>
      <c r="AU32" s="116">
        <f>AR32/AI32</f>
        <v>0.5406391619092461</v>
      </c>
      <c r="AV32" s="99">
        <v>125</v>
      </c>
      <c r="AW32" s="99">
        <v>141</v>
      </c>
      <c r="AX32" s="99">
        <f t="shared" si="200"/>
        <v>266</v>
      </c>
      <c r="AY32" s="99">
        <v>76</v>
      </c>
      <c r="AZ32" s="99">
        <v>95</v>
      </c>
      <c r="BA32" s="99">
        <f t="shared" si="201"/>
        <v>171</v>
      </c>
      <c r="BB32" s="104"/>
      <c r="BC32" s="104"/>
      <c r="BD32" s="104"/>
      <c r="BE32" s="99">
        <f t="shared" si="202"/>
        <v>76</v>
      </c>
      <c r="BF32" s="99">
        <f t="shared" si="203"/>
        <v>95</v>
      </c>
      <c r="BG32" s="99">
        <f t="shared" si="203"/>
        <v>171</v>
      </c>
      <c r="BH32" s="116">
        <f t="shared" si="205"/>
        <v>0.60799999999999998</v>
      </c>
      <c r="BI32" s="116">
        <f t="shared" si="206"/>
        <v>0.67375886524822692</v>
      </c>
      <c r="BJ32" s="116">
        <f t="shared" si="207"/>
        <v>0.6428571428571429</v>
      </c>
      <c r="BK32" s="98">
        <v>15</v>
      </c>
      <c r="BL32" s="98">
        <v>16</v>
      </c>
      <c r="BM32" s="98">
        <f t="shared" si="266"/>
        <v>31</v>
      </c>
      <c r="BN32" s="99">
        <v>4</v>
      </c>
      <c r="BO32" s="99">
        <v>12</v>
      </c>
      <c r="BP32" s="99">
        <f t="shared" si="267"/>
        <v>16</v>
      </c>
      <c r="BQ32" s="104"/>
      <c r="BR32" s="104"/>
      <c r="BS32" s="104"/>
      <c r="BT32" s="99">
        <f t="shared" si="482"/>
        <v>4</v>
      </c>
      <c r="BU32" s="99">
        <f t="shared" si="268"/>
        <v>12</v>
      </c>
      <c r="BV32" s="99">
        <f t="shared" si="268"/>
        <v>16</v>
      </c>
      <c r="BW32" s="116">
        <f t="shared" si="270"/>
        <v>0.26666666666666666</v>
      </c>
      <c r="BX32" s="116">
        <f t="shared" si="271"/>
        <v>0.75</v>
      </c>
      <c r="BY32" s="116">
        <f t="shared" si="272"/>
        <v>0.5161290322580645</v>
      </c>
      <c r="BZ32" s="98">
        <f t="shared" si="463"/>
        <v>140</v>
      </c>
      <c r="CA32" s="98">
        <f t="shared" si="464"/>
        <v>157</v>
      </c>
      <c r="CB32" s="98">
        <f t="shared" si="465"/>
        <v>297</v>
      </c>
      <c r="CC32" s="98">
        <f t="shared" si="211"/>
        <v>80</v>
      </c>
      <c r="CD32" s="98">
        <f t="shared" si="212"/>
        <v>107</v>
      </c>
      <c r="CE32" s="98">
        <f t="shared" si="213"/>
        <v>187</v>
      </c>
      <c r="CF32" s="103"/>
      <c r="CG32" s="103"/>
      <c r="CH32" s="103"/>
      <c r="CI32" s="98">
        <f t="shared" ref="CI32:CI36" si="516">BE32+BT32</f>
        <v>80</v>
      </c>
      <c r="CJ32" s="98">
        <f t="shared" ref="CJ32:CJ36" si="517">BF32+BU32</f>
        <v>107</v>
      </c>
      <c r="CK32" s="98">
        <f t="shared" ref="CK32:CK36" si="518">BG32+BV32</f>
        <v>187</v>
      </c>
      <c r="CL32" s="116">
        <f t="shared" si="454"/>
        <v>0.5714285714285714</v>
      </c>
      <c r="CM32" s="116">
        <f t="shared" si="218"/>
        <v>0.68152866242038213</v>
      </c>
      <c r="CN32" s="116">
        <f t="shared" si="219"/>
        <v>0.62962962962962965</v>
      </c>
      <c r="CO32" s="99">
        <v>14310</v>
      </c>
      <c r="CP32" s="99">
        <v>17452</v>
      </c>
      <c r="CQ32" s="99">
        <f t="shared" si="220"/>
        <v>31762</v>
      </c>
      <c r="CR32" s="99">
        <v>9925</v>
      </c>
      <c r="CS32" s="99">
        <v>11851</v>
      </c>
      <c r="CT32" s="99">
        <f t="shared" si="221"/>
        <v>21776</v>
      </c>
      <c r="CU32" s="104"/>
      <c r="CV32" s="104"/>
      <c r="CW32" s="104"/>
      <c r="CX32" s="99">
        <f t="shared" si="222"/>
        <v>9925</v>
      </c>
      <c r="CY32" s="99">
        <f t="shared" si="223"/>
        <v>11851</v>
      </c>
      <c r="CZ32" s="99">
        <f t="shared" si="223"/>
        <v>21776</v>
      </c>
      <c r="DA32" s="116">
        <f t="shared" si="273"/>
        <v>0.69357092941998599</v>
      </c>
      <c r="DB32" s="116">
        <f t="shared" si="225"/>
        <v>0.6790625716250287</v>
      </c>
      <c r="DC32" s="116">
        <f t="shared" si="226"/>
        <v>0.68559914363075369</v>
      </c>
      <c r="DD32" s="98">
        <v>7379</v>
      </c>
      <c r="DE32" s="98">
        <v>8020</v>
      </c>
      <c r="DF32" s="98">
        <f t="shared" si="274"/>
        <v>15399</v>
      </c>
      <c r="DG32" s="99">
        <v>1385</v>
      </c>
      <c r="DH32" s="99">
        <v>1739</v>
      </c>
      <c r="DI32" s="99">
        <f t="shared" si="275"/>
        <v>3124</v>
      </c>
      <c r="DJ32" s="104"/>
      <c r="DK32" s="104"/>
      <c r="DL32" s="104"/>
      <c r="DM32" s="99">
        <f t="shared" si="276"/>
        <v>1385</v>
      </c>
      <c r="DN32" s="99">
        <f t="shared" si="277"/>
        <v>1739</v>
      </c>
      <c r="DO32" s="99">
        <f t="shared" si="277"/>
        <v>3124</v>
      </c>
      <c r="DP32" s="116">
        <f t="shared" si="279"/>
        <v>0.18769480959479604</v>
      </c>
      <c r="DQ32" s="116">
        <f t="shared" si="280"/>
        <v>0.21683291770573565</v>
      </c>
      <c r="DR32" s="116">
        <f t="shared" si="281"/>
        <v>0.20287031625430224</v>
      </c>
      <c r="DS32" s="98">
        <f t="shared" si="227"/>
        <v>21689</v>
      </c>
      <c r="DT32" s="98">
        <f t="shared" si="228"/>
        <v>25472</v>
      </c>
      <c r="DU32" s="98">
        <f t="shared" si="229"/>
        <v>47161</v>
      </c>
      <c r="DV32" s="98">
        <f t="shared" si="230"/>
        <v>11310</v>
      </c>
      <c r="DW32" s="98">
        <f t="shared" si="231"/>
        <v>13590</v>
      </c>
      <c r="DX32" s="98">
        <f t="shared" si="232"/>
        <v>24900</v>
      </c>
      <c r="DY32" s="103"/>
      <c r="DZ32" s="103"/>
      <c r="EA32" s="103"/>
      <c r="EB32" s="98">
        <f t="shared" si="233"/>
        <v>11310</v>
      </c>
      <c r="EC32" s="98">
        <f t="shared" si="234"/>
        <v>13590</v>
      </c>
      <c r="ED32" s="98">
        <f t="shared" si="235"/>
        <v>24900</v>
      </c>
      <c r="EE32" s="116">
        <f t="shared" si="459"/>
        <v>0.52146249250772281</v>
      </c>
      <c r="EF32" s="116">
        <f t="shared" si="236"/>
        <v>0.53352701005025127</v>
      </c>
      <c r="EG32" s="116">
        <f t="shared" si="237"/>
        <v>0.52797862640741289</v>
      </c>
      <c r="EH32" s="98">
        <f t="shared" si="238"/>
        <v>12689</v>
      </c>
      <c r="EI32" s="98">
        <f t="shared" si="239"/>
        <v>14869</v>
      </c>
      <c r="EJ32" s="98">
        <f t="shared" si="239"/>
        <v>27558</v>
      </c>
      <c r="EK32" s="98">
        <f>677+2177</f>
        <v>2854</v>
      </c>
      <c r="EL32" s="98">
        <f>828+2482</f>
        <v>3310</v>
      </c>
      <c r="EM32" s="98">
        <f t="shared" si="241"/>
        <v>6164</v>
      </c>
      <c r="EN32" s="100">
        <f t="shared" si="470"/>
        <v>22.491922137284263</v>
      </c>
      <c r="EO32" s="100">
        <f t="shared" si="471"/>
        <v>22.261080099535949</v>
      </c>
      <c r="EP32" s="100">
        <f t="shared" si="472"/>
        <v>22.367370636475798</v>
      </c>
      <c r="EQ32" s="98">
        <f t="shared" si="245"/>
        <v>80</v>
      </c>
      <c r="ER32" s="98">
        <f t="shared" si="246"/>
        <v>107</v>
      </c>
      <c r="ES32" s="98">
        <f t="shared" si="246"/>
        <v>187</v>
      </c>
      <c r="ET32" s="98">
        <v>22</v>
      </c>
      <c r="EU32" s="98">
        <v>24</v>
      </c>
      <c r="EV32" s="98">
        <f t="shared" si="248"/>
        <v>46</v>
      </c>
      <c r="EW32" s="100">
        <f t="shared" si="473"/>
        <v>27.5</v>
      </c>
      <c r="EX32" s="100">
        <f t="shared" si="474"/>
        <v>22.429906542056074</v>
      </c>
      <c r="EY32" s="100">
        <f t="shared" si="474"/>
        <v>24.598930481283421</v>
      </c>
      <c r="EZ32" s="98">
        <f t="shared" si="252"/>
        <v>11310</v>
      </c>
      <c r="FA32" s="98">
        <f t="shared" si="253"/>
        <v>13590</v>
      </c>
      <c r="FB32" s="98">
        <f t="shared" si="253"/>
        <v>24900</v>
      </c>
      <c r="FC32" s="98">
        <f>528+1889</f>
        <v>2417</v>
      </c>
      <c r="FD32" s="98">
        <f>683+2232</f>
        <v>2915</v>
      </c>
      <c r="FE32" s="98">
        <f t="shared" si="255"/>
        <v>5332</v>
      </c>
      <c r="FF32" s="100">
        <f t="shared" si="475"/>
        <v>21.370468611847922</v>
      </c>
      <c r="FG32" s="100">
        <f t="shared" si="476"/>
        <v>21.449595290654894</v>
      </c>
      <c r="FH32" s="100">
        <f t="shared" si="477"/>
        <v>21.413654618473895</v>
      </c>
    </row>
    <row r="33" spans="1:164" ht="27" customHeight="1">
      <c r="A33" s="94">
        <v>24</v>
      </c>
      <c r="B33" s="118" t="s">
        <v>159</v>
      </c>
      <c r="C33" s="96">
        <v>6892</v>
      </c>
      <c r="D33" s="96">
        <v>7636</v>
      </c>
      <c r="E33" s="96">
        <f t="shared" si="182"/>
        <v>14528</v>
      </c>
      <c r="F33" s="96">
        <v>5099</v>
      </c>
      <c r="G33" s="96">
        <v>5438</v>
      </c>
      <c r="H33" s="96">
        <f t="shared" si="183"/>
        <v>10537</v>
      </c>
      <c r="I33" s="96">
        <v>45</v>
      </c>
      <c r="J33" s="96">
        <v>38</v>
      </c>
      <c r="K33" s="96">
        <f t="shared" si="443"/>
        <v>83</v>
      </c>
      <c r="L33" s="97">
        <f t="shared" si="460"/>
        <v>5144</v>
      </c>
      <c r="M33" s="98">
        <f t="shared" si="461"/>
        <v>5476</v>
      </c>
      <c r="N33" s="98">
        <f t="shared" si="462"/>
        <v>10620</v>
      </c>
      <c r="O33" s="116">
        <f t="shared" si="187"/>
        <v>0.74637260591990717</v>
      </c>
      <c r="P33" s="116">
        <f t="shared" si="188"/>
        <v>0.71712938711367213</v>
      </c>
      <c r="Q33" s="116">
        <f t="shared" si="189"/>
        <v>0.73100220264317184</v>
      </c>
      <c r="R33" s="98">
        <v>53</v>
      </c>
      <c r="S33" s="98">
        <v>47</v>
      </c>
      <c r="T33" s="98">
        <f t="shared" si="478"/>
        <v>100</v>
      </c>
      <c r="U33" s="98">
        <v>14</v>
      </c>
      <c r="V33" s="98">
        <v>6</v>
      </c>
      <c r="W33" s="98">
        <f t="shared" si="258"/>
        <v>20</v>
      </c>
      <c r="X33" s="103"/>
      <c r="Y33" s="103"/>
      <c r="Z33" s="103"/>
      <c r="AA33" s="98">
        <f t="shared" si="259"/>
        <v>14</v>
      </c>
      <c r="AB33" s="98">
        <f t="shared" si="260"/>
        <v>6</v>
      </c>
      <c r="AC33" s="98">
        <f t="shared" si="261"/>
        <v>20</v>
      </c>
      <c r="AD33" s="116">
        <f t="shared" si="514"/>
        <v>0.26415094339622641</v>
      </c>
      <c r="AE33" s="116">
        <f t="shared" si="515"/>
        <v>0.1276595744680851</v>
      </c>
      <c r="AF33" s="116">
        <f t="shared" si="481"/>
        <v>0.2</v>
      </c>
      <c r="AG33" s="98">
        <f t="shared" si="190"/>
        <v>6945</v>
      </c>
      <c r="AH33" s="98">
        <f t="shared" si="191"/>
        <v>7683</v>
      </c>
      <c r="AI33" s="98">
        <f t="shared" si="191"/>
        <v>14628</v>
      </c>
      <c r="AJ33" s="98">
        <f t="shared" si="193"/>
        <v>5113</v>
      </c>
      <c r="AK33" s="98">
        <f t="shared" si="194"/>
        <v>5444</v>
      </c>
      <c r="AL33" s="98">
        <f t="shared" si="194"/>
        <v>10557</v>
      </c>
      <c r="AM33" s="98">
        <f t="shared" si="447"/>
        <v>45</v>
      </c>
      <c r="AN33" s="98">
        <f t="shared" si="265"/>
        <v>38</v>
      </c>
      <c r="AO33" s="98">
        <f t="shared" si="265"/>
        <v>83</v>
      </c>
      <c r="AP33" s="98">
        <f t="shared" si="195"/>
        <v>5158</v>
      </c>
      <c r="AQ33" s="98">
        <f t="shared" si="196"/>
        <v>5482</v>
      </c>
      <c r="AR33" s="98">
        <f t="shared" si="196"/>
        <v>10640</v>
      </c>
      <c r="AS33" s="116">
        <f t="shared" si="197"/>
        <v>0.74269258459323251</v>
      </c>
      <c r="AT33" s="116">
        <f t="shared" si="198"/>
        <v>0.71352336326955612</v>
      </c>
      <c r="AU33" s="116">
        <f t="shared" si="199"/>
        <v>0.7273721629751162</v>
      </c>
      <c r="AV33" s="99">
        <v>12</v>
      </c>
      <c r="AW33" s="99">
        <v>19</v>
      </c>
      <c r="AX33" s="99">
        <f t="shared" si="200"/>
        <v>31</v>
      </c>
      <c r="AY33" s="99">
        <v>10</v>
      </c>
      <c r="AZ33" s="99">
        <v>13</v>
      </c>
      <c r="BA33" s="99">
        <f t="shared" si="201"/>
        <v>23</v>
      </c>
      <c r="BB33" s="104"/>
      <c r="BC33" s="104"/>
      <c r="BD33" s="104"/>
      <c r="BE33" s="99">
        <f t="shared" si="202"/>
        <v>10</v>
      </c>
      <c r="BF33" s="99">
        <f t="shared" si="203"/>
        <v>13</v>
      </c>
      <c r="BG33" s="99">
        <f t="shared" si="203"/>
        <v>23</v>
      </c>
      <c r="BH33" s="116">
        <f t="shared" si="205"/>
        <v>0.83333333333333337</v>
      </c>
      <c r="BI33" s="116">
        <f t="shared" si="206"/>
        <v>0.68421052631578949</v>
      </c>
      <c r="BJ33" s="116">
        <f t="shared" si="207"/>
        <v>0.74193548387096775</v>
      </c>
      <c r="BK33" s="98">
        <v>0</v>
      </c>
      <c r="BL33" s="98">
        <v>0</v>
      </c>
      <c r="BM33" s="98">
        <f t="shared" si="266"/>
        <v>0</v>
      </c>
      <c r="BN33" s="99">
        <v>0</v>
      </c>
      <c r="BO33" s="99">
        <v>0</v>
      </c>
      <c r="BP33" s="99">
        <f t="shared" si="267"/>
        <v>0</v>
      </c>
      <c r="BQ33" s="104"/>
      <c r="BR33" s="104"/>
      <c r="BS33" s="104"/>
      <c r="BT33" s="99">
        <f t="shared" ref="BT33:BT34" si="519">+BN33+BQ33</f>
        <v>0</v>
      </c>
      <c r="BU33" s="99">
        <f t="shared" ref="BU33:BU34" si="520">+BO33+BR33</f>
        <v>0</v>
      </c>
      <c r="BV33" s="99">
        <f t="shared" ref="BV33:BV34" si="521">+BP33+BS33</f>
        <v>0</v>
      </c>
      <c r="BW33" s="116">
        <v>0</v>
      </c>
      <c r="BX33" s="116">
        <v>0</v>
      </c>
      <c r="BY33" s="116">
        <v>0</v>
      </c>
      <c r="BZ33" s="98">
        <f t="shared" si="463"/>
        <v>12</v>
      </c>
      <c r="CA33" s="98">
        <f t="shared" si="464"/>
        <v>19</v>
      </c>
      <c r="CB33" s="98">
        <f t="shared" si="465"/>
        <v>31</v>
      </c>
      <c r="CC33" s="98">
        <f t="shared" si="211"/>
        <v>10</v>
      </c>
      <c r="CD33" s="98">
        <f t="shared" si="212"/>
        <v>13</v>
      </c>
      <c r="CE33" s="98">
        <f t="shared" si="213"/>
        <v>23</v>
      </c>
      <c r="CF33" s="98">
        <f t="shared" si="449"/>
        <v>0</v>
      </c>
      <c r="CG33" s="98">
        <f t="shared" si="450"/>
        <v>0</v>
      </c>
      <c r="CH33" s="98">
        <f t="shared" si="451"/>
        <v>0</v>
      </c>
      <c r="CI33" s="98">
        <f t="shared" si="516"/>
        <v>10</v>
      </c>
      <c r="CJ33" s="98">
        <f t="shared" si="517"/>
        <v>13</v>
      </c>
      <c r="CK33" s="98">
        <f t="shared" si="518"/>
        <v>23</v>
      </c>
      <c r="CL33" s="116">
        <f t="shared" si="454"/>
        <v>0.83333333333333337</v>
      </c>
      <c r="CM33" s="116">
        <f t="shared" si="218"/>
        <v>0.68421052631578949</v>
      </c>
      <c r="CN33" s="116">
        <f t="shared" si="219"/>
        <v>0.74193548387096775</v>
      </c>
      <c r="CO33" s="99">
        <v>6791</v>
      </c>
      <c r="CP33" s="99">
        <v>7517</v>
      </c>
      <c r="CQ33" s="99">
        <f t="shared" si="220"/>
        <v>14308</v>
      </c>
      <c r="CR33" s="99">
        <v>5012</v>
      </c>
      <c r="CS33" s="99">
        <v>5351</v>
      </c>
      <c r="CT33" s="99">
        <f t="shared" si="221"/>
        <v>10363</v>
      </c>
      <c r="CU33" s="99">
        <v>45</v>
      </c>
      <c r="CV33" s="99">
        <v>38</v>
      </c>
      <c r="CW33" s="99">
        <f t="shared" si="455"/>
        <v>83</v>
      </c>
      <c r="CX33" s="99">
        <f t="shared" si="222"/>
        <v>5057</v>
      </c>
      <c r="CY33" s="99">
        <f t="shared" si="223"/>
        <v>5389</v>
      </c>
      <c r="CZ33" s="99">
        <f t="shared" si="223"/>
        <v>10446</v>
      </c>
      <c r="DA33" s="116">
        <f t="shared" si="273"/>
        <v>0.74466205271683106</v>
      </c>
      <c r="DB33" s="116">
        <f t="shared" si="225"/>
        <v>0.71690834109352131</v>
      </c>
      <c r="DC33" s="116">
        <f t="shared" si="226"/>
        <v>0.73008107352530049</v>
      </c>
      <c r="DD33" s="98">
        <v>53</v>
      </c>
      <c r="DE33" s="98">
        <v>47</v>
      </c>
      <c r="DF33" s="98">
        <f t="shared" si="274"/>
        <v>100</v>
      </c>
      <c r="DG33" s="99">
        <v>14</v>
      </c>
      <c r="DH33" s="99">
        <v>6</v>
      </c>
      <c r="DI33" s="99">
        <f t="shared" si="275"/>
        <v>20</v>
      </c>
      <c r="DJ33" s="104"/>
      <c r="DK33" s="104"/>
      <c r="DL33" s="104"/>
      <c r="DM33" s="99">
        <f t="shared" si="276"/>
        <v>14</v>
      </c>
      <c r="DN33" s="99">
        <f t="shared" si="277"/>
        <v>6</v>
      </c>
      <c r="DO33" s="99">
        <f t="shared" si="277"/>
        <v>20</v>
      </c>
      <c r="DP33" s="116">
        <f t="shared" si="279"/>
        <v>0.26415094339622641</v>
      </c>
      <c r="DQ33" s="116">
        <f t="shared" si="280"/>
        <v>0.1276595744680851</v>
      </c>
      <c r="DR33" s="116">
        <f t="shared" si="281"/>
        <v>0.2</v>
      </c>
      <c r="DS33" s="98">
        <f t="shared" si="227"/>
        <v>6844</v>
      </c>
      <c r="DT33" s="98">
        <f t="shared" si="228"/>
        <v>7564</v>
      </c>
      <c r="DU33" s="98">
        <f t="shared" si="229"/>
        <v>14408</v>
      </c>
      <c r="DV33" s="98">
        <f t="shared" si="230"/>
        <v>5026</v>
      </c>
      <c r="DW33" s="98">
        <f t="shared" si="231"/>
        <v>5357</v>
      </c>
      <c r="DX33" s="98">
        <f t="shared" si="232"/>
        <v>10383</v>
      </c>
      <c r="DY33" s="98">
        <f t="shared" si="456"/>
        <v>45</v>
      </c>
      <c r="DZ33" s="98">
        <f t="shared" si="457"/>
        <v>38</v>
      </c>
      <c r="EA33" s="98">
        <f t="shared" si="458"/>
        <v>83</v>
      </c>
      <c r="EB33" s="98">
        <f t="shared" si="233"/>
        <v>5071</v>
      </c>
      <c r="EC33" s="98">
        <f t="shared" si="234"/>
        <v>5395</v>
      </c>
      <c r="ED33" s="98">
        <f t="shared" si="235"/>
        <v>10466</v>
      </c>
      <c r="EE33" s="116">
        <f t="shared" si="459"/>
        <v>0.74094097019286964</v>
      </c>
      <c r="EF33" s="116">
        <f t="shared" si="236"/>
        <v>0.71324695928080384</v>
      </c>
      <c r="EG33" s="116">
        <f t="shared" si="237"/>
        <v>0.72640199888950585</v>
      </c>
      <c r="EH33" s="98">
        <f t="shared" si="238"/>
        <v>5158</v>
      </c>
      <c r="EI33" s="98">
        <f t="shared" si="239"/>
        <v>5482</v>
      </c>
      <c r="EJ33" s="98">
        <f t="shared" si="239"/>
        <v>10640</v>
      </c>
      <c r="EK33" s="98">
        <v>1885</v>
      </c>
      <c r="EL33" s="98">
        <v>2233</v>
      </c>
      <c r="EM33" s="98">
        <f t="shared" si="241"/>
        <v>4118</v>
      </c>
      <c r="EN33" s="100">
        <f t="shared" si="470"/>
        <v>36.545172547499028</v>
      </c>
      <c r="EO33" s="100">
        <f t="shared" si="471"/>
        <v>40.733309011309743</v>
      </c>
      <c r="EP33" s="100">
        <f t="shared" si="472"/>
        <v>38.703007518796994</v>
      </c>
      <c r="EQ33" s="98">
        <f t="shared" si="245"/>
        <v>10</v>
      </c>
      <c r="ER33" s="98">
        <f t="shared" si="246"/>
        <v>13</v>
      </c>
      <c r="ES33" s="98">
        <f t="shared" si="246"/>
        <v>23</v>
      </c>
      <c r="ET33" s="98">
        <v>5</v>
      </c>
      <c r="EU33" s="98">
        <v>8</v>
      </c>
      <c r="EV33" s="98">
        <f t="shared" si="248"/>
        <v>13</v>
      </c>
      <c r="EW33" s="100">
        <f t="shared" si="473"/>
        <v>50</v>
      </c>
      <c r="EX33" s="100">
        <f t="shared" si="474"/>
        <v>61.53846153846154</v>
      </c>
      <c r="EY33" s="100">
        <f t="shared" si="474"/>
        <v>56.521739130434781</v>
      </c>
      <c r="EZ33" s="98">
        <f t="shared" si="252"/>
        <v>5071</v>
      </c>
      <c r="FA33" s="98">
        <f t="shared" si="253"/>
        <v>5395</v>
      </c>
      <c r="FB33" s="98">
        <f t="shared" si="253"/>
        <v>10466</v>
      </c>
      <c r="FC33" s="98">
        <v>1850</v>
      </c>
      <c r="FD33" s="98">
        <v>2209</v>
      </c>
      <c r="FE33" s="98">
        <f t="shared" si="255"/>
        <v>4059</v>
      </c>
      <c r="FF33" s="100">
        <f t="shared" si="475"/>
        <v>36.481956221652531</v>
      </c>
      <c r="FG33" s="100">
        <f t="shared" si="476"/>
        <v>40.945319740500466</v>
      </c>
      <c r="FH33" s="100">
        <f t="shared" si="477"/>
        <v>38.782725014332122</v>
      </c>
    </row>
    <row r="34" spans="1:164" ht="27" customHeight="1">
      <c r="A34" s="94">
        <v>25</v>
      </c>
      <c r="B34" s="118" t="s">
        <v>160</v>
      </c>
      <c r="C34" s="96">
        <v>9054</v>
      </c>
      <c r="D34" s="96">
        <v>9915</v>
      </c>
      <c r="E34" s="96">
        <f t="shared" si="182"/>
        <v>18969</v>
      </c>
      <c r="F34" s="96">
        <v>6996</v>
      </c>
      <c r="G34" s="96">
        <v>7561</v>
      </c>
      <c r="H34" s="96">
        <f t="shared" si="183"/>
        <v>14557</v>
      </c>
      <c r="I34" s="104"/>
      <c r="J34" s="104"/>
      <c r="K34" s="104"/>
      <c r="L34" s="97">
        <f t="shared" si="460"/>
        <v>6996</v>
      </c>
      <c r="M34" s="98">
        <f t="shared" si="461"/>
        <v>7561</v>
      </c>
      <c r="N34" s="98">
        <f t="shared" si="462"/>
        <v>14557</v>
      </c>
      <c r="O34" s="116">
        <f t="shared" si="187"/>
        <v>0.77269715043074882</v>
      </c>
      <c r="P34" s="116">
        <f t="shared" si="188"/>
        <v>0.76258194654563793</v>
      </c>
      <c r="Q34" s="116">
        <f t="shared" si="189"/>
        <v>0.76740998471189836</v>
      </c>
      <c r="R34" s="98">
        <v>1645</v>
      </c>
      <c r="S34" s="98">
        <v>1832</v>
      </c>
      <c r="T34" s="98">
        <f t="shared" si="478"/>
        <v>3477</v>
      </c>
      <c r="U34" s="98">
        <v>580</v>
      </c>
      <c r="V34" s="98">
        <v>617</v>
      </c>
      <c r="W34" s="98">
        <f t="shared" si="258"/>
        <v>1197</v>
      </c>
      <c r="X34" s="103"/>
      <c r="Y34" s="103"/>
      <c r="Z34" s="103"/>
      <c r="AA34" s="98">
        <f t="shared" si="259"/>
        <v>580</v>
      </c>
      <c r="AB34" s="98">
        <f t="shared" si="260"/>
        <v>617</v>
      </c>
      <c r="AC34" s="98">
        <f t="shared" si="261"/>
        <v>1197</v>
      </c>
      <c r="AD34" s="116">
        <f t="shared" si="514"/>
        <v>0.35258358662613981</v>
      </c>
      <c r="AE34" s="116">
        <f t="shared" si="515"/>
        <v>0.33679039301310043</v>
      </c>
      <c r="AF34" s="116">
        <f t="shared" si="481"/>
        <v>0.34426229508196721</v>
      </c>
      <c r="AG34" s="98">
        <f t="shared" si="190"/>
        <v>10699</v>
      </c>
      <c r="AH34" s="98">
        <f t="shared" si="191"/>
        <v>11747</v>
      </c>
      <c r="AI34" s="98">
        <f t="shared" si="191"/>
        <v>22446</v>
      </c>
      <c r="AJ34" s="98">
        <f t="shared" si="193"/>
        <v>7576</v>
      </c>
      <c r="AK34" s="98">
        <f t="shared" si="194"/>
        <v>8178</v>
      </c>
      <c r="AL34" s="98">
        <f t="shared" si="194"/>
        <v>15754</v>
      </c>
      <c r="AM34" s="103"/>
      <c r="AN34" s="103"/>
      <c r="AO34" s="103"/>
      <c r="AP34" s="98">
        <f t="shared" si="195"/>
        <v>7576</v>
      </c>
      <c r="AQ34" s="98">
        <f t="shared" si="196"/>
        <v>8178</v>
      </c>
      <c r="AR34" s="98">
        <f t="shared" si="196"/>
        <v>15754</v>
      </c>
      <c r="AS34" s="116">
        <f t="shared" si="197"/>
        <v>0.70810356108047479</v>
      </c>
      <c r="AT34" s="116">
        <f t="shared" si="198"/>
        <v>0.69617774751000261</v>
      </c>
      <c r="AU34" s="116">
        <f t="shared" si="199"/>
        <v>0.70186224717098811</v>
      </c>
      <c r="AV34" s="99">
        <v>97</v>
      </c>
      <c r="AW34" s="99">
        <v>82</v>
      </c>
      <c r="AX34" s="99">
        <f t="shared" si="200"/>
        <v>179</v>
      </c>
      <c r="AY34" s="99">
        <v>81</v>
      </c>
      <c r="AZ34" s="99">
        <v>67</v>
      </c>
      <c r="BA34" s="99">
        <f t="shared" si="201"/>
        <v>148</v>
      </c>
      <c r="BB34" s="104"/>
      <c r="BC34" s="104"/>
      <c r="BD34" s="104"/>
      <c r="BE34" s="99">
        <f t="shared" si="202"/>
        <v>81</v>
      </c>
      <c r="BF34" s="99">
        <f t="shared" si="203"/>
        <v>67</v>
      </c>
      <c r="BG34" s="99">
        <f t="shared" si="203"/>
        <v>148</v>
      </c>
      <c r="BH34" s="116">
        <f t="shared" si="205"/>
        <v>0.83505154639175261</v>
      </c>
      <c r="BI34" s="116">
        <f t="shared" si="206"/>
        <v>0.81707317073170727</v>
      </c>
      <c r="BJ34" s="116">
        <f t="shared" si="207"/>
        <v>0.82681564245810057</v>
      </c>
      <c r="BK34" s="95">
        <v>9</v>
      </c>
      <c r="BL34" s="95">
        <v>10</v>
      </c>
      <c r="BM34" s="98">
        <f t="shared" si="266"/>
        <v>19</v>
      </c>
      <c r="BN34" s="99">
        <v>4</v>
      </c>
      <c r="BO34" s="99">
        <v>3</v>
      </c>
      <c r="BP34" s="99">
        <f t="shared" si="267"/>
        <v>7</v>
      </c>
      <c r="BQ34" s="104"/>
      <c r="BR34" s="104"/>
      <c r="BS34" s="104"/>
      <c r="BT34" s="99">
        <f t="shared" si="519"/>
        <v>4</v>
      </c>
      <c r="BU34" s="99">
        <f t="shared" si="520"/>
        <v>3</v>
      </c>
      <c r="BV34" s="99">
        <f t="shared" si="521"/>
        <v>7</v>
      </c>
      <c r="BW34" s="116">
        <f t="shared" si="270"/>
        <v>0.44444444444444442</v>
      </c>
      <c r="BX34" s="116">
        <f t="shared" si="271"/>
        <v>0.3</v>
      </c>
      <c r="BY34" s="116">
        <f t="shared" si="272"/>
        <v>0.36842105263157893</v>
      </c>
      <c r="BZ34" s="98">
        <f t="shared" si="463"/>
        <v>106</v>
      </c>
      <c r="CA34" s="98">
        <f t="shared" si="464"/>
        <v>92</v>
      </c>
      <c r="CB34" s="98">
        <f t="shared" si="465"/>
        <v>198</v>
      </c>
      <c r="CC34" s="98">
        <f t="shared" si="211"/>
        <v>85</v>
      </c>
      <c r="CD34" s="98">
        <f t="shared" si="212"/>
        <v>70</v>
      </c>
      <c r="CE34" s="98">
        <f t="shared" si="213"/>
        <v>155</v>
      </c>
      <c r="CF34" s="103"/>
      <c r="CG34" s="103"/>
      <c r="CH34" s="103"/>
      <c r="CI34" s="98">
        <f t="shared" si="516"/>
        <v>85</v>
      </c>
      <c r="CJ34" s="98">
        <f t="shared" si="517"/>
        <v>70</v>
      </c>
      <c r="CK34" s="98">
        <f t="shared" si="518"/>
        <v>155</v>
      </c>
      <c r="CL34" s="116">
        <f t="shared" si="454"/>
        <v>0.80188679245283023</v>
      </c>
      <c r="CM34" s="116">
        <f t="shared" si="218"/>
        <v>0.76086956521739135</v>
      </c>
      <c r="CN34" s="116">
        <f t="shared" si="219"/>
        <v>0.78282828282828287</v>
      </c>
      <c r="CO34" s="99">
        <v>8103</v>
      </c>
      <c r="CP34" s="99">
        <v>9002</v>
      </c>
      <c r="CQ34" s="99">
        <f t="shared" si="220"/>
        <v>17105</v>
      </c>
      <c r="CR34" s="99">
        <v>6214</v>
      </c>
      <c r="CS34" s="99">
        <v>6806</v>
      </c>
      <c r="CT34" s="99">
        <f t="shared" si="221"/>
        <v>13020</v>
      </c>
      <c r="CU34" s="103"/>
      <c r="CV34" s="103"/>
      <c r="CW34" s="104"/>
      <c r="CX34" s="99">
        <f t="shared" ref="CX34" si="522">+CR34+CU34</f>
        <v>6214</v>
      </c>
      <c r="CY34" s="99">
        <f t="shared" si="223"/>
        <v>6806</v>
      </c>
      <c r="CZ34" s="99">
        <f t="shared" si="223"/>
        <v>13020</v>
      </c>
      <c r="DA34" s="116">
        <f t="shared" si="273"/>
        <v>0.76687646550660249</v>
      </c>
      <c r="DB34" s="116">
        <f t="shared" si="225"/>
        <v>0.75605421017551655</v>
      </c>
      <c r="DC34" s="116">
        <f t="shared" si="226"/>
        <v>0.76118094124524993</v>
      </c>
      <c r="DD34" s="99">
        <v>1574</v>
      </c>
      <c r="DE34" s="99">
        <v>1719</v>
      </c>
      <c r="DF34" s="98">
        <f t="shared" si="274"/>
        <v>3293</v>
      </c>
      <c r="DG34" s="95">
        <v>552</v>
      </c>
      <c r="DH34" s="95">
        <v>571</v>
      </c>
      <c r="DI34" s="99">
        <f t="shared" si="275"/>
        <v>1123</v>
      </c>
      <c r="DJ34" s="104"/>
      <c r="DK34" s="104"/>
      <c r="DL34" s="104"/>
      <c r="DM34" s="99">
        <f t="shared" ref="DM34" si="523">+DG34+DJ34</f>
        <v>552</v>
      </c>
      <c r="DN34" s="99">
        <f t="shared" ref="DN34" si="524">+DH34+DK34</f>
        <v>571</v>
      </c>
      <c r="DO34" s="99">
        <f t="shared" si="277"/>
        <v>1123</v>
      </c>
      <c r="DP34" s="116">
        <f t="shared" si="279"/>
        <v>0.35069885641677256</v>
      </c>
      <c r="DQ34" s="116">
        <f t="shared" si="280"/>
        <v>0.33216986620127981</v>
      </c>
      <c r="DR34" s="116">
        <f t="shared" si="281"/>
        <v>0.3410264196781051</v>
      </c>
      <c r="DS34" s="98">
        <f t="shared" si="227"/>
        <v>9677</v>
      </c>
      <c r="DT34" s="98">
        <f t="shared" si="228"/>
        <v>10721</v>
      </c>
      <c r="DU34" s="98">
        <f t="shared" si="229"/>
        <v>20398</v>
      </c>
      <c r="DV34" s="98">
        <f t="shared" ref="DV34" si="525">CR34+DG34</f>
        <v>6766</v>
      </c>
      <c r="DW34" s="98">
        <f t="shared" ref="DW34" si="526">CS34+DH34</f>
        <v>7377</v>
      </c>
      <c r="DX34" s="98">
        <f t="shared" ref="DX34" si="527">CT34+DI34</f>
        <v>14143</v>
      </c>
      <c r="DY34" s="98">
        <f t="shared" ref="DY34" si="528">CU34+DJ34</f>
        <v>0</v>
      </c>
      <c r="DZ34" s="98">
        <f t="shared" ref="DZ34" si="529">CV34+DK34</f>
        <v>0</v>
      </c>
      <c r="EA34" s="98">
        <f t="shared" ref="EA34" si="530">CW34+DL34</f>
        <v>0</v>
      </c>
      <c r="EB34" s="98">
        <f t="shared" si="233"/>
        <v>6766</v>
      </c>
      <c r="EC34" s="98">
        <f t="shared" si="234"/>
        <v>7377</v>
      </c>
      <c r="ED34" s="98">
        <f t="shared" si="235"/>
        <v>14143</v>
      </c>
      <c r="EE34" s="116">
        <f t="shared" si="459"/>
        <v>0.69918363129068928</v>
      </c>
      <c r="EF34" s="116">
        <f t="shared" si="236"/>
        <v>0.68808879768678299</v>
      </c>
      <c r="EG34" s="116">
        <f t="shared" si="237"/>
        <v>0.69335228944014116</v>
      </c>
      <c r="EH34" s="98">
        <f t="shared" si="238"/>
        <v>7576</v>
      </c>
      <c r="EI34" s="98">
        <f t="shared" si="239"/>
        <v>8178</v>
      </c>
      <c r="EJ34" s="98">
        <f t="shared" si="239"/>
        <v>15754</v>
      </c>
      <c r="EK34" s="101">
        <v>2769</v>
      </c>
      <c r="EL34" s="101">
        <v>3525</v>
      </c>
      <c r="EM34" s="98">
        <f t="shared" si="241"/>
        <v>6294</v>
      </c>
      <c r="EN34" s="100">
        <f t="shared" si="470"/>
        <v>36.549630411826818</v>
      </c>
      <c r="EO34" s="100">
        <f t="shared" si="471"/>
        <v>43.103448275862071</v>
      </c>
      <c r="EP34" s="100">
        <f t="shared" si="472"/>
        <v>39.951758283610509</v>
      </c>
      <c r="EQ34" s="98">
        <f t="shared" si="245"/>
        <v>85</v>
      </c>
      <c r="ER34" s="98">
        <f t="shared" si="246"/>
        <v>70</v>
      </c>
      <c r="ES34" s="98">
        <f t="shared" si="246"/>
        <v>155</v>
      </c>
      <c r="ET34" s="101">
        <v>43</v>
      </c>
      <c r="EU34" s="101">
        <v>27</v>
      </c>
      <c r="EV34" s="98">
        <f t="shared" si="248"/>
        <v>70</v>
      </c>
      <c r="EW34" s="100">
        <f t="shared" si="473"/>
        <v>50.588235294117645</v>
      </c>
      <c r="EX34" s="100">
        <f t="shared" si="474"/>
        <v>38.571428571428569</v>
      </c>
      <c r="EY34" s="100">
        <f t="shared" si="474"/>
        <v>45.161290322580648</v>
      </c>
      <c r="EZ34" s="98">
        <f t="shared" ref="EZ34" si="531">+EB34</f>
        <v>6766</v>
      </c>
      <c r="FA34" s="98">
        <f t="shared" ref="FA34" si="532">+EC34</f>
        <v>7377</v>
      </c>
      <c r="FB34" s="98">
        <f t="shared" ref="FB34" si="533">+ED34</f>
        <v>14143</v>
      </c>
      <c r="FC34" s="101">
        <v>2356</v>
      </c>
      <c r="FD34" s="101">
        <v>3127</v>
      </c>
      <c r="FE34" s="98">
        <f t="shared" si="255"/>
        <v>5483</v>
      </c>
      <c r="FF34" s="100">
        <f t="shared" si="475"/>
        <v>34.821164646763229</v>
      </c>
      <c r="FG34" s="100">
        <f t="shared" si="476"/>
        <v>42.388504812254304</v>
      </c>
      <c r="FH34" s="100">
        <f t="shared" si="477"/>
        <v>38.768295269744748</v>
      </c>
    </row>
    <row r="35" spans="1:164" ht="27" customHeight="1">
      <c r="A35" s="94">
        <v>26</v>
      </c>
      <c r="B35" s="118" t="s">
        <v>142</v>
      </c>
      <c r="C35" s="96">
        <v>280389</v>
      </c>
      <c r="D35" s="96">
        <v>287799</v>
      </c>
      <c r="E35" s="96">
        <f>C35+D35</f>
        <v>568188</v>
      </c>
      <c r="F35" s="96">
        <v>239979</v>
      </c>
      <c r="G35" s="96">
        <v>248893</v>
      </c>
      <c r="H35" s="96">
        <f>F35+G35</f>
        <v>488872</v>
      </c>
      <c r="I35" s="96">
        <v>2324</v>
      </c>
      <c r="J35" s="96">
        <v>2222</v>
      </c>
      <c r="K35" s="96">
        <f>I35+J35</f>
        <v>4546</v>
      </c>
      <c r="L35" s="97">
        <f>F35+I35</f>
        <v>242303</v>
      </c>
      <c r="M35" s="98">
        <f>G35+J35</f>
        <v>251115</v>
      </c>
      <c r="N35" s="98">
        <f>H35+K35</f>
        <v>493418</v>
      </c>
      <c r="O35" s="116">
        <f>L35/C35</f>
        <v>0.86416728188338343</v>
      </c>
      <c r="P35" s="116">
        <f>M35/D35</f>
        <v>0.87253604077845992</v>
      </c>
      <c r="Q35" s="116">
        <f>N35/E35</f>
        <v>0.86840623174019871</v>
      </c>
      <c r="R35" s="98">
        <v>12757</v>
      </c>
      <c r="S35" s="98">
        <v>10037</v>
      </c>
      <c r="T35" s="98">
        <f>R35+S35</f>
        <v>22794</v>
      </c>
      <c r="U35" s="98">
        <v>7969</v>
      </c>
      <c r="V35" s="98">
        <v>6158</v>
      </c>
      <c r="W35" s="98">
        <f>U35+V35</f>
        <v>14127</v>
      </c>
      <c r="X35" s="98">
        <v>372</v>
      </c>
      <c r="Y35" s="98">
        <v>332</v>
      </c>
      <c r="Z35" s="98">
        <f>X35+Y35</f>
        <v>704</v>
      </c>
      <c r="AA35" s="98">
        <f>U35+X35</f>
        <v>8341</v>
      </c>
      <c r="AB35" s="98">
        <f>V35+Y35</f>
        <v>6490</v>
      </c>
      <c r="AC35" s="98">
        <f>W35+Z35</f>
        <v>14831</v>
      </c>
      <c r="AD35" s="116">
        <f>AA35/R35</f>
        <v>0.65383710903817516</v>
      </c>
      <c r="AE35" s="116">
        <f>AB35/S35</f>
        <v>0.64660755205738762</v>
      </c>
      <c r="AF35" s="116">
        <f>AC35/T35</f>
        <v>0.65065368079319119</v>
      </c>
      <c r="AG35" s="98">
        <f t="shared" ref="AG35:AR35" si="534">C35+R35</f>
        <v>293146</v>
      </c>
      <c r="AH35" s="98">
        <f t="shared" si="534"/>
        <v>297836</v>
      </c>
      <c r="AI35" s="98">
        <f t="shared" si="534"/>
        <v>590982</v>
      </c>
      <c r="AJ35" s="98">
        <f t="shared" si="534"/>
        <v>247948</v>
      </c>
      <c r="AK35" s="98">
        <f t="shared" si="534"/>
        <v>255051</v>
      </c>
      <c r="AL35" s="98">
        <f t="shared" si="534"/>
        <v>502999</v>
      </c>
      <c r="AM35" s="98">
        <f t="shared" si="534"/>
        <v>2696</v>
      </c>
      <c r="AN35" s="98">
        <f t="shared" si="534"/>
        <v>2554</v>
      </c>
      <c r="AO35" s="98">
        <f t="shared" si="534"/>
        <v>5250</v>
      </c>
      <c r="AP35" s="98">
        <f t="shared" si="534"/>
        <v>250644</v>
      </c>
      <c r="AQ35" s="98">
        <f t="shared" si="534"/>
        <v>257605</v>
      </c>
      <c r="AR35" s="98">
        <f t="shared" si="534"/>
        <v>508249</v>
      </c>
      <c r="AS35" s="116">
        <f>AP35/AG35</f>
        <v>0.85501422499368918</v>
      </c>
      <c r="AT35" s="116">
        <f>AQ35/AH35</f>
        <v>0.86492230623564648</v>
      </c>
      <c r="AU35" s="116">
        <f>AR35/AI35</f>
        <v>0.86000758060313176</v>
      </c>
      <c r="AV35" s="99">
        <v>53734</v>
      </c>
      <c r="AW35" s="99">
        <v>55747</v>
      </c>
      <c r="AX35" s="99">
        <f>+AV35+AW35</f>
        <v>109481</v>
      </c>
      <c r="AY35" s="99">
        <v>43780</v>
      </c>
      <c r="AZ35" s="99">
        <v>45198</v>
      </c>
      <c r="BA35" s="99">
        <f>+AY35+AZ35</f>
        <v>88978</v>
      </c>
      <c r="BB35" s="99">
        <v>492</v>
      </c>
      <c r="BC35" s="99">
        <v>472</v>
      </c>
      <c r="BD35" s="99">
        <f>+BB35+BC35</f>
        <v>964</v>
      </c>
      <c r="BE35" s="99">
        <f>+AY35+BB35</f>
        <v>44272</v>
      </c>
      <c r="BF35" s="99">
        <f>+AZ35+BC35</f>
        <v>45670</v>
      </c>
      <c r="BG35" s="99">
        <f>+BA35+BD35</f>
        <v>89942</v>
      </c>
      <c r="BH35" s="116">
        <f>BE35/AV35</f>
        <v>0.82391037332043027</v>
      </c>
      <c r="BI35" s="116">
        <f>BF35/AW35</f>
        <v>0.8192369096094857</v>
      </c>
      <c r="BJ35" s="116">
        <f>BG35/AX35</f>
        <v>0.82153067655574941</v>
      </c>
      <c r="BK35" s="95">
        <v>3121</v>
      </c>
      <c r="BL35" s="95">
        <v>2695</v>
      </c>
      <c r="BM35" s="98">
        <f>BK35+BL35</f>
        <v>5816</v>
      </c>
      <c r="BN35" s="99">
        <v>1890</v>
      </c>
      <c r="BO35" s="99">
        <v>1637</v>
      </c>
      <c r="BP35" s="99">
        <f>BN35+BO35</f>
        <v>3527</v>
      </c>
      <c r="BQ35" s="99">
        <v>85</v>
      </c>
      <c r="BR35" s="99">
        <v>85</v>
      </c>
      <c r="BS35" s="99">
        <f>BQ35+BR35</f>
        <v>170</v>
      </c>
      <c r="BT35" s="99">
        <f>+BN35+BQ35</f>
        <v>1975</v>
      </c>
      <c r="BU35" s="99">
        <f>+BO35+BR35</f>
        <v>1722</v>
      </c>
      <c r="BV35" s="99">
        <f>+BP35+BS35</f>
        <v>3697</v>
      </c>
      <c r="BW35" s="116">
        <f>BT35/BK35</f>
        <v>0.63280999679589878</v>
      </c>
      <c r="BX35" s="116">
        <f>BU35/BL35</f>
        <v>0.63896103896103895</v>
      </c>
      <c r="BY35" s="116">
        <f>BV35/BM35</f>
        <v>0.63566024759284734</v>
      </c>
      <c r="BZ35" s="98">
        <f t="shared" ref="BZ35:CK35" si="535">AV35+BK35</f>
        <v>56855</v>
      </c>
      <c r="CA35" s="98">
        <f t="shared" si="535"/>
        <v>58442</v>
      </c>
      <c r="CB35" s="98">
        <f t="shared" si="535"/>
        <v>115297</v>
      </c>
      <c r="CC35" s="98">
        <f t="shared" si="535"/>
        <v>45670</v>
      </c>
      <c r="CD35" s="98">
        <f t="shared" si="535"/>
        <v>46835</v>
      </c>
      <c r="CE35" s="98">
        <f t="shared" si="535"/>
        <v>92505</v>
      </c>
      <c r="CF35" s="98">
        <f t="shared" si="535"/>
        <v>577</v>
      </c>
      <c r="CG35" s="98">
        <f t="shared" si="535"/>
        <v>557</v>
      </c>
      <c r="CH35" s="98">
        <f t="shared" si="535"/>
        <v>1134</v>
      </c>
      <c r="CI35" s="98">
        <f t="shared" si="535"/>
        <v>46247</v>
      </c>
      <c r="CJ35" s="98">
        <f t="shared" si="535"/>
        <v>47392</v>
      </c>
      <c r="CK35" s="98">
        <f t="shared" si="535"/>
        <v>93639</v>
      </c>
      <c r="CL35" s="116">
        <f>CI35/BZ35</f>
        <v>0.81342010377275531</v>
      </c>
      <c r="CM35" s="116">
        <f>CJ35/CA35</f>
        <v>0.81092365079908291</v>
      </c>
      <c r="CN35" s="116">
        <f>CK35/CB35</f>
        <v>0.81215469613259672</v>
      </c>
      <c r="CO35" s="99">
        <v>56181</v>
      </c>
      <c r="CP35" s="99">
        <v>62963</v>
      </c>
      <c r="CQ35" s="99">
        <f>+CO35+CP35</f>
        <v>119144</v>
      </c>
      <c r="CR35" s="99">
        <v>46282</v>
      </c>
      <c r="CS35" s="99">
        <v>53186</v>
      </c>
      <c r="CT35" s="99">
        <f>+CR35+CS35</f>
        <v>99468</v>
      </c>
      <c r="CU35" s="99">
        <v>592</v>
      </c>
      <c r="CV35" s="99">
        <v>616</v>
      </c>
      <c r="CW35" s="99">
        <f>+CU35+CV35</f>
        <v>1208</v>
      </c>
      <c r="CX35" s="99">
        <f>+CR35+CU35</f>
        <v>46874</v>
      </c>
      <c r="CY35" s="99">
        <f>+CS35+CV35</f>
        <v>53802</v>
      </c>
      <c r="CZ35" s="99">
        <f>+CT35+CW35</f>
        <v>100676</v>
      </c>
      <c r="DA35" s="116">
        <f>CX35/CO35</f>
        <v>0.83433901140955125</v>
      </c>
      <c r="DB35" s="116">
        <f>CY35/CP35</f>
        <v>0.85450185029302927</v>
      </c>
      <c r="DC35" s="116">
        <f>CZ35/CQ35</f>
        <v>0.84499429262069425</v>
      </c>
      <c r="DD35" s="95">
        <v>3628</v>
      </c>
      <c r="DE35" s="95">
        <v>3121</v>
      </c>
      <c r="DF35" s="98">
        <f>DD35+DE35</f>
        <v>6749</v>
      </c>
      <c r="DG35" s="99">
        <v>2237</v>
      </c>
      <c r="DH35" s="99">
        <v>1847</v>
      </c>
      <c r="DI35" s="99">
        <f>+DG35+DH35</f>
        <v>4084</v>
      </c>
      <c r="DJ35" s="99">
        <v>102</v>
      </c>
      <c r="DK35" s="99">
        <v>81</v>
      </c>
      <c r="DL35" s="99">
        <f>DJ35+DK35</f>
        <v>183</v>
      </c>
      <c r="DM35" s="99">
        <f>+DG35+DJ35</f>
        <v>2339</v>
      </c>
      <c r="DN35" s="99">
        <f>+DH35+DK35</f>
        <v>1928</v>
      </c>
      <c r="DO35" s="99">
        <f>+DI35+DL35</f>
        <v>4267</v>
      </c>
      <c r="DP35" s="116">
        <f>DM35/DD35</f>
        <v>0.64470782800441018</v>
      </c>
      <c r="DQ35" s="116">
        <f>DN35/DE35</f>
        <v>0.61775072092278116</v>
      </c>
      <c r="DR35" s="116">
        <f>DO35/DF35</f>
        <v>0.63224181360201515</v>
      </c>
      <c r="DS35" s="98">
        <f t="shared" ref="DS35:ED35" si="536">CO35+DD35</f>
        <v>59809</v>
      </c>
      <c r="DT35" s="98">
        <f t="shared" si="536"/>
        <v>66084</v>
      </c>
      <c r="DU35" s="98">
        <f t="shared" si="536"/>
        <v>125893</v>
      </c>
      <c r="DV35" s="98">
        <f t="shared" si="536"/>
        <v>48519</v>
      </c>
      <c r="DW35" s="98">
        <f t="shared" si="536"/>
        <v>55033</v>
      </c>
      <c r="DX35" s="98">
        <f t="shared" si="536"/>
        <v>103552</v>
      </c>
      <c r="DY35" s="98">
        <f t="shared" si="536"/>
        <v>694</v>
      </c>
      <c r="DZ35" s="98">
        <f t="shared" si="536"/>
        <v>697</v>
      </c>
      <c r="EA35" s="98">
        <f t="shared" si="536"/>
        <v>1391</v>
      </c>
      <c r="EB35" s="98">
        <f t="shared" si="536"/>
        <v>49213</v>
      </c>
      <c r="EC35" s="98">
        <f t="shared" si="536"/>
        <v>55730</v>
      </c>
      <c r="ED35" s="98">
        <f t="shared" si="536"/>
        <v>104943</v>
      </c>
      <c r="EE35" s="116">
        <f>EB35/DS35</f>
        <v>0.82283602802253841</v>
      </c>
      <c r="EF35" s="116">
        <f>EC35/DT35</f>
        <v>0.84332062223836335</v>
      </c>
      <c r="EG35" s="116">
        <f>ED35/DU35</f>
        <v>0.83358884131762689</v>
      </c>
      <c r="EH35" s="98">
        <f>+AP35</f>
        <v>250644</v>
      </c>
      <c r="EI35" s="98">
        <f>+AQ35</f>
        <v>257605</v>
      </c>
      <c r="EJ35" s="98">
        <f>+AR35</f>
        <v>508249</v>
      </c>
      <c r="EK35" s="101">
        <v>90662</v>
      </c>
      <c r="EL35" s="101">
        <v>99095</v>
      </c>
      <c r="EM35" s="98">
        <f>EK35+EL35</f>
        <v>189757</v>
      </c>
      <c r="EN35" s="100">
        <f>+EK35*100/EH35</f>
        <v>36.171621901980501</v>
      </c>
      <c r="EO35" s="100">
        <f>+EL35*100/EI35</f>
        <v>38.46780924283302</v>
      </c>
      <c r="EP35" s="100">
        <f>+EM35*100/EJ35</f>
        <v>37.335439912326436</v>
      </c>
      <c r="EQ35" s="98">
        <f>+CI35</f>
        <v>46247</v>
      </c>
      <c r="ER35" s="98">
        <f>+CJ35</f>
        <v>47392</v>
      </c>
      <c r="ES35" s="98">
        <f>+CK35</f>
        <v>93639</v>
      </c>
      <c r="ET35" s="101">
        <v>13640</v>
      </c>
      <c r="EU35" s="101">
        <v>14547</v>
      </c>
      <c r="EV35" s="98">
        <f>ET35+EU35</f>
        <v>28187</v>
      </c>
      <c r="EW35" s="100">
        <f>+ET35*100/EQ35</f>
        <v>29.4938050035678</v>
      </c>
      <c r="EX35" s="100">
        <f>+EU35*100/ER35</f>
        <v>30.695054017555705</v>
      </c>
      <c r="EY35" s="100">
        <f>+EV35*100/ES35</f>
        <v>30.101773833552258</v>
      </c>
      <c r="EZ35" s="98">
        <f>+EB35</f>
        <v>49213</v>
      </c>
      <c r="FA35" s="98">
        <f>+EC35</f>
        <v>55730</v>
      </c>
      <c r="FB35" s="98">
        <f>+ED35</f>
        <v>104943</v>
      </c>
      <c r="FC35" s="101">
        <v>12117</v>
      </c>
      <c r="FD35" s="101">
        <v>15930</v>
      </c>
      <c r="FE35" s="98">
        <f>FC35+FD35</f>
        <v>28047</v>
      </c>
      <c r="FF35" s="100">
        <f>+FC35*100/EZ35</f>
        <v>24.621543088208401</v>
      </c>
      <c r="FG35" s="100">
        <f>+FD35*100/FA35</f>
        <v>28.58424546922663</v>
      </c>
      <c r="FH35" s="100">
        <f>+FE35*100/FB35</f>
        <v>26.725936937194476</v>
      </c>
    </row>
    <row r="36" spans="1:164" ht="27" customHeight="1">
      <c r="A36" s="94">
        <v>27</v>
      </c>
      <c r="B36" s="118" t="s">
        <v>162</v>
      </c>
      <c r="C36" s="96">
        <v>257489</v>
      </c>
      <c r="D36" s="96">
        <v>193275</v>
      </c>
      <c r="E36" s="96">
        <f t="shared" si="182"/>
        <v>450764</v>
      </c>
      <c r="F36" s="96">
        <v>96315</v>
      </c>
      <c r="G36" s="96">
        <v>93686</v>
      </c>
      <c r="H36" s="96">
        <f t="shared" si="183"/>
        <v>190001</v>
      </c>
      <c r="I36" s="96">
        <v>35669</v>
      </c>
      <c r="J36" s="96">
        <v>23301</v>
      </c>
      <c r="K36" s="96">
        <f t="shared" si="443"/>
        <v>58970</v>
      </c>
      <c r="L36" s="97">
        <f t="shared" si="460"/>
        <v>131984</v>
      </c>
      <c r="M36" s="98">
        <f t="shared" si="461"/>
        <v>116987</v>
      </c>
      <c r="N36" s="98">
        <f t="shared" si="462"/>
        <v>248971</v>
      </c>
      <c r="O36" s="116">
        <f t="shared" si="187"/>
        <v>0.51258111997017353</v>
      </c>
      <c r="P36" s="116">
        <f t="shared" si="188"/>
        <v>0.60528780235415858</v>
      </c>
      <c r="Q36" s="116">
        <f t="shared" si="189"/>
        <v>0.55233115333078953</v>
      </c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12"/>
      <c r="AE36" s="112"/>
      <c r="AF36" s="112"/>
      <c r="AG36" s="98">
        <f t="shared" si="190"/>
        <v>257489</v>
      </c>
      <c r="AH36" s="98">
        <f t="shared" si="191"/>
        <v>193275</v>
      </c>
      <c r="AI36" s="98">
        <f t="shared" si="191"/>
        <v>450764</v>
      </c>
      <c r="AJ36" s="98">
        <f t="shared" si="193"/>
        <v>96315</v>
      </c>
      <c r="AK36" s="98">
        <f t="shared" si="194"/>
        <v>93686</v>
      </c>
      <c r="AL36" s="98">
        <f t="shared" si="194"/>
        <v>190001</v>
      </c>
      <c r="AM36" s="98">
        <f t="shared" si="447"/>
        <v>35669</v>
      </c>
      <c r="AN36" s="98">
        <f>J36+Y36</f>
        <v>23301</v>
      </c>
      <c r="AO36" s="98">
        <f t="shared" si="265"/>
        <v>58970</v>
      </c>
      <c r="AP36" s="98">
        <f t="shared" si="195"/>
        <v>131984</v>
      </c>
      <c r="AQ36" s="98">
        <f t="shared" si="196"/>
        <v>116987</v>
      </c>
      <c r="AR36" s="98">
        <f t="shared" si="196"/>
        <v>248971</v>
      </c>
      <c r="AS36" s="116">
        <f t="shared" si="197"/>
        <v>0.51258111997017353</v>
      </c>
      <c r="AT36" s="116">
        <f t="shared" si="198"/>
        <v>0.60528780235415858</v>
      </c>
      <c r="AU36" s="116">
        <f t="shared" si="199"/>
        <v>0.55233115333078953</v>
      </c>
      <c r="AV36" s="99">
        <v>92620</v>
      </c>
      <c r="AW36" s="99">
        <v>78800</v>
      </c>
      <c r="AX36" s="99">
        <f t="shared" si="200"/>
        <v>171420</v>
      </c>
      <c r="AY36" s="99">
        <v>33029</v>
      </c>
      <c r="AZ36" s="99">
        <v>36042</v>
      </c>
      <c r="BA36" s="99">
        <f t="shared" si="201"/>
        <v>69071</v>
      </c>
      <c r="BB36" s="99">
        <v>7854</v>
      </c>
      <c r="BC36" s="99">
        <v>6182</v>
      </c>
      <c r="BD36" s="99">
        <f t="shared" si="448"/>
        <v>14036</v>
      </c>
      <c r="BE36" s="99">
        <f t="shared" si="202"/>
        <v>40883</v>
      </c>
      <c r="BF36" s="99">
        <f t="shared" si="203"/>
        <v>42224</v>
      </c>
      <c r="BG36" s="99">
        <f t="shared" si="203"/>
        <v>83107</v>
      </c>
      <c r="BH36" s="116">
        <f t="shared" si="205"/>
        <v>0.44140574389980564</v>
      </c>
      <c r="BI36" s="116">
        <f t="shared" si="206"/>
        <v>0.53583756345177669</v>
      </c>
      <c r="BJ36" s="116">
        <f t="shared" si="207"/>
        <v>0.48481507408703767</v>
      </c>
      <c r="BK36" s="111"/>
      <c r="BL36" s="111"/>
      <c r="BM36" s="103"/>
      <c r="BN36" s="104"/>
      <c r="BO36" s="104"/>
      <c r="BP36" s="104"/>
      <c r="BQ36" s="104"/>
      <c r="BR36" s="104"/>
      <c r="BS36" s="104"/>
      <c r="BT36" s="104"/>
      <c r="BU36" s="104"/>
      <c r="BV36" s="104"/>
      <c r="BW36" s="112"/>
      <c r="BX36" s="112"/>
      <c r="BY36" s="112"/>
      <c r="BZ36" s="98">
        <f t="shared" si="463"/>
        <v>92620</v>
      </c>
      <c r="CA36" s="98">
        <f t="shared" si="464"/>
        <v>78800</v>
      </c>
      <c r="CB36" s="98">
        <f t="shared" si="465"/>
        <v>171420</v>
      </c>
      <c r="CC36" s="98">
        <f t="shared" si="211"/>
        <v>33029</v>
      </c>
      <c r="CD36" s="98">
        <f t="shared" si="212"/>
        <v>36042</v>
      </c>
      <c r="CE36" s="98">
        <f t="shared" si="213"/>
        <v>69071</v>
      </c>
      <c r="CF36" s="98">
        <f t="shared" si="449"/>
        <v>7854</v>
      </c>
      <c r="CG36" s="98">
        <f t="shared" si="450"/>
        <v>6182</v>
      </c>
      <c r="CH36" s="98">
        <f t="shared" si="451"/>
        <v>14036</v>
      </c>
      <c r="CI36" s="98">
        <f t="shared" si="516"/>
        <v>40883</v>
      </c>
      <c r="CJ36" s="98">
        <f t="shared" si="517"/>
        <v>42224</v>
      </c>
      <c r="CK36" s="98">
        <f t="shared" si="518"/>
        <v>83107</v>
      </c>
      <c r="CL36" s="116">
        <f t="shared" si="454"/>
        <v>0.44140574389980564</v>
      </c>
      <c r="CM36" s="116">
        <f t="shared" si="218"/>
        <v>0.53583756345177669</v>
      </c>
      <c r="CN36" s="116">
        <f t="shared" si="219"/>
        <v>0.48481507408703767</v>
      </c>
      <c r="CO36" s="99">
        <v>34</v>
      </c>
      <c r="CP36" s="99">
        <v>29</v>
      </c>
      <c r="CQ36" s="99">
        <f t="shared" si="220"/>
        <v>63</v>
      </c>
      <c r="CR36" s="99">
        <v>21</v>
      </c>
      <c r="CS36" s="99">
        <v>15</v>
      </c>
      <c r="CT36" s="99">
        <f t="shared" si="221"/>
        <v>36</v>
      </c>
      <c r="CU36" s="99">
        <v>2</v>
      </c>
      <c r="CV36" s="99">
        <v>4</v>
      </c>
      <c r="CW36" s="99">
        <f t="shared" si="455"/>
        <v>6</v>
      </c>
      <c r="CX36" s="99">
        <f t="shared" si="222"/>
        <v>23</v>
      </c>
      <c r="CY36" s="99">
        <f t="shared" si="223"/>
        <v>19</v>
      </c>
      <c r="CZ36" s="99">
        <f t="shared" si="223"/>
        <v>42</v>
      </c>
      <c r="DA36" s="116">
        <f t="shared" si="273"/>
        <v>0.67647058823529416</v>
      </c>
      <c r="DB36" s="116">
        <f t="shared" si="225"/>
        <v>0.65517241379310343</v>
      </c>
      <c r="DC36" s="116">
        <f t="shared" si="226"/>
        <v>0.66666666666666663</v>
      </c>
      <c r="DD36" s="111"/>
      <c r="DE36" s="111"/>
      <c r="DF36" s="103"/>
      <c r="DG36" s="104"/>
      <c r="DH36" s="104"/>
      <c r="DI36" s="104"/>
      <c r="DJ36" s="104"/>
      <c r="DK36" s="104"/>
      <c r="DL36" s="104"/>
      <c r="DM36" s="104"/>
      <c r="DN36" s="104"/>
      <c r="DO36" s="104"/>
      <c r="DP36" s="112"/>
      <c r="DQ36" s="112"/>
      <c r="DR36" s="112"/>
      <c r="DS36" s="98">
        <f t="shared" si="227"/>
        <v>34</v>
      </c>
      <c r="DT36" s="98">
        <f t="shared" si="228"/>
        <v>29</v>
      </c>
      <c r="DU36" s="98">
        <f t="shared" si="229"/>
        <v>63</v>
      </c>
      <c r="DV36" s="98">
        <f t="shared" si="230"/>
        <v>21</v>
      </c>
      <c r="DW36" s="98">
        <f t="shared" si="231"/>
        <v>15</v>
      </c>
      <c r="DX36" s="98">
        <f t="shared" si="232"/>
        <v>36</v>
      </c>
      <c r="DY36" s="98">
        <f t="shared" si="456"/>
        <v>2</v>
      </c>
      <c r="DZ36" s="98">
        <f t="shared" si="457"/>
        <v>4</v>
      </c>
      <c r="EA36" s="98">
        <f t="shared" si="458"/>
        <v>6</v>
      </c>
      <c r="EB36" s="98">
        <f t="shared" si="233"/>
        <v>23</v>
      </c>
      <c r="EC36" s="98">
        <f t="shared" si="234"/>
        <v>19</v>
      </c>
      <c r="ED36" s="98">
        <f t="shared" si="235"/>
        <v>42</v>
      </c>
      <c r="EE36" s="116">
        <f t="shared" si="459"/>
        <v>0.67647058823529416</v>
      </c>
      <c r="EF36" s="116">
        <f t="shared" si="236"/>
        <v>0.65517241379310343</v>
      </c>
      <c r="EG36" s="116">
        <f t="shared" si="237"/>
        <v>0.66666666666666663</v>
      </c>
      <c r="EH36" s="98">
        <f t="shared" si="238"/>
        <v>131984</v>
      </c>
      <c r="EI36" s="98">
        <f t="shared" si="239"/>
        <v>116987</v>
      </c>
      <c r="EJ36" s="98">
        <f t="shared" si="239"/>
        <v>248971</v>
      </c>
      <c r="EK36" s="101">
        <v>92147</v>
      </c>
      <c r="EL36" s="101">
        <v>98190</v>
      </c>
      <c r="EM36" s="98">
        <f t="shared" si="241"/>
        <v>190337</v>
      </c>
      <c r="EN36" s="100">
        <f t="shared" si="470"/>
        <v>69.816795975269727</v>
      </c>
      <c r="EO36" s="100">
        <f t="shared" si="471"/>
        <v>83.932402745604207</v>
      </c>
      <c r="EP36" s="100">
        <f t="shared" si="472"/>
        <v>76.449466002064497</v>
      </c>
      <c r="EQ36" s="98">
        <f t="shared" si="245"/>
        <v>40883</v>
      </c>
      <c r="ER36" s="98">
        <f t="shared" si="246"/>
        <v>42224</v>
      </c>
      <c r="ES36" s="98">
        <f t="shared" si="246"/>
        <v>83107</v>
      </c>
      <c r="ET36" s="101">
        <v>26097</v>
      </c>
      <c r="EU36" s="101">
        <v>33745</v>
      </c>
      <c r="EV36" s="98">
        <f t="shared" si="248"/>
        <v>59842</v>
      </c>
      <c r="EW36" s="100">
        <f t="shared" si="473"/>
        <v>63.833378176748283</v>
      </c>
      <c r="EX36" s="100">
        <f t="shared" si="474"/>
        <v>79.919003410382714</v>
      </c>
      <c r="EY36" s="100">
        <f t="shared" si="474"/>
        <v>72.005968209657425</v>
      </c>
      <c r="EZ36" s="98">
        <f>+EB36</f>
        <v>23</v>
      </c>
      <c r="FA36" s="98">
        <f t="shared" si="253"/>
        <v>19</v>
      </c>
      <c r="FB36" s="98">
        <f t="shared" si="253"/>
        <v>42</v>
      </c>
      <c r="FC36" s="101">
        <v>18</v>
      </c>
      <c r="FD36" s="101">
        <v>17</v>
      </c>
      <c r="FE36" s="98">
        <f t="shared" si="255"/>
        <v>35</v>
      </c>
      <c r="FF36" s="100">
        <f t="shared" si="475"/>
        <v>78.260869565217391</v>
      </c>
      <c r="FG36" s="100">
        <f t="shared" si="476"/>
        <v>89.473684210526315</v>
      </c>
      <c r="FH36" s="100">
        <f t="shared" si="477"/>
        <v>83.333333333333329</v>
      </c>
    </row>
    <row r="37" spans="1:164" ht="27" customHeight="1">
      <c r="A37" s="94">
        <v>28</v>
      </c>
      <c r="B37" s="118" t="s">
        <v>212</v>
      </c>
      <c r="C37" s="96">
        <v>608997</v>
      </c>
      <c r="D37" s="96">
        <v>458682</v>
      </c>
      <c r="E37" s="96">
        <f>C37+D37</f>
        <v>1067679</v>
      </c>
      <c r="F37" s="96">
        <v>483444</v>
      </c>
      <c r="G37" s="96">
        <v>363909</v>
      </c>
      <c r="H37" s="96">
        <f>F37+G37</f>
        <v>847353</v>
      </c>
      <c r="I37" s="96">
        <v>11856</v>
      </c>
      <c r="J37" s="96">
        <v>11165</v>
      </c>
      <c r="K37" s="96">
        <f>I37+J37</f>
        <v>23021</v>
      </c>
      <c r="L37" s="97">
        <f>F37+I37</f>
        <v>495300</v>
      </c>
      <c r="M37" s="98">
        <f t="shared" ref="M37:N37" si="537">G37+J37</f>
        <v>375074</v>
      </c>
      <c r="N37" s="98">
        <f t="shared" si="537"/>
        <v>870374</v>
      </c>
      <c r="O37" s="116">
        <f>L37/C37</f>
        <v>0.81330449903694102</v>
      </c>
      <c r="P37" s="116">
        <f t="shared" ref="P37:Q37" si="538">M37/D37</f>
        <v>0.81772120990141317</v>
      </c>
      <c r="Q37" s="116">
        <f t="shared" si="538"/>
        <v>0.81520194740179397</v>
      </c>
      <c r="R37" s="98">
        <v>2935</v>
      </c>
      <c r="S37" s="98">
        <v>2482</v>
      </c>
      <c r="T37" s="98">
        <f>R37+S37</f>
        <v>5417</v>
      </c>
      <c r="U37" s="98">
        <v>540</v>
      </c>
      <c r="V37" s="98">
        <v>335</v>
      </c>
      <c r="W37" s="98">
        <f>U37+V37</f>
        <v>875</v>
      </c>
      <c r="X37" s="98">
        <v>47</v>
      </c>
      <c r="Y37" s="98">
        <v>83</v>
      </c>
      <c r="Z37" s="98">
        <f>X37+Y37</f>
        <v>130</v>
      </c>
      <c r="AA37" s="98">
        <f>U37+X37</f>
        <v>587</v>
      </c>
      <c r="AB37" s="98">
        <f>V37+Y37</f>
        <v>418</v>
      </c>
      <c r="AC37" s="98">
        <f>W37+Z37</f>
        <v>1005</v>
      </c>
      <c r="AD37" s="116">
        <f>AA37/R37</f>
        <v>0.2</v>
      </c>
      <c r="AE37" s="116">
        <f>AB37/S37</f>
        <v>0.16841257050765512</v>
      </c>
      <c r="AF37" s="116">
        <f>AC37/T37</f>
        <v>0.18552704448956986</v>
      </c>
      <c r="AG37" s="98">
        <f t="shared" ref="AG37:AM37" si="539">C37+R37</f>
        <v>611932</v>
      </c>
      <c r="AH37" s="98">
        <f t="shared" si="539"/>
        <v>461164</v>
      </c>
      <c r="AI37" s="98">
        <f t="shared" si="539"/>
        <v>1073096</v>
      </c>
      <c r="AJ37" s="98">
        <f t="shared" si="539"/>
        <v>483984</v>
      </c>
      <c r="AK37" s="98">
        <f t="shared" si="539"/>
        <v>364244</v>
      </c>
      <c r="AL37" s="98">
        <f t="shared" si="539"/>
        <v>848228</v>
      </c>
      <c r="AM37" s="98">
        <f t="shared" si="539"/>
        <v>11903</v>
      </c>
      <c r="AN37" s="98">
        <f>J37+Y37</f>
        <v>11248</v>
      </c>
      <c r="AO37" s="98">
        <f>K37+Z37</f>
        <v>23151</v>
      </c>
      <c r="AP37" s="98">
        <f>L37+AA37</f>
        <v>495887</v>
      </c>
      <c r="AQ37" s="98">
        <f>M37+AB37</f>
        <v>375492</v>
      </c>
      <c r="AR37" s="98">
        <f>N37+AC37</f>
        <v>871379</v>
      </c>
      <c r="AS37" s="116">
        <f>AP37/AG37</f>
        <v>0.81036291614100908</v>
      </c>
      <c r="AT37" s="116">
        <f t="shared" ref="AT37" si="540">AQ37/AH37</f>
        <v>0.81422660918892198</v>
      </c>
      <c r="AU37" s="116">
        <f>AR37/AI37</f>
        <v>0.81202334180725677</v>
      </c>
      <c r="AV37" s="99">
        <v>113695</v>
      </c>
      <c r="AW37" s="99">
        <v>86041</v>
      </c>
      <c r="AX37" s="99">
        <f>+AV37+AW37</f>
        <v>199736</v>
      </c>
      <c r="AY37" s="99">
        <v>86499</v>
      </c>
      <c r="AZ37" s="99">
        <v>64034</v>
      </c>
      <c r="BA37" s="99">
        <f>+AY37+AZ37</f>
        <v>150533</v>
      </c>
      <c r="BB37" s="99">
        <v>2541</v>
      </c>
      <c r="BC37" s="99">
        <v>2559</v>
      </c>
      <c r="BD37" s="99">
        <f>+BB37+BC37</f>
        <v>5100</v>
      </c>
      <c r="BE37" s="99">
        <f>+AY37+BB37</f>
        <v>89040</v>
      </c>
      <c r="BF37" s="99">
        <f>+AZ37+BC37</f>
        <v>66593</v>
      </c>
      <c r="BG37" s="99">
        <f>+BA37+BD37</f>
        <v>155633</v>
      </c>
      <c r="BH37" s="116">
        <f>BE37/AV37</f>
        <v>0.7831478956858261</v>
      </c>
      <c r="BI37" s="116">
        <f t="shared" ref="BI37:BJ37" si="541">BF37/AW37</f>
        <v>0.77396822445113378</v>
      </c>
      <c r="BJ37" s="116">
        <f t="shared" si="541"/>
        <v>0.77919353546681625</v>
      </c>
      <c r="BK37" s="98">
        <v>590</v>
      </c>
      <c r="BL37" s="98">
        <v>493</v>
      </c>
      <c r="BM37" s="98">
        <f>BK37+BL37</f>
        <v>1083</v>
      </c>
      <c r="BN37" s="99">
        <v>59</v>
      </c>
      <c r="BO37" s="99">
        <v>35</v>
      </c>
      <c r="BP37" s="99">
        <f>BN37+BO37</f>
        <v>94</v>
      </c>
      <c r="BQ37" s="99">
        <v>8</v>
      </c>
      <c r="BR37" s="99">
        <v>15</v>
      </c>
      <c r="BS37" s="99">
        <f>BQ37+BR37</f>
        <v>23</v>
      </c>
      <c r="BT37" s="99">
        <f>+BN37+BQ37</f>
        <v>67</v>
      </c>
      <c r="BU37" s="99">
        <f>+BO37+BR37</f>
        <v>50</v>
      </c>
      <c r="BV37" s="99">
        <f>+BP37+BS37</f>
        <v>117</v>
      </c>
      <c r="BW37" s="116">
        <f>BT37/BK37</f>
        <v>0.11355932203389831</v>
      </c>
      <c r="BX37" s="116">
        <f t="shared" ref="BX37:BY37" si="542">BU37/BL37</f>
        <v>0.10141987829614604</v>
      </c>
      <c r="BY37" s="116">
        <f t="shared" si="542"/>
        <v>0.10803324099722991</v>
      </c>
      <c r="BZ37" s="98">
        <f t="shared" ref="BZ37:CK37" si="543">AV37+BK37</f>
        <v>114285</v>
      </c>
      <c r="CA37" s="98">
        <f t="shared" si="543"/>
        <v>86534</v>
      </c>
      <c r="CB37" s="98">
        <f t="shared" si="543"/>
        <v>200819</v>
      </c>
      <c r="CC37" s="98">
        <f t="shared" si="543"/>
        <v>86558</v>
      </c>
      <c r="CD37" s="98">
        <f t="shared" si="543"/>
        <v>64069</v>
      </c>
      <c r="CE37" s="98">
        <f t="shared" si="543"/>
        <v>150627</v>
      </c>
      <c r="CF37" s="98">
        <f t="shared" si="543"/>
        <v>2549</v>
      </c>
      <c r="CG37" s="98">
        <f t="shared" si="543"/>
        <v>2574</v>
      </c>
      <c r="CH37" s="98">
        <f t="shared" si="543"/>
        <v>5123</v>
      </c>
      <c r="CI37" s="98">
        <f t="shared" si="543"/>
        <v>89107</v>
      </c>
      <c r="CJ37" s="98">
        <f t="shared" si="543"/>
        <v>66643</v>
      </c>
      <c r="CK37" s="98">
        <f t="shared" si="543"/>
        <v>155750</v>
      </c>
      <c r="CL37" s="116">
        <f>CI37/BZ37</f>
        <v>0.77969112306951915</v>
      </c>
      <c r="CM37" s="116">
        <f>CJ37/CA37</f>
        <v>0.77013659370883125</v>
      </c>
      <c r="CN37" s="116">
        <f>CK37/CB37</f>
        <v>0.77557402437020406</v>
      </c>
      <c r="CO37" s="99">
        <v>77675</v>
      </c>
      <c r="CP37" s="99">
        <v>67368</v>
      </c>
      <c r="CQ37" s="99">
        <f>+CO37+CP37</f>
        <v>145043</v>
      </c>
      <c r="CR37" s="99">
        <v>56225</v>
      </c>
      <c r="CS37" s="99">
        <v>46587</v>
      </c>
      <c r="CT37" s="99">
        <f>+CR37+CS37</f>
        <v>102812</v>
      </c>
      <c r="CU37" s="99">
        <v>1767</v>
      </c>
      <c r="CV37" s="99">
        <v>1820</v>
      </c>
      <c r="CW37" s="99">
        <f>+CU37+CV37</f>
        <v>3587</v>
      </c>
      <c r="CX37" s="99">
        <f>+CR37+CU37</f>
        <v>57992</v>
      </c>
      <c r="CY37" s="99">
        <f>+CS37+CV37</f>
        <v>48407</v>
      </c>
      <c r="CZ37" s="99">
        <f>+CT37+CW37</f>
        <v>106399</v>
      </c>
      <c r="DA37" s="116">
        <f>CX37/CO37</f>
        <v>0.74659800450595426</v>
      </c>
      <c r="DB37" s="116">
        <f t="shared" ref="DB37:DC37" si="544">CY37/CP37</f>
        <v>0.71854589716185724</v>
      </c>
      <c r="DC37" s="116">
        <f t="shared" si="544"/>
        <v>0.73356866584392211</v>
      </c>
      <c r="DD37" s="98">
        <v>158</v>
      </c>
      <c r="DE37" s="98">
        <v>135</v>
      </c>
      <c r="DF37" s="98">
        <f>DD37+DE37</f>
        <v>293</v>
      </c>
      <c r="DG37" s="99">
        <v>8</v>
      </c>
      <c r="DH37" s="99">
        <v>9</v>
      </c>
      <c r="DI37" s="99">
        <f>+DG37+DH37</f>
        <v>17</v>
      </c>
      <c r="DJ37" s="99">
        <v>3</v>
      </c>
      <c r="DK37" s="99">
        <v>3</v>
      </c>
      <c r="DL37" s="99">
        <f>DJ37+DK37</f>
        <v>6</v>
      </c>
      <c r="DM37" s="99">
        <f>+DG37+DJ37</f>
        <v>11</v>
      </c>
      <c r="DN37" s="99">
        <f>+DH37+DK37</f>
        <v>12</v>
      </c>
      <c r="DO37" s="99">
        <f>+DI37+DL37</f>
        <v>23</v>
      </c>
      <c r="DP37" s="116">
        <f>DM37/DD37</f>
        <v>6.9620253164556958E-2</v>
      </c>
      <c r="DQ37" s="116">
        <f>DN37/DE37</f>
        <v>8.8888888888888892E-2</v>
      </c>
      <c r="DR37" s="116">
        <f>DO37/DF37</f>
        <v>7.8498293515358364E-2</v>
      </c>
      <c r="DS37" s="98">
        <f t="shared" ref="DS37:ED37" si="545">CO37+DD37</f>
        <v>77833</v>
      </c>
      <c r="DT37" s="98">
        <f t="shared" si="545"/>
        <v>67503</v>
      </c>
      <c r="DU37" s="98">
        <f t="shared" si="545"/>
        <v>145336</v>
      </c>
      <c r="DV37" s="98">
        <f t="shared" si="545"/>
        <v>56233</v>
      </c>
      <c r="DW37" s="98">
        <f t="shared" si="545"/>
        <v>46596</v>
      </c>
      <c r="DX37" s="98">
        <f t="shared" si="545"/>
        <v>102829</v>
      </c>
      <c r="DY37" s="98">
        <f t="shared" si="545"/>
        <v>1770</v>
      </c>
      <c r="DZ37" s="98">
        <f t="shared" si="545"/>
        <v>1823</v>
      </c>
      <c r="EA37" s="98">
        <f t="shared" si="545"/>
        <v>3593</v>
      </c>
      <c r="EB37" s="98">
        <f t="shared" si="545"/>
        <v>58003</v>
      </c>
      <c r="EC37" s="98">
        <f t="shared" si="545"/>
        <v>48419</v>
      </c>
      <c r="ED37" s="98">
        <f t="shared" si="545"/>
        <v>106422</v>
      </c>
      <c r="EE37" s="116">
        <f>EB37/DS37</f>
        <v>0.74522374828157723</v>
      </c>
      <c r="EF37" s="116">
        <f>EC37/DT37</f>
        <v>0.7172866391123357</v>
      </c>
      <c r="EG37" s="116">
        <f>ED37/DU37</f>
        <v>0.73224803214619916</v>
      </c>
      <c r="EH37" s="98">
        <f>+AP37</f>
        <v>495887</v>
      </c>
      <c r="EI37" s="98">
        <f>+AQ37</f>
        <v>375492</v>
      </c>
      <c r="EJ37" s="98">
        <f>+AR37</f>
        <v>871379</v>
      </c>
      <c r="EK37" s="98">
        <v>177850</v>
      </c>
      <c r="EL37" s="98">
        <v>136661</v>
      </c>
      <c r="EM37" s="98">
        <f>EK37+EL37</f>
        <v>314511</v>
      </c>
      <c r="EN37" s="100">
        <f>+EK37*100/EH37</f>
        <v>35.865025701419881</v>
      </c>
      <c r="EO37" s="100">
        <f t="shared" ref="EO37:EP37" si="546">+EL37*100/EI37</f>
        <v>36.395182853429631</v>
      </c>
      <c r="EP37" s="100">
        <f t="shared" si="546"/>
        <v>36.093479415960218</v>
      </c>
      <c r="EQ37" s="98">
        <f>+CI37</f>
        <v>89107</v>
      </c>
      <c r="ER37" s="98">
        <f>+CJ37</f>
        <v>66643</v>
      </c>
      <c r="ES37" s="98">
        <f>+CK37</f>
        <v>155750</v>
      </c>
      <c r="ET37" s="98">
        <v>26127</v>
      </c>
      <c r="EU37" s="98">
        <v>18121</v>
      </c>
      <c r="EV37" s="98">
        <f>ET37+EU37</f>
        <v>44248</v>
      </c>
      <c r="EW37" s="100">
        <f>+ET37*100/EQ37</f>
        <v>29.32092877102809</v>
      </c>
      <c r="EX37" s="100">
        <f>+EU37*100/ER37</f>
        <v>27.191152859265038</v>
      </c>
      <c r="EY37" s="100">
        <f>+EV37*100/ES37</f>
        <v>28.409630818619583</v>
      </c>
      <c r="EZ37" s="98">
        <f>+EB37</f>
        <v>58003</v>
      </c>
      <c r="FA37" s="98">
        <f>+EC37</f>
        <v>48419</v>
      </c>
      <c r="FB37" s="98">
        <f>+ED37</f>
        <v>106422</v>
      </c>
      <c r="FC37" s="98">
        <v>14103</v>
      </c>
      <c r="FD37" s="98">
        <v>6372</v>
      </c>
      <c r="FE37" s="98">
        <f>FC37+FD37</f>
        <v>20475</v>
      </c>
      <c r="FF37" s="100">
        <f>+FC37*100/EZ37</f>
        <v>24.314259607261693</v>
      </c>
      <c r="FG37" s="100">
        <f t="shared" ref="FG37:FH37" si="547">+FD37*100/FA37</f>
        <v>13.16012309217456</v>
      </c>
      <c r="FH37" s="100">
        <f t="shared" si="547"/>
        <v>19.239442972317754</v>
      </c>
    </row>
    <row r="38" spans="1:164" ht="27" customHeight="1">
      <c r="A38" s="94">
        <v>29</v>
      </c>
      <c r="B38" s="118" t="s">
        <v>164</v>
      </c>
      <c r="C38" s="75">
        <v>490870</v>
      </c>
      <c r="D38" s="75">
        <v>491227</v>
      </c>
      <c r="E38" s="75">
        <f t="shared" si="182"/>
        <v>982097</v>
      </c>
      <c r="F38" s="75">
        <v>454212</v>
      </c>
      <c r="G38" s="75">
        <v>472499</v>
      </c>
      <c r="H38" s="75">
        <f t="shared" si="183"/>
        <v>926711</v>
      </c>
      <c r="I38" s="105"/>
      <c r="J38" s="105"/>
      <c r="K38" s="105"/>
      <c r="L38" s="97">
        <f t="shared" si="460"/>
        <v>454212</v>
      </c>
      <c r="M38" s="98">
        <f t="shared" si="461"/>
        <v>472499</v>
      </c>
      <c r="N38" s="98">
        <f t="shared" si="462"/>
        <v>926711</v>
      </c>
      <c r="O38" s="117">
        <f t="shared" si="187"/>
        <v>0.92532034958339271</v>
      </c>
      <c r="P38" s="117">
        <f t="shared" si="188"/>
        <v>0.96187505979923738</v>
      </c>
      <c r="Q38" s="117">
        <f t="shared" si="189"/>
        <v>0.94360434865395171</v>
      </c>
      <c r="R38" s="28">
        <v>31867</v>
      </c>
      <c r="S38" s="28">
        <v>11940</v>
      </c>
      <c r="T38" s="28">
        <f t="shared" si="478"/>
        <v>43807</v>
      </c>
      <c r="U38" s="28">
        <v>7495</v>
      </c>
      <c r="V38" s="28">
        <v>4347</v>
      </c>
      <c r="W38" s="28">
        <f t="shared" si="258"/>
        <v>11842</v>
      </c>
      <c r="X38" s="103"/>
      <c r="Y38" s="103"/>
      <c r="Z38" s="103"/>
      <c r="AA38" s="28">
        <f t="shared" si="259"/>
        <v>7495</v>
      </c>
      <c r="AB38" s="28">
        <f t="shared" si="260"/>
        <v>4347</v>
      </c>
      <c r="AC38" s="28">
        <f t="shared" si="261"/>
        <v>11842</v>
      </c>
      <c r="AD38" s="117">
        <f t="shared" ref="AD38:AD39" si="548">AA38/R38</f>
        <v>0.2351962845576929</v>
      </c>
      <c r="AE38" s="117">
        <f t="shared" ref="AE38:AE39" si="549">AB38/S38</f>
        <v>0.36407035175879399</v>
      </c>
      <c r="AF38" s="117">
        <f t="shared" si="481"/>
        <v>0.27032209464240875</v>
      </c>
      <c r="AG38" s="28">
        <f t="shared" si="190"/>
        <v>522737</v>
      </c>
      <c r="AH38" s="28">
        <f t="shared" si="191"/>
        <v>503167</v>
      </c>
      <c r="AI38" s="28">
        <f t="shared" si="191"/>
        <v>1025904</v>
      </c>
      <c r="AJ38" s="28">
        <f t="shared" si="193"/>
        <v>461707</v>
      </c>
      <c r="AK38" s="28">
        <f t="shared" si="194"/>
        <v>476846</v>
      </c>
      <c r="AL38" s="28">
        <f t="shared" si="194"/>
        <v>938553</v>
      </c>
      <c r="AM38" s="106"/>
      <c r="AN38" s="106"/>
      <c r="AO38" s="106"/>
      <c r="AP38" s="28">
        <f t="shared" si="195"/>
        <v>461707</v>
      </c>
      <c r="AQ38" s="28">
        <f t="shared" si="196"/>
        <v>476846</v>
      </c>
      <c r="AR38" s="28">
        <f t="shared" si="196"/>
        <v>938553</v>
      </c>
      <c r="AS38" s="117">
        <f t="shared" si="197"/>
        <v>0.88324912910316278</v>
      </c>
      <c r="AT38" s="117">
        <f t="shared" si="198"/>
        <v>0.94768933574737613</v>
      </c>
      <c r="AU38" s="117">
        <f t="shared" si="199"/>
        <v>0.9148546062789501</v>
      </c>
      <c r="AV38" s="92">
        <v>117953</v>
      </c>
      <c r="AW38" s="92">
        <v>123166</v>
      </c>
      <c r="AX38" s="92">
        <f t="shared" si="200"/>
        <v>241119</v>
      </c>
      <c r="AY38" s="92">
        <v>103904</v>
      </c>
      <c r="AZ38" s="92">
        <v>114858</v>
      </c>
      <c r="BA38" s="92">
        <f t="shared" si="201"/>
        <v>218762</v>
      </c>
      <c r="BB38" s="105"/>
      <c r="BC38" s="105"/>
      <c r="BD38" s="105"/>
      <c r="BE38" s="92">
        <f t="shared" si="202"/>
        <v>103904</v>
      </c>
      <c r="BF38" s="92">
        <f t="shared" si="203"/>
        <v>114858</v>
      </c>
      <c r="BG38" s="92">
        <f t="shared" si="203"/>
        <v>218762</v>
      </c>
      <c r="BH38" s="117">
        <f>BE38/AV38</f>
        <v>0.88089323713682566</v>
      </c>
      <c r="BI38" s="117">
        <f t="shared" si="206"/>
        <v>0.93254631960118861</v>
      </c>
      <c r="BJ38" s="117">
        <f t="shared" si="207"/>
        <v>0.90727814896378967</v>
      </c>
      <c r="BK38" s="28">
        <v>10394</v>
      </c>
      <c r="BL38" s="28">
        <v>3967</v>
      </c>
      <c r="BM38" s="28">
        <f t="shared" si="266"/>
        <v>14361</v>
      </c>
      <c r="BN38" s="92">
        <v>2183</v>
      </c>
      <c r="BO38" s="92">
        <v>1211</v>
      </c>
      <c r="BP38" s="92">
        <f t="shared" si="267"/>
        <v>3394</v>
      </c>
      <c r="BQ38" s="105"/>
      <c r="BR38" s="105"/>
      <c r="BS38" s="105"/>
      <c r="BT38" s="92">
        <f>+BN38+BQ38</f>
        <v>2183</v>
      </c>
      <c r="BU38" s="92">
        <f t="shared" si="268"/>
        <v>1211</v>
      </c>
      <c r="BV38" s="92">
        <f t="shared" si="268"/>
        <v>3394</v>
      </c>
      <c r="BW38" s="117">
        <f t="shared" si="270"/>
        <v>0.21002501443140273</v>
      </c>
      <c r="BX38" s="117">
        <f t="shared" si="271"/>
        <v>0.30526846483488784</v>
      </c>
      <c r="BY38" s="117">
        <f t="shared" si="272"/>
        <v>0.23633451709490982</v>
      </c>
      <c r="BZ38" s="98">
        <f t="shared" ref="BZ38" si="550">AV38+BK38</f>
        <v>128347</v>
      </c>
      <c r="CA38" s="98">
        <f t="shared" ref="CA38" si="551">AW38+BL38</f>
        <v>127133</v>
      </c>
      <c r="CB38" s="98">
        <f t="shared" ref="CB38" si="552">AX38+BM38</f>
        <v>255480</v>
      </c>
      <c r="CC38" s="28">
        <f t="shared" si="211"/>
        <v>106087</v>
      </c>
      <c r="CD38" s="28">
        <f t="shared" si="212"/>
        <v>116069</v>
      </c>
      <c r="CE38" s="28">
        <f t="shared" si="213"/>
        <v>222156</v>
      </c>
      <c r="CF38" s="106"/>
      <c r="CG38" s="106"/>
      <c r="CH38" s="106"/>
      <c r="CI38" s="28">
        <f t="shared" ref="CI38" si="553">BE38+BT38</f>
        <v>106087</v>
      </c>
      <c r="CJ38" s="28">
        <f t="shared" si="452"/>
        <v>116069</v>
      </c>
      <c r="CK38" s="28">
        <f t="shared" si="453"/>
        <v>222156</v>
      </c>
      <c r="CL38" s="117">
        <f t="shared" si="454"/>
        <v>0.82656392436130177</v>
      </c>
      <c r="CM38" s="117">
        <f t="shared" si="218"/>
        <v>0.91297302824601012</v>
      </c>
      <c r="CN38" s="117">
        <f t="shared" si="219"/>
        <v>0.86956317519962423</v>
      </c>
      <c r="CO38" s="92">
        <v>4798</v>
      </c>
      <c r="CP38" s="92">
        <v>4849</v>
      </c>
      <c r="CQ38" s="92">
        <f t="shared" si="220"/>
        <v>9647</v>
      </c>
      <c r="CR38" s="92">
        <v>4200</v>
      </c>
      <c r="CS38" s="92">
        <v>4357</v>
      </c>
      <c r="CT38" s="92">
        <f t="shared" si="221"/>
        <v>8557</v>
      </c>
      <c r="CU38" s="105"/>
      <c r="CV38" s="105"/>
      <c r="CW38" s="105"/>
      <c r="CX38" s="92">
        <f t="shared" si="222"/>
        <v>4200</v>
      </c>
      <c r="CY38" s="92">
        <f t="shared" si="223"/>
        <v>4357</v>
      </c>
      <c r="CZ38" s="92">
        <f t="shared" si="223"/>
        <v>8557</v>
      </c>
      <c r="DA38" s="117">
        <f t="shared" si="273"/>
        <v>0.87536473530637771</v>
      </c>
      <c r="DB38" s="117">
        <f t="shared" si="225"/>
        <v>0.89853578057331407</v>
      </c>
      <c r="DC38" s="117">
        <f t="shared" si="226"/>
        <v>0.88701150616772051</v>
      </c>
      <c r="DD38" s="28">
        <v>327</v>
      </c>
      <c r="DE38" s="28">
        <v>150</v>
      </c>
      <c r="DF38" s="28">
        <f t="shared" si="274"/>
        <v>477</v>
      </c>
      <c r="DG38" s="92">
        <v>69</v>
      </c>
      <c r="DH38" s="92">
        <v>46</v>
      </c>
      <c r="DI38" s="92">
        <f t="shared" si="275"/>
        <v>115</v>
      </c>
      <c r="DJ38" s="105"/>
      <c r="DK38" s="105"/>
      <c r="DL38" s="105"/>
      <c r="DM38" s="92">
        <f t="shared" si="276"/>
        <v>69</v>
      </c>
      <c r="DN38" s="92">
        <f t="shared" si="277"/>
        <v>46</v>
      </c>
      <c r="DO38" s="92">
        <f t="shared" si="277"/>
        <v>115</v>
      </c>
      <c r="DP38" s="116">
        <f t="shared" si="279"/>
        <v>0.21100917431192662</v>
      </c>
      <c r="DQ38" s="116">
        <f t="shared" si="280"/>
        <v>0.30666666666666664</v>
      </c>
      <c r="DR38" s="116">
        <f t="shared" si="281"/>
        <v>0.24109014675052412</v>
      </c>
      <c r="DS38" s="98">
        <f t="shared" si="227"/>
        <v>5125</v>
      </c>
      <c r="DT38" s="98">
        <f t="shared" si="228"/>
        <v>4999</v>
      </c>
      <c r="DU38" s="28">
        <f t="shared" si="229"/>
        <v>10124</v>
      </c>
      <c r="DV38" s="28">
        <f t="shared" si="230"/>
        <v>4269</v>
      </c>
      <c r="DW38" s="28">
        <f t="shared" si="231"/>
        <v>4403</v>
      </c>
      <c r="DX38" s="28">
        <f t="shared" si="232"/>
        <v>8672</v>
      </c>
      <c r="DY38" s="106"/>
      <c r="DZ38" s="106"/>
      <c r="EA38" s="106"/>
      <c r="EB38" s="28">
        <f t="shared" si="233"/>
        <v>4269</v>
      </c>
      <c r="EC38" s="28">
        <f t="shared" si="234"/>
        <v>4403</v>
      </c>
      <c r="ED38" s="28">
        <f t="shared" si="235"/>
        <v>8672</v>
      </c>
      <c r="EE38" s="117">
        <f t="shared" si="459"/>
        <v>0.83297560975609752</v>
      </c>
      <c r="EF38" s="117">
        <f t="shared" si="236"/>
        <v>0.88077615523104624</v>
      </c>
      <c r="EG38" s="117">
        <f t="shared" si="237"/>
        <v>0.85657842749901225</v>
      </c>
      <c r="EH38" s="28">
        <f t="shared" si="238"/>
        <v>461707</v>
      </c>
      <c r="EI38" s="28">
        <f t="shared" si="239"/>
        <v>476846</v>
      </c>
      <c r="EJ38" s="28">
        <f t="shared" si="239"/>
        <v>938553</v>
      </c>
      <c r="EK38" s="28">
        <v>348603</v>
      </c>
      <c r="EL38" s="28">
        <v>406794</v>
      </c>
      <c r="EM38" s="28">
        <f t="shared" si="241"/>
        <v>755397</v>
      </c>
      <c r="EN38" s="100">
        <f t="shared" si="470"/>
        <v>75.503078792394305</v>
      </c>
      <c r="EO38" s="93">
        <f t="shared" si="471"/>
        <v>85.309303213196714</v>
      </c>
      <c r="EP38" s="93">
        <f t="shared" si="472"/>
        <v>80.485278934700546</v>
      </c>
      <c r="EQ38" s="28">
        <f t="shared" si="245"/>
        <v>106087</v>
      </c>
      <c r="ER38" s="28">
        <f t="shared" si="246"/>
        <v>116069</v>
      </c>
      <c r="ES38" s="28">
        <f t="shared" si="246"/>
        <v>222156</v>
      </c>
      <c r="ET38" s="28">
        <v>69963</v>
      </c>
      <c r="EU38" s="28">
        <v>89856</v>
      </c>
      <c r="EV38" s="28">
        <f t="shared" si="248"/>
        <v>159819</v>
      </c>
      <c r="EW38" s="93">
        <f t="shared" si="473"/>
        <v>65.948702480039969</v>
      </c>
      <c r="EX38" s="93">
        <f t="shared" si="474"/>
        <v>77.416019781336956</v>
      </c>
      <c r="EY38" s="93">
        <f t="shared" si="474"/>
        <v>71.939988116458707</v>
      </c>
      <c r="EZ38" s="28">
        <f t="shared" si="252"/>
        <v>4269</v>
      </c>
      <c r="FA38" s="28">
        <f t="shared" si="253"/>
        <v>4403</v>
      </c>
      <c r="FB38" s="28">
        <f t="shared" si="253"/>
        <v>8672</v>
      </c>
      <c r="FC38" s="28">
        <v>2751</v>
      </c>
      <c r="FD38" s="28">
        <v>3029</v>
      </c>
      <c r="FE38" s="28">
        <f t="shared" si="255"/>
        <v>5780</v>
      </c>
      <c r="FF38" s="93">
        <f t="shared" si="475"/>
        <v>64.441321152494723</v>
      </c>
      <c r="FG38" s="93">
        <f t="shared" si="476"/>
        <v>68.794004088121739</v>
      </c>
      <c r="FH38" s="93">
        <f t="shared" si="477"/>
        <v>66.651291512915122</v>
      </c>
    </row>
    <row r="39" spans="1:164" ht="27" customHeight="1">
      <c r="A39" s="94">
        <v>30</v>
      </c>
      <c r="B39" s="118" t="s">
        <v>165</v>
      </c>
      <c r="C39" s="75">
        <v>23837</v>
      </c>
      <c r="D39" s="75">
        <v>24516</v>
      </c>
      <c r="E39" s="75">
        <f t="shared" si="182"/>
        <v>48353</v>
      </c>
      <c r="F39" s="75">
        <v>14724</v>
      </c>
      <c r="G39" s="75">
        <v>14279</v>
      </c>
      <c r="H39" s="75">
        <f t="shared" si="183"/>
        <v>29003</v>
      </c>
      <c r="I39" s="105"/>
      <c r="J39" s="105"/>
      <c r="K39" s="105"/>
      <c r="L39" s="97">
        <f t="shared" si="460"/>
        <v>14724</v>
      </c>
      <c r="M39" s="98">
        <f t="shared" si="461"/>
        <v>14279</v>
      </c>
      <c r="N39" s="98">
        <f t="shared" si="462"/>
        <v>29003</v>
      </c>
      <c r="O39" s="117">
        <f t="shared" si="187"/>
        <v>0.61769517976255406</v>
      </c>
      <c r="P39" s="117">
        <f t="shared" si="188"/>
        <v>0.58243596018926413</v>
      </c>
      <c r="Q39" s="117">
        <f t="shared" si="189"/>
        <v>0.59981800508758509</v>
      </c>
      <c r="R39" s="28">
        <v>488</v>
      </c>
      <c r="S39" s="28">
        <v>533</v>
      </c>
      <c r="T39" s="28">
        <f t="shared" si="478"/>
        <v>1021</v>
      </c>
      <c r="U39" s="28">
        <v>98</v>
      </c>
      <c r="V39" s="28">
        <v>188</v>
      </c>
      <c r="W39" s="28">
        <f t="shared" si="258"/>
        <v>286</v>
      </c>
      <c r="X39" s="106"/>
      <c r="Y39" s="106"/>
      <c r="Z39" s="106"/>
      <c r="AA39" s="28">
        <f t="shared" si="259"/>
        <v>98</v>
      </c>
      <c r="AB39" s="28">
        <f t="shared" si="260"/>
        <v>188</v>
      </c>
      <c r="AC39" s="28">
        <f t="shared" si="261"/>
        <v>286</v>
      </c>
      <c r="AD39" s="117">
        <f t="shared" si="548"/>
        <v>0.20081967213114754</v>
      </c>
      <c r="AE39" s="117">
        <f t="shared" si="549"/>
        <v>0.3527204502814259</v>
      </c>
      <c r="AF39" s="117">
        <f t="shared" si="481"/>
        <v>0.2801175318315377</v>
      </c>
      <c r="AG39" s="28">
        <f t="shared" si="190"/>
        <v>24325</v>
      </c>
      <c r="AH39" s="28">
        <f t="shared" si="191"/>
        <v>25049</v>
      </c>
      <c r="AI39" s="28">
        <f t="shared" si="191"/>
        <v>49374</v>
      </c>
      <c r="AJ39" s="28">
        <f t="shared" si="193"/>
        <v>14822</v>
      </c>
      <c r="AK39" s="28">
        <f t="shared" si="194"/>
        <v>14467</v>
      </c>
      <c r="AL39" s="28">
        <f t="shared" si="194"/>
        <v>29289</v>
      </c>
      <c r="AM39" s="106"/>
      <c r="AN39" s="106"/>
      <c r="AO39" s="106"/>
      <c r="AP39" s="28">
        <f t="shared" si="195"/>
        <v>14822</v>
      </c>
      <c r="AQ39" s="28">
        <f t="shared" si="196"/>
        <v>14467</v>
      </c>
      <c r="AR39" s="28">
        <f t="shared" si="196"/>
        <v>29289</v>
      </c>
      <c r="AS39" s="117">
        <f t="shared" si="197"/>
        <v>0.60933196300102777</v>
      </c>
      <c r="AT39" s="117">
        <f t="shared" si="198"/>
        <v>0.57754800590841948</v>
      </c>
      <c r="AU39" s="117">
        <f t="shared" si="199"/>
        <v>0.59320695102685628</v>
      </c>
      <c r="AV39" s="92">
        <v>4644</v>
      </c>
      <c r="AW39" s="92">
        <v>4581</v>
      </c>
      <c r="AX39" s="92">
        <f t="shared" si="200"/>
        <v>9225</v>
      </c>
      <c r="AY39" s="92">
        <v>3091</v>
      </c>
      <c r="AZ39" s="92">
        <v>2989</v>
      </c>
      <c r="BA39" s="92">
        <f t="shared" si="201"/>
        <v>6080</v>
      </c>
      <c r="BB39" s="105"/>
      <c r="BC39" s="105"/>
      <c r="BD39" s="105"/>
      <c r="BE39" s="92">
        <f t="shared" si="202"/>
        <v>3091</v>
      </c>
      <c r="BF39" s="92">
        <f t="shared" si="203"/>
        <v>2989</v>
      </c>
      <c r="BG39" s="92">
        <f t="shared" si="203"/>
        <v>6080</v>
      </c>
      <c r="BH39" s="117">
        <f t="shared" si="205"/>
        <v>0.66559000861326445</v>
      </c>
      <c r="BI39" s="117">
        <f t="shared" si="206"/>
        <v>0.65247762497271333</v>
      </c>
      <c r="BJ39" s="117">
        <f t="shared" si="207"/>
        <v>0.65907859078590791</v>
      </c>
      <c r="BK39" s="28">
        <v>95</v>
      </c>
      <c r="BL39" s="28">
        <v>84</v>
      </c>
      <c r="BM39" s="28">
        <f t="shared" si="266"/>
        <v>179</v>
      </c>
      <c r="BN39" s="92">
        <v>16</v>
      </c>
      <c r="BO39" s="92">
        <v>36</v>
      </c>
      <c r="BP39" s="92">
        <f t="shared" si="267"/>
        <v>52</v>
      </c>
      <c r="BQ39" s="105"/>
      <c r="BR39" s="105"/>
      <c r="BS39" s="105"/>
      <c r="BT39" s="92">
        <f t="shared" si="482"/>
        <v>16</v>
      </c>
      <c r="BU39" s="92">
        <f t="shared" si="268"/>
        <v>36</v>
      </c>
      <c r="BV39" s="92">
        <f t="shared" si="268"/>
        <v>52</v>
      </c>
      <c r="BW39" s="117">
        <f t="shared" si="270"/>
        <v>0.16842105263157894</v>
      </c>
      <c r="BX39" s="117">
        <f t="shared" si="271"/>
        <v>0.42857142857142855</v>
      </c>
      <c r="BY39" s="117">
        <f t="shared" si="272"/>
        <v>0.29050279329608941</v>
      </c>
      <c r="BZ39" s="98">
        <f t="shared" ref="BZ39:BZ43" si="554">AV39+BK39</f>
        <v>4739</v>
      </c>
      <c r="CA39" s="98">
        <f t="shared" ref="CA39:CA43" si="555">AW39+BL39</f>
        <v>4665</v>
      </c>
      <c r="CB39" s="98">
        <f t="shared" ref="CB39:CB43" si="556">AX39+BM39</f>
        <v>9404</v>
      </c>
      <c r="CC39" s="28">
        <f t="shared" si="211"/>
        <v>3107</v>
      </c>
      <c r="CD39" s="28">
        <f t="shared" si="212"/>
        <v>3025</v>
      </c>
      <c r="CE39" s="28">
        <f t="shared" si="213"/>
        <v>6132</v>
      </c>
      <c r="CF39" s="106"/>
      <c r="CG39" s="106"/>
      <c r="CH39" s="106"/>
      <c r="CI39" s="28">
        <f t="shared" ref="CI39:CI43" si="557">BE39+BT39</f>
        <v>3107</v>
      </c>
      <c r="CJ39" s="28">
        <f t="shared" ref="CJ39:CJ43" si="558">BF39+BU39</f>
        <v>3025</v>
      </c>
      <c r="CK39" s="28">
        <f t="shared" ref="CK39:CK43" si="559">BG39+BV39</f>
        <v>6132</v>
      </c>
      <c r="CL39" s="117">
        <f t="shared" si="454"/>
        <v>0.65562354927199828</v>
      </c>
      <c r="CM39" s="117">
        <f t="shared" si="218"/>
        <v>0.64844587352625938</v>
      </c>
      <c r="CN39" s="117">
        <f t="shared" si="219"/>
        <v>0.65206295193534669</v>
      </c>
      <c r="CO39" s="92">
        <v>7905</v>
      </c>
      <c r="CP39" s="92">
        <v>7934</v>
      </c>
      <c r="CQ39" s="92">
        <f t="shared" si="220"/>
        <v>15839</v>
      </c>
      <c r="CR39" s="92">
        <v>3614</v>
      </c>
      <c r="CS39" s="92">
        <v>3023</v>
      </c>
      <c r="CT39" s="92">
        <f t="shared" si="221"/>
        <v>6637</v>
      </c>
      <c r="CU39" s="105"/>
      <c r="CV39" s="105"/>
      <c r="CW39" s="105"/>
      <c r="CX39" s="92">
        <f t="shared" si="222"/>
        <v>3614</v>
      </c>
      <c r="CY39" s="92">
        <f t="shared" si="223"/>
        <v>3023</v>
      </c>
      <c r="CZ39" s="92">
        <f t="shared" si="223"/>
        <v>6637</v>
      </c>
      <c r="DA39" s="117">
        <f t="shared" si="273"/>
        <v>0.45717900063251105</v>
      </c>
      <c r="DB39" s="117">
        <f t="shared" si="225"/>
        <v>0.38101840181497354</v>
      </c>
      <c r="DC39" s="117">
        <f t="shared" si="226"/>
        <v>0.41902897910221604</v>
      </c>
      <c r="DD39" s="28">
        <v>139</v>
      </c>
      <c r="DE39" s="28">
        <v>170</v>
      </c>
      <c r="DF39" s="28">
        <f t="shared" si="274"/>
        <v>309</v>
      </c>
      <c r="DG39" s="92">
        <v>29</v>
      </c>
      <c r="DH39" s="92">
        <v>40</v>
      </c>
      <c r="DI39" s="92">
        <f t="shared" si="275"/>
        <v>69</v>
      </c>
      <c r="DJ39" s="105"/>
      <c r="DK39" s="105"/>
      <c r="DL39" s="105"/>
      <c r="DM39" s="92">
        <f t="shared" si="276"/>
        <v>29</v>
      </c>
      <c r="DN39" s="92">
        <f t="shared" si="277"/>
        <v>40</v>
      </c>
      <c r="DO39" s="92">
        <f t="shared" si="277"/>
        <v>69</v>
      </c>
      <c r="DP39" s="116">
        <f t="shared" si="279"/>
        <v>0.20863309352517986</v>
      </c>
      <c r="DQ39" s="116">
        <f t="shared" si="280"/>
        <v>0.23529411764705882</v>
      </c>
      <c r="DR39" s="116">
        <f t="shared" si="281"/>
        <v>0.22330097087378642</v>
      </c>
      <c r="DS39" s="98">
        <f t="shared" si="227"/>
        <v>8044</v>
      </c>
      <c r="DT39" s="98">
        <f t="shared" si="228"/>
        <v>8104</v>
      </c>
      <c r="DU39" s="28">
        <f t="shared" si="229"/>
        <v>16148</v>
      </c>
      <c r="DV39" s="28">
        <f t="shared" si="230"/>
        <v>3643</v>
      </c>
      <c r="DW39" s="28">
        <f t="shared" si="231"/>
        <v>3063</v>
      </c>
      <c r="DX39" s="28">
        <f t="shared" si="232"/>
        <v>6706</v>
      </c>
      <c r="DY39" s="106"/>
      <c r="DZ39" s="106"/>
      <c r="EA39" s="106"/>
      <c r="EB39" s="28">
        <f t="shared" si="233"/>
        <v>3643</v>
      </c>
      <c r="EC39" s="28">
        <f t="shared" si="234"/>
        <v>3063</v>
      </c>
      <c r="ED39" s="28">
        <f t="shared" si="235"/>
        <v>6706</v>
      </c>
      <c r="EE39" s="117">
        <f t="shared" si="459"/>
        <v>0.45288413724515164</v>
      </c>
      <c r="EF39" s="117">
        <f t="shared" si="236"/>
        <v>0.3779615004935834</v>
      </c>
      <c r="EG39" s="117">
        <f t="shared" si="237"/>
        <v>0.4152836264552886</v>
      </c>
      <c r="EH39" s="28">
        <f t="shared" si="238"/>
        <v>14822</v>
      </c>
      <c r="EI39" s="28">
        <f t="shared" si="239"/>
        <v>14467</v>
      </c>
      <c r="EJ39" s="28">
        <f t="shared" si="239"/>
        <v>29289</v>
      </c>
      <c r="EK39" s="28">
        <v>2325</v>
      </c>
      <c r="EL39" s="28">
        <v>2155</v>
      </c>
      <c r="EM39" s="28">
        <f t="shared" si="241"/>
        <v>4480</v>
      </c>
      <c r="EN39" s="100">
        <f t="shared" si="470"/>
        <v>15.686142221022804</v>
      </c>
      <c r="EO39" s="93">
        <f t="shared" si="471"/>
        <v>14.895970138936891</v>
      </c>
      <c r="EP39" s="93">
        <f t="shared" si="472"/>
        <v>15.295844856430742</v>
      </c>
      <c r="EQ39" s="28">
        <f t="shared" si="245"/>
        <v>3107</v>
      </c>
      <c r="ER39" s="28">
        <f t="shared" si="246"/>
        <v>3025</v>
      </c>
      <c r="ES39" s="28">
        <f t="shared" si="246"/>
        <v>6132</v>
      </c>
      <c r="ET39" s="28">
        <v>510</v>
      </c>
      <c r="EU39" s="28">
        <v>456</v>
      </c>
      <c r="EV39" s="28">
        <f t="shared" si="248"/>
        <v>966</v>
      </c>
      <c r="EW39" s="93">
        <f t="shared" si="473"/>
        <v>16.414547795300933</v>
      </c>
      <c r="EX39" s="93">
        <f t="shared" si="474"/>
        <v>15.074380165289256</v>
      </c>
      <c r="EY39" s="93">
        <f t="shared" si="474"/>
        <v>15.753424657534246</v>
      </c>
      <c r="EZ39" s="28">
        <f t="shared" si="252"/>
        <v>3643</v>
      </c>
      <c r="FA39" s="28">
        <f t="shared" si="253"/>
        <v>3063</v>
      </c>
      <c r="FB39" s="28">
        <f t="shared" si="253"/>
        <v>6706</v>
      </c>
      <c r="FC39" s="28">
        <v>128</v>
      </c>
      <c r="FD39" s="28">
        <v>104</v>
      </c>
      <c r="FE39" s="28">
        <f t="shared" si="255"/>
        <v>232</v>
      </c>
      <c r="FF39" s="93">
        <f t="shared" si="475"/>
        <v>3.5135877024430413</v>
      </c>
      <c r="FG39" s="93">
        <f t="shared" si="476"/>
        <v>3.3953640222004569</v>
      </c>
      <c r="FH39" s="93">
        <f t="shared" si="477"/>
        <v>3.4595884282731881</v>
      </c>
    </row>
    <row r="40" spans="1:164" ht="27" customHeight="1">
      <c r="A40" s="94">
        <v>31</v>
      </c>
      <c r="B40" s="118" t="s">
        <v>168</v>
      </c>
      <c r="C40" s="75">
        <v>1520426</v>
      </c>
      <c r="D40" s="75">
        <v>1338045</v>
      </c>
      <c r="E40" s="75">
        <f>C40+D40</f>
        <v>2858471</v>
      </c>
      <c r="F40" s="75">
        <v>1167948</v>
      </c>
      <c r="G40" s="75">
        <v>1159662</v>
      </c>
      <c r="H40" s="75">
        <f t="shared" si="183"/>
        <v>2327610</v>
      </c>
      <c r="I40" s="75">
        <v>181</v>
      </c>
      <c r="J40" s="75">
        <v>64</v>
      </c>
      <c r="K40" s="75">
        <f t="shared" si="443"/>
        <v>245</v>
      </c>
      <c r="L40" s="97">
        <f t="shared" si="460"/>
        <v>1168129</v>
      </c>
      <c r="M40" s="98">
        <f t="shared" si="461"/>
        <v>1159726</v>
      </c>
      <c r="N40" s="98">
        <f t="shared" si="462"/>
        <v>2327855</v>
      </c>
      <c r="O40" s="117">
        <f t="shared" si="187"/>
        <v>0.76829059750359441</v>
      </c>
      <c r="P40" s="117">
        <f t="shared" si="188"/>
        <v>0.86673168690141211</v>
      </c>
      <c r="Q40" s="117">
        <f t="shared" si="189"/>
        <v>0.8143706897848535</v>
      </c>
      <c r="R40" s="28">
        <v>113777</v>
      </c>
      <c r="S40" s="28">
        <v>26244</v>
      </c>
      <c r="T40" s="28">
        <f t="shared" si="478"/>
        <v>140021</v>
      </c>
      <c r="U40" s="28">
        <v>86223</v>
      </c>
      <c r="V40" s="28">
        <v>20409</v>
      </c>
      <c r="W40" s="28">
        <f t="shared" si="258"/>
        <v>106632</v>
      </c>
      <c r="X40" s="28">
        <v>25</v>
      </c>
      <c r="Y40" s="28">
        <v>3</v>
      </c>
      <c r="Z40" s="28">
        <f t="shared" si="483"/>
        <v>28</v>
      </c>
      <c r="AA40" s="28">
        <f t="shared" si="259"/>
        <v>86248</v>
      </c>
      <c r="AB40" s="28">
        <f t="shared" si="260"/>
        <v>20412</v>
      </c>
      <c r="AC40" s="28">
        <f t="shared" si="261"/>
        <v>106660</v>
      </c>
      <c r="AD40" s="117">
        <f t="shared" ref="AD40:AD43" si="560">AA40/R40</f>
        <v>0.75804424444307728</v>
      </c>
      <c r="AE40" s="117">
        <f t="shared" ref="AE40:AE43" si="561">AB40/S40</f>
        <v>0.77777777777777779</v>
      </c>
      <c r="AF40" s="117">
        <f t="shared" si="481"/>
        <v>0.76174288142492907</v>
      </c>
      <c r="AG40" s="28">
        <f t="shared" si="190"/>
        <v>1634203</v>
      </c>
      <c r="AH40" s="28">
        <f t="shared" si="191"/>
        <v>1364289</v>
      </c>
      <c r="AI40" s="28">
        <f t="shared" si="191"/>
        <v>2998492</v>
      </c>
      <c r="AJ40" s="28">
        <f t="shared" si="193"/>
        <v>1254171</v>
      </c>
      <c r="AK40" s="28">
        <f t="shared" si="194"/>
        <v>1180071</v>
      </c>
      <c r="AL40" s="28">
        <f t="shared" si="194"/>
        <v>2434242</v>
      </c>
      <c r="AM40" s="28">
        <f t="shared" si="447"/>
        <v>206</v>
      </c>
      <c r="AN40" s="28">
        <f t="shared" si="265"/>
        <v>67</v>
      </c>
      <c r="AO40" s="28">
        <f t="shared" si="265"/>
        <v>273</v>
      </c>
      <c r="AP40" s="28">
        <f t="shared" si="195"/>
        <v>1254377</v>
      </c>
      <c r="AQ40" s="28">
        <f t="shared" si="196"/>
        <v>1180138</v>
      </c>
      <c r="AR40" s="28">
        <f t="shared" si="196"/>
        <v>2434515</v>
      </c>
      <c r="AS40" s="117">
        <f t="shared" si="197"/>
        <v>0.76757722265838457</v>
      </c>
      <c r="AT40" s="117">
        <f t="shared" si="198"/>
        <v>0.86502053450551897</v>
      </c>
      <c r="AU40" s="117">
        <f t="shared" si="199"/>
        <v>0.81191312166248897</v>
      </c>
      <c r="AV40" s="92">
        <v>345966</v>
      </c>
      <c r="AW40" s="92">
        <v>301752</v>
      </c>
      <c r="AX40" s="92">
        <f t="shared" si="200"/>
        <v>647718</v>
      </c>
      <c r="AY40" s="92">
        <v>242066</v>
      </c>
      <c r="AZ40" s="92">
        <v>238925</v>
      </c>
      <c r="BA40" s="92">
        <f t="shared" si="201"/>
        <v>480991</v>
      </c>
      <c r="BB40" s="92">
        <v>27</v>
      </c>
      <c r="BC40" s="92">
        <v>16</v>
      </c>
      <c r="BD40" s="92">
        <f t="shared" si="448"/>
        <v>43</v>
      </c>
      <c r="BE40" s="92">
        <f t="shared" si="202"/>
        <v>242093</v>
      </c>
      <c r="BF40" s="92">
        <f t="shared" si="203"/>
        <v>238941</v>
      </c>
      <c r="BG40" s="92">
        <f t="shared" si="203"/>
        <v>481034</v>
      </c>
      <c r="BH40" s="117">
        <f t="shared" si="205"/>
        <v>0.69975951394067626</v>
      </c>
      <c r="BI40" s="117">
        <f t="shared" si="206"/>
        <v>0.79184562157003102</v>
      </c>
      <c r="BJ40" s="117">
        <f t="shared" si="207"/>
        <v>0.74265961421482807</v>
      </c>
      <c r="BK40" s="28">
        <v>20183</v>
      </c>
      <c r="BL40" s="28">
        <v>4238</v>
      </c>
      <c r="BM40" s="28">
        <f t="shared" si="266"/>
        <v>24421</v>
      </c>
      <c r="BN40" s="92">
        <v>12768</v>
      </c>
      <c r="BO40" s="92">
        <v>2781</v>
      </c>
      <c r="BP40" s="92">
        <f t="shared" si="267"/>
        <v>15549</v>
      </c>
      <c r="BQ40" s="92">
        <v>5</v>
      </c>
      <c r="BR40" s="92">
        <v>1</v>
      </c>
      <c r="BS40" s="92">
        <f t="shared" si="484"/>
        <v>6</v>
      </c>
      <c r="BT40" s="92">
        <f t="shared" si="482"/>
        <v>12773</v>
      </c>
      <c r="BU40" s="92">
        <f t="shared" si="268"/>
        <v>2782</v>
      </c>
      <c r="BV40" s="92">
        <f t="shared" si="268"/>
        <v>15555</v>
      </c>
      <c r="BW40" s="117">
        <f t="shared" si="270"/>
        <v>0.63285933706584752</v>
      </c>
      <c r="BX40" s="117">
        <f t="shared" si="271"/>
        <v>0.65644171779141103</v>
      </c>
      <c r="BY40" s="117">
        <f t="shared" si="272"/>
        <v>0.63695180377543914</v>
      </c>
      <c r="BZ40" s="98">
        <f t="shared" si="554"/>
        <v>366149</v>
      </c>
      <c r="CA40" s="98">
        <f t="shared" si="555"/>
        <v>305990</v>
      </c>
      <c r="CB40" s="98">
        <f t="shared" si="556"/>
        <v>672139</v>
      </c>
      <c r="CC40" s="28">
        <f t="shared" si="211"/>
        <v>254834</v>
      </c>
      <c r="CD40" s="28">
        <f t="shared" si="212"/>
        <v>241706</v>
      </c>
      <c r="CE40" s="28">
        <f t="shared" si="213"/>
        <v>496540</v>
      </c>
      <c r="CF40" s="28">
        <f t="shared" si="449"/>
        <v>32</v>
      </c>
      <c r="CG40" s="28">
        <f t="shared" si="450"/>
        <v>17</v>
      </c>
      <c r="CH40" s="28">
        <f t="shared" si="451"/>
        <v>49</v>
      </c>
      <c r="CI40" s="28">
        <f t="shared" si="557"/>
        <v>254866</v>
      </c>
      <c r="CJ40" s="28">
        <f t="shared" si="558"/>
        <v>241723</v>
      </c>
      <c r="CK40" s="28">
        <f t="shared" si="559"/>
        <v>496589</v>
      </c>
      <c r="CL40" s="117">
        <f t="shared" si="454"/>
        <v>0.6960718177572518</v>
      </c>
      <c r="CM40" s="117">
        <f t="shared" si="218"/>
        <v>0.78997026046602825</v>
      </c>
      <c r="CN40" s="117">
        <f t="shared" si="219"/>
        <v>0.7388189050181585</v>
      </c>
      <c r="CO40" s="92">
        <v>11391</v>
      </c>
      <c r="CP40" s="92">
        <v>9445</v>
      </c>
      <c r="CQ40" s="92">
        <f t="shared" si="220"/>
        <v>20836</v>
      </c>
      <c r="CR40" s="92">
        <v>8118</v>
      </c>
      <c r="CS40" s="92">
        <v>7552</v>
      </c>
      <c r="CT40" s="92">
        <f t="shared" si="221"/>
        <v>15670</v>
      </c>
      <c r="CU40" s="92">
        <v>1</v>
      </c>
      <c r="CV40" s="92">
        <v>1</v>
      </c>
      <c r="CW40" s="92">
        <f t="shared" si="455"/>
        <v>2</v>
      </c>
      <c r="CX40" s="92">
        <f t="shared" si="222"/>
        <v>8119</v>
      </c>
      <c r="CY40" s="92">
        <f t="shared" si="223"/>
        <v>7553</v>
      </c>
      <c r="CZ40" s="92">
        <f t="shared" si="223"/>
        <v>15672</v>
      </c>
      <c r="DA40" s="117">
        <f t="shared" si="273"/>
        <v>0.71275568431217629</v>
      </c>
      <c r="DB40" s="117">
        <f t="shared" si="225"/>
        <v>0.79968237162519851</v>
      </c>
      <c r="DC40" s="117">
        <f t="shared" si="226"/>
        <v>0.75215972355538496</v>
      </c>
      <c r="DD40" s="28">
        <v>1207</v>
      </c>
      <c r="DE40" s="28">
        <v>259</v>
      </c>
      <c r="DF40" s="28">
        <f t="shared" si="274"/>
        <v>1466</v>
      </c>
      <c r="DG40" s="92">
        <v>808</v>
      </c>
      <c r="DH40" s="92">
        <v>177</v>
      </c>
      <c r="DI40" s="92">
        <f t="shared" si="275"/>
        <v>985</v>
      </c>
      <c r="DJ40" s="92">
        <v>1</v>
      </c>
      <c r="DK40" s="92">
        <v>0</v>
      </c>
      <c r="DL40" s="92">
        <f t="shared" si="488"/>
        <v>1</v>
      </c>
      <c r="DM40" s="92">
        <f t="shared" si="276"/>
        <v>809</v>
      </c>
      <c r="DN40" s="92">
        <f t="shared" si="277"/>
        <v>177</v>
      </c>
      <c r="DO40" s="92">
        <f t="shared" si="277"/>
        <v>986</v>
      </c>
      <c r="DP40" s="116">
        <f t="shared" si="279"/>
        <v>0.67025683512841761</v>
      </c>
      <c r="DQ40" s="116">
        <f t="shared" si="280"/>
        <v>0.68339768339768336</v>
      </c>
      <c r="DR40" s="116">
        <f t="shared" si="281"/>
        <v>0.67257844474761252</v>
      </c>
      <c r="DS40" s="98">
        <f t="shared" si="227"/>
        <v>12598</v>
      </c>
      <c r="DT40" s="98">
        <f t="shared" si="228"/>
        <v>9704</v>
      </c>
      <c r="DU40" s="28">
        <f t="shared" si="229"/>
        <v>22302</v>
      </c>
      <c r="DV40" s="28">
        <f t="shared" si="230"/>
        <v>8926</v>
      </c>
      <c r="DW40" s="28">
        <f t="shared" si="231"/>
        <v>7729</v>
      </c>
      <c r="DX40" s="28">
        <f t="shared" si="232"/>
        <v>16655</v>
      </c>
      <c r="DY40" s="28">
        <f t="shared" si="456"/>
        <v>2</v>
      </c>
      <c r="DZ40" s="28">
        <f t="shared" si="457"/>
        <v>1</v>
      </c>
      <c r="EA40" s="28">
        <f t="shared" si="458"/>
        <v>3</v>
      </c>
      <c r="EB40" s="28">
        <f t="shared" si="233"/>
        <v>8928</v>
      </c>
      <c r="EC40" s="28">
        <f t="shared" si="234"/>
        <v>7730</v>
      </c>
      <c r="ED40" s="28">
        <f t="shared" si="235"/>
        <v>16658</v>
      </c>
      <c r="EE40" s="117">
        <f t="shared" si="459"/>
        <v>0.7086839180822353</v>
      </c>
      <c r="EF40" s="117">
        <f t="shared" si="236"/>
        <v>0.79657873042044514</v>
      </c>
      <c r="EG40" s="117">
        <f t="shared" si="237"/>
        <v>0.74692852658954356</v>
      </c>
      <c r="EH40" s="28">
        <f t="shared" si="238"/>
        <v>1254377</v>
      </c>
      <c r="EI40" s="28">
        <f t="shared" si="239"/>
        <v>1180138</v>
      </c>
      <c r="EJ40" s="28">
        <f t="shared" si="239"/>
        <v>2434515</v>
      </c>
      <c r="EK40" s="28">
        <v>823632</v>
      </c>
      <c r="EL40" s="28">
        <v>887607</v>
      </c>
      <c r="EM40" s="28">
        <f t="shared" si="241"/>
        <v>1711239</v>
      </c>
      <c r="EN40" s="100">
        <f t="shared" si="470"/>
        <v>65.66064269354429</v>
      </c>
      <c r="EO40" s="93">
        <f t="shared" si="471"/>
        <v>75.212136207799432</v>
      </c>
      <c r="EP40" s="93">
        <f t="shared" si="472"/>
        <v>70.290756064349566</v>
      </c>
      <c r="EQ40" s="28">
        <f t="shared" si="245"/>
        <v>254866</v>
      </c>
      <c r="ER40" s="28">
        <f t="shared" si="246"/>
        <v>241723</v>
      </c>
      <c r="ES40" s="28">
        <f t="shared" si="246"/>
        <v>496589</v>
      </c>
      <c r="ET40" s="28">
        <v>154120</v>
      </c>
      <c r="EU40" s="28">
        <v>164020</v>
      </c>
      <c r="EV40" s="28">
        <f t="shared" si="248"/>
        <v>318140</v>
      </c>
      <c r="EW40" s="93">
        <f t="shared" si="473"/>
        <v>60.470992600032957</v>
      </c>
      <c r="EX40" s="93">
        <f t="shared" si="474"/>
        <v>67.854527703197462</v>
      </c>
      <c r="EY40" s="93">
        <f t="shared" si="474"/>
        <v>64.065051783265432</v>
      </c>
      <c r="EZ40" s="28">
        <f t="shared" si="252"/>
        <v>8928</v>
      </c>
      <c r="FA40" s="28">
        <f t="shared" si="253"/>
        <v>7730</v>
      </c>
      <c r="FB40" s="28">
        <f t="shared" si="253"/>
        <v>16658</v>
      </c>
      <c r="FC40" s="28">
        <v>6079</v>
      </c>
      <c r="FD40" s="28">
        <v>5450</v>
      </c>
      <c r="FE40" s="28">
        <f t="shared" si="255"/>
        <v>11529</v>
      </c>
      <c r="FF40" s="93">
        <f t="shared" si="475"/>
        <v>68.089157706093189</v>
      </c>
      <c r="FG40" s="93">
        <f t="shared" si="476"/>
        <v>70.504527813712812</v>
      </c>
      <c r="FH40" s="93">
        <f t="shared" si="477"/>
        <v>69.20998919438108</v>
      </c>
    </row>
    <row r="41" spans="1:164" ht="27" customHeight="1">
      <c r="A41" s="94">
        <v>32</v>
      </c>
      <c r="B41" s="118" t="s">
        <v>169</v>
      </c>
      <c r="C41" s="75">
        <v>71473</v>
      </c>
      <c r="D41" s="75">
        <v>73962</v>
      </c>
      <c r="E41" s="75">
        <f>C41+D41</f>
        <v>145435</v>
      </c>
      <c r="F41" s="75">
        <v>50328</v>
      </c>
      <c r="G41" s="75">
        <v>58810</v>
      </c>
      <c r="H41" s="75">
        <f t="shared" si="183"/>
        <v>109138</v>
      </c>
      <c r="I41" s="105"/>
      <c r="J41" s="105"/>
      <c r="K41" s="105"/>
      <c r="L41" s="97">
        <f t="shared" si="460"/>
        <v>50328</v>
      </c>
      <c r="M41" s="98">
        <f t="shared" si="461"/>
        <v>58810</v>
      </c>
      <c r="N41" s="98">
        <f t="shared" si="462"/>
        <v>109138</v>
      </c>
      <c r="O41" s="117">
        <f t="shared" si="187"/>
        <v>0.70415401620192242</v>
      </c>
      <c r="P41" s="117">
        <f t="shared" si="188"/>
        <v>0.79513804386036069</v>
      </c>
      <c r="Q41" s="117">
        <f t="shared" si="189"/>
        <v>0.75042458830405334</v>
      </c>
      <c r="R41" s="28">
        <v>3141</v>
      </c>
      <c r="S41" s="28">
        <v>1997</v>
      </c>
      <c r="T41" s="28">
        <f t="shared" si="478"/>
        <v>5138</v>
      </c>
      <c r="U41" s="28">
        <v>977</v>
      </c>
      <c r="V41" s="28">
        <v>826</v>
      </c>
      <c r="W41" s="28">
        <f t="shared" si="258"/>
        <v>1803</v>
      </c>
      <c r="X41" s="105"/>
      <c r="Y41" s="105"/>
      <c r="Z41" s="105"/>
      <c r="AA41" s="28">
        <f t="shared" si="259"/>
        <v>977</v>
      </c>
      <c r="AB41" s="28">
        <f t="shared" si="260"/>
        <v>826</v>
      </c>
      <c r="AC41" s="28">
        <f t="shared" si="261"/>
        <v>1803</v>
      </c>
      <c r="AD41" s="117">
        <f t="shared" si="560"/>
        <v>0.31104743712193567</v>
      </c>
      <c r="AE41" s="117">
        <f t="shared" si="561"/>
        <v>0.41362043064596893</v>
      </c>
      <c r="AF41" s="117">
        <f t="shared" si="481"/>
        <v>0.35091475282210977</v>
      </c>
      <c r="AG41" s="28">
        <f t="shared" si="190"/>
        <v>74614</v>
      </c>
      <c r="AH41" s="28">
        <f t="shared" si="191"/>
        <v>75959</v>
      </c>
      <c r="AI41" s="28">
        <f t="shared" si="191"/>
        <v>150573</v>
      </c>
      <c r="AJ41" s="28">
        <f t="shared" si="193"/>
        <v>51305</v>
      </c>
      <c r="AK41" s="28">
        <f t="shared" si="194"/>
        <v>59636</v>
      </c>
      <c r="AL41" s="28">
        <f t="shared" si="194"/>
        <v>110941</v>
      </c>
      <c r="AM41" s="105"/>
      <c r="AN41" s="105"/>
      <c r="AO41" s="105"/>
      <c r="AP41" s="28">
        <f t="shared" si="195"/>
        <v>51305</v>
      </c>
      <c r="AQ41" s="28">
        <f t="shared" si="196"/>
        <v>59636</v>
      </c>
      <c r="AR41" s="28">
        <f t="shared" si="196"/>
        <v>110941</v>
      </c>
      <c r="AS41" s="117">
        <f t="shared" si="197"/>
        <v>0.68760554319564693</v>
      </c>
      <c r="AT41" s="117">
        <f t="shared" si="198"/>
        <v>0.78510775549967748</v>
      </c>
      <c r="AU41" s="117">
        <f t="shared" si="199"/>
        <v>0.73679212076534306</v>
      </c>
      <c r="AV41" s="92">
        <v>20476</v>
      </c>
      <c r="AW41" s="92">
        <v>21219</v>
      </c>
      <c r="AX41" s="92">
        <f t="shared" si="200"/>
        <v>41695</v>
      </c>
      <c r="AY41" s="92">
        <v>12974</v>
      </c>
      <c r="AZ41" s="92">
        <v>15369</v>
      </c>
      <c r="BA41" s="92">
        <f t="shared" si="201"/>
        <v>28343</v>
      </c>
      <c r="BB41" s="105"/>
      <c r="BC41" s="105"/>
      <c r="BD41" s="105"/>
      <c r="BE41" s="92">
        <f t="shared" si="202"/>
        <v>12974</v>
      </c>
      <c r="BF41" s="92">
        <f t="shared" si="203"/>
        <v>15369</v>
      </c>
      <c r="BG41" s="92">
        <f t="shared" si="203"/>
        <v>28343</v>
      </c>
      <c r="BH41" s="117">
        <f t="shared" si="205"/>
        <v>0.6336198476264896</v>
      </c>
      <c r="BI41" s="117">
        <f t="shared" si="206"/>
        <v>0.72430369008907114</v>
      </c>
      <c r="BJ41" s="117">
        <f t="shared" si="207"/>
        <v>0.6797697565655354</v>
      </c>
      <c r="BK41" s="31">
        <v>1207</v>
      </c>
      <c r="BL41" s="31">
        <v>782</v>
      </c>
      <c r="BM41" s="28">
        <f t="shared" si="266"/>
        <v>1989</v>
      </c>
      <c r="BN41" s="92">
        <v>351</v>
      </c>
      <c r="BO41" s="92">
        <v>279</v>
      </c>
      <c r="BP41" s="92">
        <f t="shared" si="267"/>
        <v>630</v>
      </c>
      <c r="BQ41" s="105"/>
      <c r="BR41" s="105"/>
      <c r="BS41" s="105"/>
      <c r="BT41" s="92">
        <f t="shared" si="482"/>
        <v>351</v>
      </c>
      <c r="BU41" s="92">
        <f t="shared" si="268"/>
        <v>279</v>
      </c>
      <c r="BV41" s="92">
        <f t="shared" si="268"/>
        <v>630</v>
      </c>
      <c r="BW41" s="117">
        <f t="shared" si="270"/>
        <v>0.29080364540182269</v>
      </c>
      <c r="BX41" s="117">
        <f t="shared" si="271"/>
        <v>0.35677749360613809</v>
      </c>
      <c r="BY41" s="117">
        <f t="shared" si="272"/>
        <v>0.31674208144796379</v>
      </c>
      <c r="BZ41" s="98">
        <f t="shared" si="554"/>
        <v>21683</v>
      </c>
      <c r="CA41" s="98">
        <f t="shared" si="555"/>
        <v>22001</v>
      </c>
      <c r="CB41" s="98">
        <f t="shared" si="556"/>
        <v>43684</v>
      </c>
      <c r="CC41" s="28">
        <f t="shared" si="211"/>
        <v>13325</v>
      </c>
      <c r="CD41" s="28">
        <f t="shared" si="212"/>
        <v>15648</v>
      </c>
      <c r="CE41" s="28">
        <f t="shared" si="213"/>
        <v>28973</v>
      </c>
      <c r="CF41" s="105"/>
      <c r="CG41" s="105"/>
      <c r="CH41" s="105"/>
      <c r="CI41" s="28">
        <f t="shared" si="557"/>
        <v>13325</v>
      </c>
      <c r="CJ41" s="28">
        <f t="shared" si="558"/>
        <v>15648</v>
      </c>
      <c r="CK41" s="28">
        <f t="shared" si="559"/>
        <v>28973</v>
      </c>
      <c r="CL41" s="117">
        <f t="shared" si="454"/>
        <v>0.61453673384679242</v>
      </c>
      <c r="CM41" s="117">
        <f t="shared" si="218"/>
        <v>0.71124039816371987</v>
      </c>
      <c r="CN41" s="117">
        <f t="shared" si="219"/>
        <v>0.66324054573756985</v>
      </c>
      <c r="CO41" s="92">
        <v>2455</v>
      </c>
      <c r="CP41" s="92">
        <v>2676</v>
      </c>
      <c r="CQ41" s="92">
        <f t="shared" si="220"/>
        <v>5131</v>
      </c>
      <c r="CR41" s="92">
        <v>1711</v>
      </c>
      <c r="CS41" s="92">
        <v>2124</v>
      </c>
      <c r="CT41" s="92">
        <f t="shared" si="221"/>
        <v>3835</v>
      </c>
      <c r="CU41" s="105"/>
      <c r="CV41" s="105"/>
      <c r="CW41" s="105"/>
      <c r="CX41" s="92">
        <f t="shared" si="222"/>
        <v>1711</v>
      </c>
      <c r="CY41" s="92">
        <f t="shared" si="223"/>
        <v>2124</v>
      </c>
      <c r="CZ41" s="92">
        <f t="shared" si="223"/>
        <v>3835</v>
      </c>
      <c r="DA41" s="117">
        <f t="shared" si="273"/>
        <v>0.69694501018329935</v>
      </c>
      <c r="DB41" s="117">
        <f t="shared" si="225"/>
        <v>0.79372197309417036</v>
      </c>
      <c r="DC41" s="117">
        <f t="shared" si="226"/>
        <v>0.74741765737672972</v>
      </c>
      <c r="DD41" s="31">
        <v>85</v>
      </c>
      <c r="DE41" s="31">
        <v>71</v>
      </c>
      <c r="DF41" s="28">
        <f t="shared" si="274"/>
        <v>156</v>
      </c>
      <c r="DG41" s="92">
        <v>26</v>
      </c>
      <c r="DH41" s="92">
        <v>33</v>
      </c>
      <c r="DI41" s="92">
        <f t="shared" si="275"/>
        <v>59</v>
      </c>
      <c r="DJ41" s="105"/>
      <c r="DK41" s="105"/>
      <c r="DL41" s="105"/>
      <c r="DM41" s="92">
        <f t="shared" si="276"/>
        <v>26</v>
      </c>
      <c r="DN41" s="92">
        <f t="shared" si="277"/>
        <v>33</v>
      </c>
      <c r="DO41" s="92">
        <f t="shared" si="277"/>
        <v>59</v>
      </c>
      <c r="DP41" s="116">
        <f t="shared" si="279"/>
        <v>0.30588235294117649</v>
      </c>
      <c r="DQ41" s="116">
        <f t="shared" si="280"/>
        <v>0.46478873239436619</v>
      </c>
      <c r="DR41" s="116">
        <f t="shared" si="281"/>
        <v>0.37820512820512819</v>
      </c>
      <c r="DS41" s="98">
        <f t="shared" si="227"/>
        <v>2540</v>
      </c>
      <c r="DT41" s="98">
        <f t="shared" si="228"/>
        <v>2747</v>
      </c>
      <c r="DU41" s="28">
        <f t="shared" si="229"/>
        <v>5287</v>
      </c>
      <c r="DV41" s="28">
        <f t="shared" si="230"/>
        <v>1737</v>
      </c>
      <c r="DW41" s="28">
        <f t="shared" si="231"/>
        <v>2157</v>
      </c>
      <c r="DX41" s="28">
        <f t="shared" si="232"/>
        <v>3894</v>
      </c>
      <c r="DY41" s="105"/>
      <c r="DZ41" s="105"/>
      <c r="EA41" s="105"/>
      <c r="EB41" s="28">
        <f t="shared" si="233"/>
        <v>1737</v>
      </c>
      <c r="EC41" s="28">
        <f t="shared" si="234"/>
        <v>2157</v>
      </c>
      <c r="ED41" s="28">
        <f t="shared" si="235"/>
        <v>3894</v>
      </c>
      <c r="EE41" s="117">
        <f t="shared" si="459"/>
        <v>0.68385826771653546</v>
      </c>
      <c r="EF41" s="117">
        <f t="shared" si="236"/>
        <v>0.78522024026210413</v>
      </c>
      <c r="EG41" s="117">
        <f t="shared" si="237"/>
        <v>0.7365235483260828</v>
      </c>
      <c r="EH41" s="28">
        <f t="shared" si="238"/>
        <v>51305</v>
      </c>
      <c r="EI41" s="28">
        <f t="shared" si="239"/>
        <v>59636</v>
      </c>
      <c r="EJ41" s="28">
        <f t="shared" si="239"/>
        <v>110941</v>
      </c>
      <c r="EK41" s="32">
        <v>12783</v>
      </c>
      <c r="EL41" s="32">
        <v>18737</v>
      </c>
      <c r="EM41" s="28">
        <f t="shared" si="241"/>
        <v>31520</v>
      </c>
      <c r="EN41" s="100">
        <f t="shared" si="470"/>
        <v>24.915700224149692</v>
      </c>
      <c r="EO41" s="93">
        <f t="shared" si="471"/>
        <v>31.418941578912065</v>
      </c>
      <c r="EP41" s="93">
        <f t="shared" si="472"/>
        <v>28.41149800344327</v>
      </c>
      <c r="EQ41" s="28">
        <f t="shared" si="245"/>
        <v>13325</v>
      </c>
      <c r="ER41" s="28">
        <f t="shared" si="246"/>
        <v>15648</v>
      </c>
      <c r="ES41" s="28">
        <f t="shared" si="246"/>
        <v>28973</v>
      </c>
      <c r="ET41" s="32">
        <v>2194</v>
      </c>
      <c r="EU41" s="32">
        <v>3389</v>
      </c>
      <c r="EV41" s="28">
        <f t="shared" si="248"/>
        <v>5583</v>
      </c>
      <c r="EW41" s="93">
        <f t="shared" si="473"/>
        <v>16.465290806754222</v>
      </c>
      <c r="EX41" s="93">
        <f t="shared" si="474"/>
        <v>21.657719836400819</v>
      </c>
      <c r="EY41" s="93">
        <f t="shared" si="474"/>
        <v>19.269664860387255</v>
      </c>
      <c r="EZ41" s="28">
        <f t="shared" si="252"/>
        <v>1737</v>
      </c>
      <c r="FA41" s="28">
        <f t="shared" si="253"/>
        <v>2157</v>
      </c>
      <c r="FB41" s="28">
        <f t="shared" si="253"/>
        <v>3894</v>
      </c>
      <c r="FC41" s="32">
        <v>454</v>
      </c>
      <c r="FD41" s="32">
        <v>632</v>
      </c>
      <c r="FE41" s="28">
        <f t="shared" si="255"/>
        <v>1086</v>
      </c>
      <c r="FF41" s="93">
        <f t="shared" si="475"/>
        <v>26.137017846862406</v>
      </c>
      <c r="FG41" s="93">
        <f t="shared" si="476"/>
        <v>29.299953639313863</v>
      </c>
      <c r="FH41" s="93">
        <f t="shared" si="477"/>
        <v>27.889060092449924</v>
      </c>
    </row>
    <row r="42" spans="1:164" ht="27" customHeight="1">
      <c r="A42" s="94">
        <v>33</v>
      </c>
      <c r="B42" s="118" t="s">
        <v>314</v>
      </c>
      <c r="C42" s="75">
        <v>473003</v>
      </c>
      <c r="D42" s="75">
        <v>587495</v>
      </c>
      <c r="E42" s="75">
        <f>C42+D42</f>
        <v>1060498</v>
      </c>
      <c r="F42" s="75">
        <v>412446</v>
      </c>
      <c r="G42" s="75">
        <v>462117</v>
      </c>
      <c r="H42" s="75">
        <f>F42+G42</f>
        <v>874563</v>
      </c>
      <c r="I42" s="105"/>
      <c r="J42" s="105"/>
      <c r="K42" s="105"/>
      <c r="L42" s="97">
        <f>F42+I42</f>
        <v>412446</v>
      </c>
      <c r="M42" s="98">
        <f>G42+J42</f>
        <v>462117</v>
      </c>
      <c r="N42" s="98">
        <f>H42+K42</f>
        <v>874563</v>
      </c>
      <c r="O42" s="117">
        <f>L42/C42</f>
        <v>0.87197332786472814</v>
      </c>
      <c r="P42" s="117">
        <f>M42/D42</f>
        <v>0.78658882203252789</v>
      </c>
      <c r="Q42" s="117">
        <f>N42/E42</f>
        <v>0.82467199372370337</v>
      </c>
      <c r="R42" s="28">
        <v>466</v>
      </c>
      <c r="S42" s="28">
        <v>159</v>
      </c>
      <c r="T42" s="28">
        <f>R42+S42</f>
        <v>625</v>
      </c>
      <c r="U42" s="28">
        <v>358</v>
      </c>
      <c r="V42" s="28">
        <v>63</v>
      </c>
      <c r="W42" s="28">
        <f>U42+V42</f>
        <v>421</v>
      </c>
      <c r="X42" s="106"/>
      <c r="Y42" s="106"/>
      <c r="Z42" s="106"/>
      <c r="AA42" s="28">
        <f>U42+X42</f>
        <v>358</v>
      </c>
      <c r="AB42" s="28">
        <f>V42+Y42</f>
        <v>63</v>
      </c>
      <c r="AC42" s="28">
        <f>W42+Z42</f>
        <v>421</v>
      </c>
      <c r="AD42" s="117">
        <f>AA42/R42</f>
        <v>0.76824034334763946</v>
      </c>
      <c r="AE42" s="117">
        <f>AB42/S42</f>
        <v>0.39622641509433965</v>
      </c>
      <c r="AF42" s="117">
        <f>AC42/T42</f>
        <v>0.67359999999999998</v>
      </c>
      <c r="AG42" s="28">
        <f t="shared" ref="AG42:AL42" si="562">C42+R42</f>
        <v>473469</v>
      </c>
      <c r="AH42" s="28">
        <f t="shared" si="562"/>
        <v>587654</v>
      </c>
      <c r="AI42" s="28">
        <f t="shared" si="562"/>
        <v>1061123</v>
      </c>
      <c r="AJ42" s="28">
        <f t="shared" si="562"/>
        <v>412804</v>
      </c>
      <c r="AK42" s="28">
        <f t="shared" si="562"/>
        <v>462180</v>
      </c>
      <c r="AL42" s="28">
        <f t="shared" si="562"/>
        <v>874984</v>
      </c>
      <c r="AM42" s="106"/>
      <c r="AN42" s="106"/>
      <c r="AO42" s="106"/>
      <c r="AP42" s="28">
        <f>L42+AA42</f>
        <v>412804</v>
      </c>
      <c r="AQ42" s="28">
        <f>M42+AB42</f>
        <v>462180</v>
      </c>
      <c r="AR42" s="28">
        <f>N42+AC42</f>
        <v>874984</v>
      </c>
      <c r="AS42" s="117">
        <f>AP42/AG42</f>
        <v>0.87187123127385324</v>
      </c>
      <c r="AT42" s="117">
        <f>AQ42/AH42</f>
        <v>0.78648320270090899</v>
      </c>
      <c r="AU42" s="117">
        <f>AR42/AI42</f>
        <v>0.82458301252540944</v>
      </c>
      <c r="AV42" s="92">
        <v>139447</v>
      </c>
      <c r="AW42" s="92">
        <v>164679</v>
      </c>
      <c r="AX42" s="92">
        <f>+AV42+AW42</f>
        <v>304126</v>
      </c>
      <c r="AY42" s="92">
        <v>116600</v>
      </c>
      <c r="AZ42" s="92">
        <v>122050</v>
      </c>
      <c r="BA42" s="92">
        <f>+AY42+AZ42</f>
        <v>238650</v>
      </c>
      <c r="BB42" s="105"/>
      <c r="BC42" s="105"/>
      <c r="BD42" s="105"/>
      <c r="BE42" s="92">
        <f>+AY42+BB42</f>
        <v>116600</v>
      </c>
      <c r="BF42" s="92">
        <f>+AZ42+BC42</f>
        <v>122050</v>
      </c>
      <c r="BG42" s="92">
        <f>+BA42+BD42</f>
        <v>238650</v>
      </c>
      <c r="BH42" s="117">
        <f>BE42/AV42</f>
        <v>0.83615997475743475</v>
      </c>
      <c r="BI42" s="117">
        <f>BF42/AW42</f>
        <v>0.74113882158623745</v>
      </c>
      <c r="BJ42" s="117">
        <f>BG42/AX42</f>
        <v>0.78470765406443377</v>
      </c>
      <c r="BK42" s="28">
        <v>83</v>
      </c>
      <c r="BL42" s="28">
        <v>22</v>
      </c>
      <c r="BM42" s="28">
        <f>BK42+BL42</f>
        <v>105</v>
      </c>
      <c r="BN42" s="92">
        <v>70</v>
      </c>
      <c r="BO42" s="92">
        <v>10</v>
      </c>
      <c r="BP42" s="92">
        <f>BN42+BO42</f>
        <v>80</v>
      </c>
      <c r="BQ42" s="105"/>
      <c r="BR42" s="105"/>
      <c r="BS42" s="105"/>
      <c r="BT42" s="92">
        <f>+BN42+BQ42</f>
        <v>70</v>
      </c>
      <c r="BU42" s="92">
        <f>+BO42+BR42</f>
        <v>10</v>
      </c>
      <c r="BV42" s="92">
        <f>+BP42+BS42</f>
        <v>80</v>
      </c>
      <c r="BW42" s="117">
        <f>BT42/BK42</f>
        <v>0.84337349397590367</v>
      </c>
      <c r="BX42" s="117">
        <f>BU42/BL42</f>
        <v>0.45454545454545453</v>
      </c>
      <c r="BY42" s="117">
        <f>BV42/BM42</f>
        <v>0.76190476190476186</v>
      </c>
      <c r="BZ42" s="98">
        <f t="shared" ref="BZ42:CE42" si="563">AV42+BK42</f>
        <v>139530</v>
      </c>
      <c r="CA42" s="98">
        <f t="shared" si="563"/>
        <v>164701</v>
      </c>
      <c r="CB42" s="98">
        <f t="shared" si="563"/>
        <v>304231</v>
      </c>
      <c r="CC42" s="28">
        <f t="shared" si="563"/>
        <v>116670</v>
      </c>
      <c r="CD42" s="28">
        <f t="shared" si="563"/>
        <v>122060</v>
      </c>
      <c r="CE42" s="28">
        <f t="shared" si="563"/>
        <v>238730</v>
      </c>
      <c r="CF42" s="106"/>
      <c r="CG42" s="106"/>
      <c r="CH42" s="106"/>
      <c r="CI42" s="28">
        <f>BE42+BT42</f>
        <v>116670</v>
      </c>
      <c r="CJ42" s="28">
        <f>BF42+BU42</f>
        <v>122060</v>
      </c>
      <c r="CK42" s="28">
        <f>BG42+BV42</f>
        <v>238730</v>
      </c>
      <c r="CL42" s="117">
        <f>CI42/BZ42</f>
        <v>0.83616426574930125</v>
      </c>
      <c r="CM42" s="117">
        <f>CJ42/CA42</f>
        <v>0.74110053976600021</v>
      </c>
      <c r="CN42" s="117">
        <f>CK42/CB42</f>
        <v>0.78469978404567586</v>
      </c>
      <c r="CO42" s="92">
        <v>27618</v>
      </c>
      <c r="CP42" s="92">
        <v>35521</v>
      </c>
      <c r="CQ42" s="92">
        <f>+CO42+CP42</f>
        <v>63139</v>
      </c>
      <c r="CR42" s="92">
        <v>20038</v>
      </c>
      <c r="CS42" s="92">
        <v>21529</v>
      </c>
      <c r="CT42" s="92">
        <f>+CR42+CS42</f>
        <v>41567</v>
      </c>
      <c r="CU42" s="105"/>
      <c r="CV42" s="105"/>
      <c r="CW42" s="105"/>
      <c r="CX42" s="92">
        <f>+CR42+CU42</f>
        <v>20038</v>
      </c>
      <c r="CY42" s="92">
        <f>+CS42+CV42</f>
        <v>21529</v>
      </c>
      <c r="CZ42" s="92">
        <f>+CT42+CW42</f>
        <v>41567</v>
      </c>
      <c r="DA42" s="117">
        <f>CX42/CO42</f>
        <v>0.72554131363603447</v>
      </c>
      <c r="DB42" s="117">
        <f>CY42/CP42</f>
        <v>0.60609217082852396</v>
      </c>
      <c r="DC42" s="117">
        <f>CZ42/CQ42</f>
        <v>0.65834112038518189</v>
      </c>
      <c r="DD42" s="28">
        <v>28</v>
      </c>
      <c r="DE42" s="28">
        <v>10</v>
      </c>
      <c r="DF42" s="28">
        <f>DD42+DE42</f>
        <v>38</v>
      </c>
      <c r="DG42" s="92">
        <v>13</v>
      </c>
      <c r="DH42" s="92">
        <v>5</v>
      </c>
      <c r="DI42" s="92">
        <f>+DG42+DH42</f>
        <v>18</v>
      </c>
      <c r="DJ42" s="105"/>
      <c r="DK42" s="105"/>
      <c r="DL42" s="105"/>
      <c r="DM42" s="92">
        <f>+DG42+DJ42</f>
        <v>13</v>
      </c>
      <c r="DN42" s="92">
        <f>+DH42+DK42</f>
        <v>5</v>
      </c>
      <c r="DO42" s="92">
        <f>+DI42+DL42</f>
        <v>18</v>
      </c>
      <c r="DP42" s="116">
        <f>DM42/DD42</f>
        <v>0.4642857142857143</v>
      </c>
      <c r="DQ42" s="116">
        <f>DN42/DE42</f>
        <v>0.5</v>
      </c>
      <c r="DR42" s="116">
        <f>DO42/DF42</f>
        <v>0.47368421052631576</v>
      </c>
      <c r="DS42" s="98">
        <f t="shared" ref="DS42:DX42" si="564">CO42+DD42</f>
        <v>27646</v>
      </c>
      <c r="DT42" s="98">
        <f t="shared" si="564"/>
        <v>35531</v>
      </c>
      <c r="DU42" s="28">
        <f t="shared" si="564"/>
        <v>63177</v>
      </c>
      <c r="DV42" s="28">
        <f t="shared" si="564"/>
        <v>20051</v>
      </c>
      <c r="DW42" s="28">
        <f t="shared" si="564"/>
        <v>21534</v>
      </c>
      <c r="DX42" s="28">
        <f t="shared" si="564"/>
        <v>41585</v>
      </c>
      <c r="DY42" s="106"/>
      <c r="DZ42" s="106"/>
      <c r="EA42" s="106"/>
      <c r="EB42" s="28">
        <f>CX42+DM42</f>
        <v>20051</v>
      </c>
      <c r="EC42" s="28">
        <f>CY42+DN42</f>
        <v>21534</v>
      </c>
      <c r="ED42" s="28">
        <f>CZ42+DO42</f>
        <v>41585</v>
      </c>
      <c r="EE42" s="117">
        <f>EB42/DS42</f>
        <v>0.72527671272516825</v>
      </c>
      <c r="EF42" s="117">
        <f>EC42/DT42</f>
        <v>0.60606231178407588</v>
      </c>
      <c r="EG42" s="117">
        <f>ED42/DU42</f>
        <v>0.65823005207591367</v>
      </c>
      <c r="EH42" s="28">
        <f>+AP42</f>
        <v>412804</v>
      </c>
      <c r="EI42" s="28">
        <f>+AQ42</f>
        <v>462180</v>
      </c>
      <c r="EJ42" s="28">
        <f>+AR42</f>
        <v>874984</v>
      </c>
      <c r="EK42" s="28">
        <f>27813+36860</f>
        <v>64673</v>
      </c>
      <c r="EL42" s="28">
        <f>20599+33974</f>
        <v>54573</v>
      </c>
      <c r="EM42" s="28">
        <f>EK42+EL42</f>
        <v>119246</v>
      </c>
      <c r="EN42" s="100">
        <f>+EK42*100/EH42</f>
        <v>15.666757105066811</v>
      </c>
      <c r="EO42" s="93">
        <f>+EL42*100/EI42</f>
        <v>11.807737245229131</v>
      </c>
      <c r="EP42" s="93">
        <f>+EM42*100/EJ42</f>
        <v>13.628363490075246</v>
      </c>
      <c r="EQ42" s="28">
        <f>+CI42</f>
        <v>116670</v>
      </c>
      <c r="ER42" s="28">
        <f>+CJ42</f>
        <v>122060</v>
      </c>
      <c r="ES42" s="28">
        <f>+CK42</f>
        <v>238730</v>
      </c>
      <c r="ET42" s="28">
        <f>4152+7165</f>
        <v>11317</v>
      </c>
      <c r="EU42" s="28">
        <f>2688+5667</f>
        <v>8355</v>
      </c>
      <c r="EV42" s="28">
        <f>ET42+EU42</f>
        <v>19672</v>
      </c>
      <c r="EW42" s="93">
        <f>+ET42*100/EQ42</f>
        <v>9.7000085711836803</v>
      </c>
      <c r="EX42" s="93">
        <f>+EU42*100/ER42</f>
        <v>6.8449942651155169</v>
      </c>
      <c r="EY42" s="93">
        <f>+EV42*100/ES42</f>
        <v>8.2402714363506888</v>
      </c>
      <c r="EZ42" s="28">
        <f>+EB42</f>
        <v>20051</v>
      </c>
      <c r="FA42" s="28">
        <f>+EC42</f>
        <v>21534</v>
      </c>
      <c r="FB42" s="28">
        <f>+ED42</f>
        <v>41585</v>
      </c>
      <c r="FC42" s="28">
        <f>253+722</f>
        <v>975</v>
      </c>
      <c r="FD42" s="28">
        <f>180+517</f>
        <v>697</v>
      </c>
      <c r="FE42" s="28">
        <f>FC42+FD42</f>
        <v>1672</v>
      </c>
      <c r="FF42" s="93">
        <f>+FC42*100/EZ42</f>
        <v>4.8626003690588995</v>
      </c>
      <c r="FG42" s="93">
        <f>+FD42*100/FA42</f>
        <v>3.2367418965357109</v>
      </c>
      <c r="FH42" s="93">
        <f>+FE42*100/FB42</f>
        <v>4.0206805338463392</v>
      </c>
    </row>
    <row r="43" spans="1:164" ht="27" customHeight="1">
      <c r="A43" s="94">
        <v>34</v>
      </c>
      <c r="B43" s="118" t="s">
        <v>171</v>
      </c>
      <c r="C43" s="75">
        <v>14322</v>
      </c>
      <c r="D43" s="75">
        <v>35489</v>
      </c>
      <c r="E43" s="75">
        <f t="shared" si="182"/>
        <v>49811</v>
      </c>
      <c r="F43" s="75">
        <v>11937</v>
      </c>
      <c r="G43" s="75">
        <v>26315</v>
      </c>
      <c r="H43" s="75">
        <f t="shared" si="183"/>
        <v>38252</v>
      </c>
      <c r="I43" s="105"/>
      <c r="J43" s="105"/>
      <c r="K43" s="105"/>
      <c r="L43" s="97">
        <f t="shared" si="460"/>
        <v>11937</v>
      </c>
      <c r="M43" s="98">
        <f t="shared" si="461"/>
        <v>26315</v>
      </c>
      <c r="N43" s="98">
        <f t="shared" si="462"/>
        <v>38252</v>
      </c>
      <c r="O43" s="117">
        <f t="shared" ref="O43:O50" si="565">L43/C43</f>
        <v>0.83347297863426895</v>
      </c>
      <c r="P43" s="117">
        <f t="shared" si="188"/>
        <v>0.74149736538082223</v>
      </c>
      <c r="Q43" s="117">
        <f t="shared" si="189"/>
        <v>0.76794282387424462</v>
      </c>
      <c r="R43" s="28">
        <v>1517</v>
      </c>
      <c r="S43" s="28">
        <v>787</v>
      </c>
      <c r="T43" s="28">
        <f t="shared" si="478"/>
        <v>2304</v>
      </c>
      <c r="U43" s="28">
        <v>1212</v>
      </c>
      <c r="V43" s="28">
        <v>652</v>
      </c>
      <c r="W43" s="28">
        <f t="shared" si="258"/>
        <v>1864</v>
      </c>
      <c r="X43" s="106"/>
      <c r="Y43" s="106"/>
      <c r="Z43" s="106"/>
      <c r="AA43" s="28">
        <f t="shared" si="259"/>
        <v>1212</v>
      </c>
      <c r="AB43" s="28">
        <f t="shared" si="260"/>
        <v>652</v>
      </c>
      <c r="AC43" s="28">
        <f t="shared" si="261"/>
        <v>1864</v>
      </c>
      <c r="AD43" s="117">
        <f t="shared" si="560"/>
        <v>0.79894528675016485</v>
      </c>
      <c r="AE43" s="117">
        <f t="shared" si="561"/>
        <v>0.82846251588310038</v>
      </c>
      <c r="AF43" s="117">
        <f t="shared" si="481"/>
        <v>0.80902777777777779</v>
      </c>
      <c r="AG43" s="28">
        <f t="shared" si="190"/>
        <v>15839</v>
      </c>
      <c r="AH43" s="28">
        <f t="shared" si="191"/>
        <v>36276</v>
      </c>
      <c r="AI43" s="28">
        <f t="shared" si="191"/>
        <v>52115</v>
      </c>
      <c r="AJ43" s="28">
        <f t="shared" si="193"/>
        <v>13149</v>
      </c>
      <c r="AK43" s="28">
        <f t="shared" si="194"/>
        <v>26967</v>
      </c>
      <c r="AL43" s="28">
        <f t="shared" si="194"/>
        <v>40116</v>
      </c>
      <c r="AM43" s="106"/>
      <c r="AN43" s="106"/>
      <c r="AO43" s="106"/>
      <c r="AP43" s="28">
        <f t="shared" si="195"/>
        <v>13149</v>
      </c>
      <c r="AQ43" s="28">
        <f t="shared" si="196"/>
        <v>26967</v>
      </c>
      <c r="AR43" s="28">
        <f t="shared" si="196"/>
        <v>40116</v>
      </c>
      <c r="AS43" s="117">
        <f t="shared" si="197"/>
        <v>0.830166045836227</v>
      </c>
      <c r="AT43" s="117">
        <f t="shared" si="198"/>
        <v>0.74338405557393317</v>
      </c>
      <c r="AU43" s="117">
        <f t="shared" si="199"/>
        <v>0.7697591864146599</v>
      </c>
      <c r="AV43" s="92">
        <v>308</v>
      </c>
      <c r="AW43" s="92">
        <v>602</v>
      </c>
      <c r="AX43" s="92">
        <f t="shared" si="200"/>
        <v>910</v>
      </c>
      <c r="AY43" s="92">
        <v>244</v>
      </c>
      <c r="AZ43" s="92">
        <v>394</v>
      </c>
      <c r="BA43" s="92">
        <f t="shared" si="201"/>
        <v>638</v>
      </c>
      <c r="BB43" s="105"/>
      <c r="BC43" s="105"/>
      <c r="BD43" s="105"/>
      <c r="BE43" s="92">
        <f t="shared" si="202"/>
        <v>244</v>
      </c>
      <c r="BF43" s="92">
        <f t="shared" si="203"/>
        <v>394</v>
      </c>
      <c r="BG43" s="92">
        <f t="shared" si="203"/>
        <v>638</v>
      </c>
      <c r="BH43" s="117">
        <f t="shared" si="205"/>
        <v>0.79220779220779225</v>
      </c>
      <c r="BI43" s="117">
        <f t="shared" si="206"/>
        <v>0.654485049833887</v>
      </c>
      <c r="BJ43" s="117">
        <f t="shared" si="207"/>
        <v>0.70109890109890105</v>
      </c>
      <c r="BK43" s="28">
        <v>104</v>
      </c>
      <c r="BL43" s="28">
        <v>36</v>
      </c>
      <c r="BM43" s="28">
        <f t="shared" si="266"/>
        <v>140</v>
      </c>
      <c r="BN43" s="92">
        <v>58</v>
      </c>
      <c r="BO43" s="92">
        <v>23</v>
      </c>
      <c r="BP43" s="92">
        <f t="shared" si="267"/>
        <v>81</v>
      </c>
      <c r="BQ43" s="105"/>
      <c r="BR43" s="105"/>
      <c r="BS43" s="105"/>
      <c r="BT43" s="92">
        <f t="shared" si="482"/>
        <v>58</v>
      </c>
      <c r="BU43" s="92">
        <f t="shared" si="268"/>
        <v>23</v>
      </c>
      <c r="BV43" s="92">
        <f t="shared" si="268"/>
        <v>81</v>
      </c>
      <c r="BW43" s="117">
        <f t="shared" si="270"/>
        <v>0.55769230769230771</v>
      </c>
      <c r="BX43" s="117">
        <f t="shared" si="271"/>
        <v>0.63888888888888884</v>
      </c>
      <c r="BY43" s="117">
        <f t="shared" si="272"/>
        <v>0.57857142857142863</v>
      </c>
      <c r="BZ43" s="98">
        <f t="shared" si="554"/>
        <v>412</v>
      </c>
      <c r="CA43" s="98">
        <f t="shared" si="555"/>
        <v>638</v>
      </c>
      <c r="CB43" s="98">
        <f t="shared" si="556"/>
        <v>1050</v>
      </c>
      <c r="CC43" s="28">
        <f t="shared" si="211"/>
        <v>302</v>
      </c>
      <c r="CD43" s="28">
        <f t="shared" si="212"/>
        <v>417</v>
      </c>
      <c r="CE43" s="28">
        <f t="shared" si="213"/>
        <v>719</v>
      </c>
      <c r="CF43" s="106"/>
      <c r="CG43" s="106"/>
      <c r="CH43" s="106"/>
      <c r="CI43" s="28">
        <f t="shared" si="557"/>
        <v>302</v>
      </c>
      <c r="CJ43" s="28">
        <f t="shared" si="558"/>
        <v>417</v>
      </c>
      <c r="CK43" s="28">
        <f t="shared" si="559"/>
        <v>719</v>
      </c>
      <c r="CL43" s="117">
        <f t="shared" si="454"/>
        <v>0.73300970873786409</v>
      </c>
      <c r="CM43" s="117">
        <f t="shared" si="218"/>
        <v>0.65360501567398122</v>
      </c>
      <c r="CN43" s="117">
        <f t="shared" si="219"/>
        <v>0.68476190476190479</v>
      </c>
      <c r="CO43" s="92">
        <v>150</v>
      </c>
      <c r="CP43" s="92">
        <v>183</v>
      </c>
      <c r="CQ43" s="92">
        <f t="shared" si="220"/>
        <v>333</v>
      </c>
      <c r="CR43" s="92">
        <v>114</v>
      </c>
      <c r="CS43" s="92">
        <v>98</v>
      </c>
      <c r="CT43" s="92">
        <f t="shared" si="221"/>
        <v>212</v>
      </c>
      <c r="CU43" s="105"/>
      <c r="CV43" s="105"/>
      <c r="CW43" s="105"/>
      <c r="CX43" s="92">
        <f t="shared" si="222"/>
        <v>114</v>
      </c>
      <c r="CY43" s="92">
        <f t="shared" si="223"/>
        <v>98</v>
      </c>
      <c r="CZ43" s="92">
        <f t="shared" si="223"/>
        <v>212</v>
      </c>
      <c r="DA43" s="117">
        <f t="shared" si="273"/>
        <v>0.76</v>
      </c>
      <c r="DB43" s="117">
        <f t="shared" si="225"/>
        <v>0.53551912568306015</v>
      </c>
      <c r="DC43" s="117">
        <f t="shared" si="226"/>
        <v>0.63663663663663661</v>
      </c>
      <c r="DD43" s="28">
        <v>39</v>
      </c>
      <c r="DE43" s="28">
        <v>26</v>
      </c>
      <c r="DF43" s="28">
        <f t="shared" si="274"/>
        <v>65</v>
      </c>
      <c r="DG43" s="92">
        <v>24</v>
      </c>
      <c r="DH43" s="92">
        <v>15</v>
      </c>
      <c r="DI43" s="92">
        <f t="shared" si="275"/>
        <v>39</v>
      </c>
      <c r="DJ43" s="105"/>
      <c r="DK43" s="105"/>
      <c r="DL43" s="105"/>
      <c r="DM43" s="92">
        <f t="shared" si="276"/>
        <v>24</v>
      </c>
      <c r="DN43" s="92">
        <f t="shared" si="277"/>
        <v>15</v>
      </c>
      <c r="DO43" s="92">
        <f t="shared" si="277"/>
        <v>39</v>
      </c>
      <c r="DP43" s="116">
        <f t="shared" si="279"/>
        <v>0.61538461538461542</v>
      </c>
      <c r="DQ43" s="116">
        <f t="shared" si="280"/>
        <v>0.57692307692307687</v>
      </c>
      <c r="DR43" s="116">
        <f t="shared" si="281"/>
        <v>0.6</v>
      </c>
      <c r="DS43" s="98">
        <f t="shared" si="227"/>
        <v>189</v>
      </c>
      <c r="DT43" s="98">
        <f t="shared" si="228"/>
        <v>209</v>
      </c>
      <c r="DU43" s="28">
        <f t="shared" si="229"/>
        <v>398</v>
      </c>
      <c r="DV43" s="28">
        <f t="shared" si="230"/>
        <v>138</v>
      </c>
      <c r="DW43" s="28">
        <f t="shared" si="231"/>
        <v>113</v>
      </c>
      <c r="DX43" s="28">
        <f t="shared" si="232"/>
        <v>251</v>
      </c>
      <c r="DY43" s="106"/>
      <c r="DZ43" s="106"/>
      <c r="EA43" s="106"/>
      <c r="EB43" s="28">
        <f t="shared" si="233"/>
        <v>138</v>
      </c>
      <c r="EC43" s="28">
        <f t="shared" si="234"/>
        <v>113</v>
      </c>
      <c r="ED43" s="28">
        <f t="shared" si="235"/>
        <v>251</v>
      </c>
      <c r="EE43" s="117">
        <f t="shared" si="459"/>
        <v>0.73015873015873012</v>
      </c>
      <c r="EF43" s="117">
        <f t="shared" si="236"/>
        <v>0.54066985645933019</v>
      </c>
      <c r="EG43" s="117">
        <f t="shared" si="237"/>
        <v>0.6306532663316583</v>
      </c>
      <c r="EH43" s="28">
        <f t="shared" si="238"/>
        <v>13149</v>
      </c>
      <c r="EI43" s="28">
        <f t="shared" si="239"/>
        <v>26967</v>
      </c>
      <c r="EJ43" s="28">
        <f t="shared" si="239"/>
        <v>40116</v>
      </c>
      <c r="EK43" s="28">
        <v>1307</v>
      </c>
      <c r="EL43" s="28">
        <v>1846</v>
      </c>
      <c r="EM43" s="28">
        <f t="shared" si="241"/>
        <v>3153</v>
      </c>
      <c r="EN43" s="100">
        <f t="shared" si="470"/>
        <v>9.9399193855046004</v>
      </c>
      <c r="EO43" s="93">
        <f t="shared" si="471"/>
        <v>6.8454036414877439</v>
      </c>
      <c r="EP43" s="93">
        <f t="shared" si="472"/>
        <v>7.8597068501346099</v>
      </c>
      <c r="EQ43" s="28">
        <f t="shared" si="245"/>
        <v>302</v>
      </c>
      <c r="ER43" s="28">
        <f t="shared" si="246"/>
        <v>417</v>
      </c>
      <c r="ES43" s="28">
        <f t="shared" si="246"/>
        <v>719</v>
      </c>
      <c r="ET43" s="28">
        <v>10</v>
      </c>
      <c r="EU43" s="28">
        <v>11</v>
      </c>
      <c r="EV43" s="28">
        <f t="shared" si="248"/>
        <v>21</v>
      </c>
      <c r="EW43" s="93">
        <f t="shared" si="473"/>
        <v>3.3112582781456954</v>
      </c>
      <c r="EX43" s="93">
        <f t="shared" si="474"/>
        <v>2.6378896882494005</v>
      </c>
      <c r="EY43" s="93">
        <f t="shared" si="474"/>
        <v>2.9207232267037551</v>
      </c>
      <c r="EZ43" s="28">
        <f t="shared" si="252"/>
        <v>138</v>
      </c>
      <c r="FA43" s="28">
        <f t="shared" si="253"/>
        <v>113</v>
      </c>
      <c r="FB43" s="28">
        <f t="shared" si="253"/>
        <v>251</v>
      </c>
      <c r="FC43" s="28">
        <v>2</v>
      </c>
      <c r="FD43" s="28">
        <v>5</v>
      </c>
      <c r="FE43" s="28">
        <f t="shared" si="255"/>
        <v>7</v>
      </c>
      <c r="FF43" s="93">
        <f t="shared" si="475"/>
        <v>1.4492753623188406</v>
      </c>
      <c r="FG43" s="93">
        <f t="shared" si="476"/>
        <v>4.4247787610619467</v>
      </c>
      <c r="FH43" s="93">
        <f t="shared" si="477"/>
        <v>2.7888446215139444</v>
      </c>
    </row>
    <row r="44" spans="1:164" ht="27" customHeight="1">
      <c r="A44" s="94">
        <v>35</v>
      </c>
      <c r="B44" s="118" t="s">
        <v>163</v>
      </c>
      <c r="C44" s="96">
        <v>1485</v>
      </c>
      <c r="D44" s="96">
        <v>785</v>
      </c>
      <c r="E44" s="96">
        <f t="shared" ref="E44:E50" si="566">C44+D44</f>
        <v>2270</v>
      </c>
      <c r="F44" s="96">
        <v>1258</v>
      </c>
      <c r="G44" s="96">
        <v>667</v>
      </c>
      <c r="H44" s="96">
        <f t="shared" ref="H44:H50" si="567">F44+G44</f>
        <v>1925</v>
      </c>
      <c r="I44" s="96">
        <v>5</v>
      </c>
      <c r="J44" s="96">
        <v>0</v>
      </c>
      <c r="K44" s="96">
        <f>I44+J44</f>
        <v>5</v>
      </c>
      <c r="L44" s="97">
        <f t="shared" ref="L44:N50" si="568">F44+I44</f>
        <v>1263</v>
      </c>
      <c r="M44" s="98">
        <f t="shared" si="568"/>
        <v>667</v>
      </c>
      <c r="N44" s="98">
        <f t="shared" si="568"/>
        <v>1930</v>
      </c>
      <c r="O44" s="116">
        <f t="shared" si="565"/>
        <v>0.85050505050505054</v>
      </c>
      <c r="P44" s="116">
        <f t="shared" ref="P44:Q50" si="569">M44/D44</f>
        <v>0.84968152866242042</v>
      </c>
      <c r="Q44" s="116">
        <f t="shared" si="569"/>
        <v>0.85022026431718056</v>
      </c>
      <c r="R44" s="98">
        <v>4</v>
      </c>
      <c r="S44" s="98">
        <v>0</v>
      </c>
      <c r="T44" s="98">
        <f>R44+S44</f>
        <v>4</v>
      </c>
      <c r="U44" s="98">
        <v>4</v>
      </c>
      <c r="V44" s="98">
        <v>0</v>
      </c>
      <c r="W44" s="98">
        <f>U44+V44</f>
        <v>4</v>
      </c>
      <c r="X44" s="103"/>
      <c r="Y44" s="103"/>
      <c r="Z44" s="103"/>
      <c r="AA44" s="98">
        <f>U44+X44</f>
        <v>4</v>
      </c>
      <c r="AB44" s="98">
        <f>V44+Y44</f>
        <v>0</v>
      </c>
      <c r="AC44" s="98">
        <f>W44+Z44</f>
        <v>4</v>
      </c>
      <c r="AD44" s="116">
        <f t="shared" ref="AD44" si="570">AA44/R44</f>
        <v>1</v>
      </c>
      <c r="AE44" s="116">
        <v>0</v>
      </c>
      <c r="AF44" s="116">
        <f>AC44/T44</f>
        <v>1</v>
      </c>
      <c r="AG44" s="98">
        <f t="shared" ref="AG44:AR44" si="571">C44+R44</f>
        <v>1489</v>
      </c>
      <c r="AH44" s="98">
        <f t="shared" si="571"/>
        <v>785</v>
      </c>
      <c r="AI44" s="98">
        <f t="shared" si="571"/>
        <v>2274</v>
      </c>
      <c r="AJ44" s="98">
        <f t="shared" si="571"/>
        <v>1262</v>
      </c>
      <c r="AK44" s="98">
        <f t="shared" si="571"/>
        <v>667</v>
      </c>
      <c r="AL44" s="98">
        <f t="shared" si="571"/>
        <v>1929</v>
      </c>
      <c r="AM44" s="98">
        <f t="shared" si="571"/>
        <v>5</v>
      </c>
      <c r="AN44" s="98">
        <f t="shared" si="571"/>
        <v>0</v>
      </c>
      <c r="AO44" s="98">
        <f t="shared" si="571"/>
        <v>5</v>
      </c>
      <c r="AP44" s="98">
        <f t="shared" si="571"/>
        <v>1267</v>
      </c>
      <c r="AQ44" s="98">
        <f t="shared" si="571"/>
        <v>667</v>
      </c>
      <c r="AR44" s="98">
        <f t="shared" si="571"/>
        <v>1934</v>
      </c>
      <c r="AS44" s="116">
        <f t="shared" ref="AS44:AU50" si="572">AP44/AG44</f>
        <v>0.85090664875755539</v>
      </c>
      <c r="AT44" s="116">
        <f t="shared" si="572"/>
        <v>0.84968152866242042</v>
      </c>
      <c r="AU44" s="116">
        <f t="shared" si="572"/>
        <v>0.85048372911169745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12"/>
      <c r="BI44" s="112"/>
      <c r="BJ44" s="112"/>
      <c r="BK44" s="103"/>
      <c r="BL44" s="103"/>
      <c r="BM44" s="103"/>
      <c r="BN44" s="104"/>
      <c r="BO44" s="104"/>
      <c r="BP44" s="104"/>
      <c r="BQ44" s="104"/>
      <c r="BR44" s="104"/>
      <c r="BS44" s="104"/>
      <c r="BT44" s="104"/>
      <c r="BU44" s="104"/>
      <c r="BV44" s="104"/>
      <c r="BW44" s="112"/>
      <c r="BX44" s="112"/>
      <c r="BY44" s="112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12"/>
      <c r="CM44" s="112"/>
      <c r="CN44" s="112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12"/>
      <c r="DB44" s="112"/>
      <c r="DC44" s="112"/>
      <c r="DD44" s="103"/>
      <c r="DE44" s="103"/>
      <c r="DF44" s="103"/>
      <c r="DG44" s="104"/>
      <c r="DH44" s="104"/>
      <c r="DI44" s="104"/>
      <c r="DJ44" s="104"/>
      <c r="DK44" s="104"/>
      <c r="DL44" s="104"/>
      <c r="DM44" s="104"/>
      <c r="DN44" s="104"/>
      <c r="DO44" s="104"/>
      <c r="DP44" s="112"/>
      <c r="DQ44" s="112"/>
      <c r="DR44" s="112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12"/>
      <c r="EF44" s="112"/>
      <c r="EG44" s="112"/>
      <c r="EH44" s="98">
        <f t="shared" ref="EH44:EI50" si="573">+AP44</f>
        <v>1267</v>
      </c>
      <c r="EI44" s="98">
        <f t="shared" si="573"/>
        <v>667</v>
      </c>
      <c r="EJ44" s="103"/>
      <c r="EK44" s="103"/>
      <c r="EL44" s="103"/>
      <c r="EM44" s="103"/>
      <c r="EN44" s="110"/>
      <c r="EO44" s="110"/>
      <c r="EP44" s="110"/>
      <c r="EQ44" s="103"/>
      <c r="ER44" s="103"/>
      <c r="ES44" s="103"/>
      <c r="ET44" s="103"/>
      <c r="EU44" s="103"/>
      <c r="EV44" s="103"/>
      <c r="EW44" s="110"/>
      <c r="EX44" s="110"/>
      <c r="EY44" s="110"/>
      <c r="EZ44" s="103"/>
      <c r="FA44" s="103"/>
      <c r="FB44" s="103"/>
      <c r="FC44" s="103"/>
      <c r="FD44" s="103"/>
      <c r="FE44" s="103"/>
      <c r="FF44" s="110"/>
      <c r="FG44" s="110"/>
      <c r="FH44" s="110"/>
    </row>
    <row r="45" spans="1:164" ht="28.5">
      <c r="A45" s="94">
        <v>36</v>
      </c>
      <c r="B45" s="118" t="s">
        <v>132</v>
      </c>
      <c r="C45" s="96">
        <v>876</v>
      </c>
      <c r="D45" s="96">
        <v>762</v>
      </c>
      <c r="E45" s="96">
        <f t="shared" si="566"/>
        <v>1638</v>
      </c>
      <c r="F45" s="96">
        <v>854</v>
      </c>
      <c r="G45" s="96">
        <v>719</v>
      </c>
      <c r="H45" s="96">
        <f t="shared" si="567"/>
        <v>1573</v>
      </c>
      <c r="I45" s="96">
        <v>8</v>
      </c>
      <c r="J45" s="96">
        <v>7</v>
      </c>
      <c r="K45" s="96">
        <f>I45+J45</f>
        <v>15</v>
      </c>
      <c r="L45" s="97">
        <f t="shared" si="568"/>
        <v>862</v>
      </c>
      <c r="M45" s="98">
        <f t="shared" si="568"/>
        <v>726</v>
      </c>
      <c r="N45" s="98">
        <f t="shared" si="568"/>
        <v>1588</v>
      </c>
      <c r="O45" s="116">
        <f t="shared" si="565"/>
        <v>0.98401826484018262</v>
      </c>
      <c r="P45" s="116">
        <f t="shared" si="569"/>
        <v>0.952755905511811</v>
      </c>
      <c r="Q45" s="116">
        <f t="shared" si="569"/>
        <v>0.96947496947496947</v>
      </c>
      <c r="R45" s="98">
        <v>0</v>
      </c>
      <c r="S45" s="98">
        <v>293</v>
      </c>
      <c r="T45" s="98">
        <f>R45+S45</f>
        <v>293</v>
      </c>
      <c r="U45" s="98">
        <v>0</v>
      </c>
      <c r="V45" s="98">
        <v>76</v>
      </c>
      <c r="W45" s="98">
        <f>U45+V45</f>
        <v>76</v>
      </c>
      <c r="X45" s="98">
        <v>0</v>
      </c>
      <c r="Y45" s="98">
        <v>61</v>
      </c>
      <c r="Z45" s="98">
        <f>X45+Y45</f>
        <v>61</v>
      </c>
      <c r="AA45" s="98">
        <f t="shared" ref="AA45" si="574">U45+X45</f>
        <v>0</v>
      </c>
      <c r="AB45" s="98">
        <f t="shared" ref="AB45" si="575">V45+Y45</f>
        <v>137</v>
      </c>
      <c r="AC45" s="98">
        <f t="shared" ref="AC45" si="576">W45+Z45</f>
        <v>137</v>
      </c>
      <c r="AD45" s="116">
        <v>0</v>
      </c>
      <c r="AE45" s="116">
        <f>AB45/S45</f>
        <v>0.46757679180887374</v>
      </c>
      <c r="AF45" s="116">
        <f>AC45/T45</f>
        <v>0.46757679180887374</v>
      </c>
      <c r="AG45" s="98">
        <f t="shared" ref="AG45" si="577">C45+R45</f>
        <v>876</v>
      </c>
      <c r="AH45" s="98">
        <f t="shared" ref="AH45" si="578">D45+S45</f>
        <v>1055</v>
      </c>
      <c r="AI45" s="98">
        <f t="shared" ref="AI45:AI50" si="579">E45+T45</f>
        <v>1931</v>
      </c>
      <c r="AJ45" s="98">
        <f t="shared" ref="AJ45" si="580">F45+U45</f>
        <v>854</v>
      </c>
      <c r="AK45" s="98">
        <f t="shared" ref="AK45" si="581">G45+V45</f>
        <v>795</v>
      </c>
      <c r="AL45" s="98">
        <f t="shared" ref="AL45:AL50" si="582">H45+W45</f>
        <v>1649</v>
      </c>
      <c r="AM45" s="98">
        <f t="shared" ref="AM45" si="583">I45+X45</f>
        <v>8</v>
      </c>
      <c r="AN45" s="98">
        <f t="shared" ref="AN45" si="584">J45+Y45</f>
        <v>68</v>
      </c>
      <c r="AO45" s="98">
        <f>K45+Z45</f>
        <v>76</v>
      </c>
      <c r="AP45" s="98">
        <f t="shared" ref="AP45" si="585">L45+AA45</f>
        <v>862</v>
      </c>
      <c r="AQ45" s="98">
        <f t="shared" ref="AQ45" si="586">M45+AB45</f>
        <v>863</v>
      </c>
      <c r="AR45" s="98">
        <f t="shared" ref="AR45:AR50" si="587">N45+AC45</f>
        <v>1725</v>
      </c>
      <c r="AS45" s="116">
        <f t="shared" si="572"/>
        <v>0.98401826484018262</v>
      </c>
      <c r="AT45" s="116">
        <f t="shared" si="572"/>
        <v>0.81800947867298579</v>
      </c>
      <c r="AU45" s="116">
        <f t="shared" si="572"/>
        <v>0.89331952356292077</v>
      </c>
      <c r="AV45" s="99">
        <v>10</v>
      </c>
      <c r="AW45" s="99">
        <v>7</v>
      </c>
      <c r="AX45" s="99">
        <f t="shared" ref="AX45:AX50" si="588">+AV45+AW45</f>
        <v>17</v>
      </c>
      <c r="AY45" s="99">
        <v>10</v>
      </c>
      <c r="AZ45" s="99">
        <v>7</v>
      </c>
      <c r="BA45" s="99">
        <f t="shared" ref="BA45:BA50" si="589">+AY45+AZ45</f>
        <v>17</v>
      </c>
      <c r="BB45" s="104"/>
      <c r="BC45" s="104"/>
      <c r="BD45" s="104"/>
      <c r="BE45" s="99">
        <f t="shared" ref="BE45:BG50" si="590">+AY45+BB45</f>
        <v>10</v>
      </c>
      <c r="BF45" s="99">
        <f t="shared" si="590"/>
        <v>7</v>
      </c>
      <c r="BG45" s="99">
        <f t="shared" si="590"/>
        <v>17</v>
      </c>
      <c r="BH45" s="116">
        <f t="shared" ref="BH45:BJ50" si="591">BE45/AV45</f>
        <v>1</v>
      </c>
      <c r="BI45" s="116">
        <f t="shared" si="591"/>
        <v>1</v>
      </c>
      <c r="BJ45" s="116">
        <f t="shared" si="591"/>
        <v>1</v>
      </c>
      <c r="BK45" s="103"/>
      <c r="BL45" s="103"/>
      <c r="BM45" s="103"/>
      <c r="BN45" s="104"/>
      <c r="BO45" s="104"/>
      <c r="BP45" s="104"/>
      <c r="BQ45" s="104"/>
      <c r="BR45" s="104"/>
      <c r="BS45" s="104"/>
      <c r="BT45" s="104"/>
      <c r="BU45" s="104"/>
      <c r="BV45" s="104"/>
      <c r="BW45" s="112"/>
      <c r="BX45" s="112"/>
      <c r="BY45" s="112"/>
      <c r="BZ45" s="98">
        <f t="shared" ref="BZ45:CE50" si="592">AV45+BK45</f>
        <v>10</v>
      </c>
      <c r="CA45" s="98">
        <f t="shared" si="592"/>
        <v>7</v>
      </c>
      <c r="CB45" s="98">
        <f t="shared" si="592"/>
        <v>17</v>
      </c>
      <c r="CC45" s="98">
        <f t="shared" si="592"/>
        <v>10</v>
      </c>
      <c r="CD45" s="98">
        <f t="shared" si="592"/>
        <v>7</v>
      </c>
      <c r="CE45" s="98">
        <f t="shared" si="592"/>
        <v>17</v>
      </c>
      <c r="CF45" s="103"/>
      <c r="CG45" s="103"/>
      <c r="CH45" s="103"/>
      <c r="CI45" s="98">
        <f t="shared" ref="CI45:CK50" si="593">BE45+BT45</f>
        <v>10</v>
      </c>
      <c r="CJ45" s="98">
        <f t="shared" si="593"/>
        <v>7</v>
      </c>
      <c r="CK45" s="98">
        <f t="shared" si="593"/>
        <v>17</v>
      </c>
      <c r="CL45" s="116">
        <f t="shared" ref="CL45:CN50" si="594">CI45/BZ45</f>
        <v>1</v>
      </c>
      <c r="CM45" s="116">
        <f t="shared" si="594"/>
        <v>1</v>
      </c>
      <c r="CN45" s="116">
        <f t="shared" si="594"/>
        <v>1</v>
      </c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12"/>
      <c r="DB45" s="112"/>
      <c r="DC45" s="112"/>
      <c r="DD45" s="103"/>
      <c r="DE45" s="103"/>
      <c r="DF45" s="103"/>
      <c r="DG45" s="104"/>
      <c r="DH45" s="104"/>
      <c r="DI45" s="104"/>
      <c r="DJ45" s="104"/>
      <c r="DK45" s="104"/>
      <c r="DL45" s="104"/>
      <c r="DM45" s="104"/>
      <c r="DN45" s="104"/>
      <c r="DO45" s="104"/>
      <c r="DP45" s="112"/>
      <c r="DQ45" s="112"/>
      <c r="DR45" s="112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12"/>
      <c r="EF45" s="112"/>
      <c r="EG45" s="112"/>
      <c r="EH45" s="98">
        <f t="shared" si="573"/>
        <v>862</v>
      </c>
      <c r="EI45" s="98">
        <f t="shared" si="573"/>
        <v>863</v>
      </c>
      <c r="EJ45" s="98">
        <f t="shared" ref="EJ45:EJ50" si="595">+AR45</f>
        <v>1725</v>
      </c>
      <c r="EK45" s="98">
        <v>848</v>
      </c>
      <c r="EL45" s="98">
        <v>740</v>
      </c>
      <c r="EM45" s="98">
        <f>EK45+EL45</f>
        <v>1588</v>
      </c>
      <c r="EN45" s="100">
        <f>+EK45*100/EH45</f>
        <v>98.375870069605568</v>
      </c>
      <c r="EO45" s="100">
        <f t="shared" ref="EO45" si="596">+EL45*100/EI45</f>
        <v>85.747392815758985</v>
      </c>
      <c r="EP45" s="100">
        <f t="shared" ref="EP45" si="597">+EM45*100/EJ45</f>
        <v>92.05797101449275</v>
      </c>
      <c r="EQ45" s="98">
        <f t="shared" ref="EQ45:ES50" si="598">+CI45</f>
        <v>10</v>
      </c>
      <c r="ER45" s="98">
        <f t="shared" si="598"/>
        <v>7</v>
      </c>
      <c r="ES45" s="98">
        <f t="shared" si="598"/>
        <v>17</v>
      </c>
      <c r="ET45" s="98">
        <v>10</v>
      </c>
      <c r="EU45" s="98">
        <v>7</v>
      </c>
      <c r="EV45" s="98">
        <f>ET45+EU45</f>
        <v>17</v>
      </c>
      <c r="EW45" s="100">
        <f>+ET45*100/EQ45</f>
        <v>100</v>
      </c>
      <c r="EX45" s="100">
        <f t="shared" ref="EX45" si="599">+EU45*100/ER45</f>
        <v>100</v>
      </c>
      <c r="EY45" s="100">
        <f t="shared" ref="EY45" si="600">+EV45*100/ES45</f>
        <v>100</v>
      </c>
      <c r="EZ45" s="103"/>
      <c r="FA45" s="103"/>
      <c r="FB45" s="103"/>
      <c r="FC45" s="103"/>
      <c r="FD45" s="103"/>
      <c r="FE45" s="103"/>
      <c r="FF45" s="110"/>
      <c r="FG45" s="110"/>
      <c r="FH45" s="110"/>
    </row>
    <row r="46" spans="1:164" ht="28.5">
      <c r="A46" s="94">
        <v>37</v>
      </c>
      <c r="B46" s="118" t="s">
        <v>157</v>
      </c>
      <c r="C46" s="96">
        <v>1406</v>
      </c>
      <c r="D46" s="96">
        <v>448</v>
      </c>
      <c r="E46" s="96">
        <f t="shared" si="566"/>
        <v>1854</v>
      </c>
      <c r="F46" s="96">
        <v>519</v>
      </c>
      <c r="G46" s="96">
        <v>32</v>
      </c>
      <c r="H46" s="96">
        <f t="shared" si="567"/>
        <v>551</v>
      </c>
      <c r="I46" s="96">
        <v>318</v>
      </c>
      <c r="J46" s="96">
        <v>83</v>
      </c>
      <c r="K46" s="96">
        <f>I46+J46</f>
        <v>401</v>
      </c>
      <c r="L46" s="97">
        <f t="shared" si="568"/>
        <v>837</v>
      </c>
      <c r="M46" s="98">
        <f t="shared" si="568"/>
        <v>115</v>
      </c>
      <c r="N46" s="98">
        <f t="shared" si="568"/>
        <v>952</v>
      </c>
      <c r="O46" s="116">
        <f t="shared" si="565"/>
        <v>0.59530583214793742</v>
      </c>
      <c r="P46" s="116">
        <f t="shared" si="569"/>
        <v>0.25669642857142855</v>
      </c>
      <c r="Q46" s="116">
        <f t="shared" si="569"/>
        <v>0.51348435814455229</v>
      </c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12"/>
      <c r="AE46" s="112"/>
      <c r="AF46" s="112"/>
      <c r="AG46" s="98">
        <f t="shared" ref="AG46:AH50" si="601">C46+R46</f>
        <v>1406</v>
      </c>
      <c r="AH46" s="98">
        <f t="shared" si="601"/>
        <v>448</v>
      </c>
      <c r="AI46" s="98">
        <f t="shared" si="579"/>
        <v>1854</v>
      </c>
      <c r="AJ46" s="98">
        <f t="shared" ref="AJ46:AK50" si="602">F46+U46</f>
        <v>519</v>
      </c>
      <c r="AK46" s="98">
        <f t="shared" si="602"/>
        <v>32</v>
      </c>
      <c r="AL46" s="98">
        <f t="shared" si="582"/>
        <v>551</v>
      </c>
      <c r="AM46" s="98">
        <f t="shared" ref="AM46:AN48" si="603">I46+X46</f>
        <v>318</v>
      </c>
      <c r="AN46" s="98">
        <f t="shared" si="603"/>
        <v>83</v>
      </c>
      <c r="AO46" s="98">
        <f>K46+Z46</f>
        <v>401</v>
      </c>
      <c r="AP46" s="98">
        <f t="shared" ref="AP46:AQ50" si="604">L46+AA46</f>
        <v>837</v>
      </c>
      <c r="AQ46" s="98">
        <f t="shared" si="604"/>
        <v>115</v>
      </c>
      <c r="AR46" s="98">
        <f t="shared" si="587"/>
        <v>952</v>
      </c>
      <c r="AS46" s="116">
        <f t="shared" si="572"/>
        <v>0.59530583214793742</v>
      </c>
      <c r="AT46" s="116">
        <f t="shared" si="572"/>
        <v>0.25669642857142855</v>
      </c>
      <c r="AU46" s="116">
        <f t="shared" si="572"/>
        <v>0.51348435814455229</v>
      </c>
      <c r="AV46" s="99">
        <v>104</v>
      </c>
      <c r="AW46" s="99">
        <v>71</v>
      </c>
      <c r="AX46" s="99">
        <f t="shared" si="588"/>
        <v>175</v>
      </c>
      <c r="AY46" s="99">
        <v>11</v>
      </c>
      <c r="AZ46" s="99">
        <v>5</v>
      </c>
      <c r="BA46" s="99">
        <f t="shared" si="589"/>
        <v>16</v>
      </c>
      <c r="BB46" s="99">
        <v>20</v>
      </c>
      <c r="BC46" s="99">
        <v>13</v>
      </c>
      <c r="BD46" s="99">
        <f>+BB46+BC46</f>
        <v>33</v>
      </c>
      <c r="BE46" s="99">
        <f t="shared" si="590"/>
        <v>31</v>
      </c>
      <c r="BF46" s="99">
        <f t="shared" si="590"/>
        <v>18</v>
      </c>
      <c r="BG46" s="99">
        <f t="shared" si="590"/>
        <v>49</v>
      </c>
      <c r="BH46" s="116">
        <f t="shared" si="591"/>
        <v>0.29807692307692307</v>
      </c>
      <c r="BI46" s="116">
        <f t="shared" si="591"/>
        <v>0.25352112676056338</v>
      </c>
      <c r="BJ46" s="116">
        <f t="shared" si="591"/>
        <v>0.28000000000000003</v>
      </c>
      <c r="BK46" s="103"/>
      <c r="BL46" s="103"/>
      <c r="BM46" s="103"/>
      <c r="BN46" s="104"/>
      <c r="BO46" s="104"/>
      <c r="BP46" s="104"/>
      <c r="BQ46" s="104"/>
      <c r="BR46" s="104"/>
      <c r="BS46" s="104"/>
      <c r="BT46" s="104"/>
      <c r="BU46" s="104"/>
      <c r="BV46" s="104"/>
      <c r="BW46" s="112"/>
      <c r="BX46" s="112"/>
      <c r="BY46" s="112"/>
      <c r="BZ46" s="98">
        <f t="shared" si="592"/>
        <v>104</v>
      </c>
      <c r="CA46" s="98">
        <f t="shared" si="592"/>
        <v>71</v>
      </c>
      <c r="CB46" s="98">
        <f t="shared" si="592"/>
        <v>175</v>
      </c>
      <c r="CC46" s="98">
        <f t="shared" si="592"/>
        <v>11</v>
      </c>
      <c r="CD46" s="98">
        <f t="shared" si="592"/>
        <v>5</v>
      </c>
      <c r="CE46" s="98">
        <f t="shared" si="592"/>
        <v>16</v>
      </c>
      <c r="CF46" s="98">
        <f t="shared" ref="CF46:CH48" si="605">BB46+BQ46</f>
        <v>20</v>
      </c>
      <c r="CG46" s="98">
        <f t="shared" si="605"/>
        <v>13</v>
      </c>
      <c r="CH46" s="98">
        <f t="shared" si="605"/>
        <v>33</v>
      </c>
      <c r="CI46" s="98">
        <f t="shared" si="593"/>
        <v>31</v>
      </c>
      <c r="CJ46" s="98">
        <f t="shared" si="593"/>
        <v>18</v>
      </c>
      <c r="CK46" s="98">
        <f t="shared" si="593"/>
        <v>49</v>
      </c>
      <c r="CL46" s="116">
        <f t="shared" si="594"/>
        <v>0.29807692307692307</v>
      </c>
      <c r="CM46" s="116">
        <f t="shared" si="594"/>
        <v>0.25352112676056338</v>
      </c>
      <c r="CN46" s="116">
        <f t="shared" si="594"/>
        <v>0.28000000000000003</v>
      </c>
      <c r="CO46" s="99">
        <v>52</v>
      </c>
      <c r="CP46" s="99">
        <v>56</v>
      </c>
      <c r="CQ46" s="99">
        <f>+CO46+CP46</f>
        <v>108</v>
      </c>
      <c r="CR46" s="99">
        <v>1</v>
      </c>
      <c r="CS46" s="99">
        <v>2</v>
      </c>
      <c r="CT46" s="99">
        <f>+CR46+CS46</f>
        <v>3</v>
      </c>
      <c r="CU46" s="99">
        <v>6</v>
      </c>
      <c r="CV46" s="99">
        <v>16</v>
      </c>
      <c r="CW46" s="99">
        <f>+CU46+CV46</f>
        <v>22</v>
      </c>
      <c r="CX46" s="99">
        <f t="shared" ref="CX46:CZ50" si="606">+CR46+CU46</f>
        <v>7</v>
      </c>
      <c r="CY46" s="99">
        <f t="shared" si="606"/>
        <v>18</v>
      </c>
      <c r="CZ46" s="99">
        <f t="shared" si="606"/>
        <v>25</v>
      </c>
      <c r="DA46" s="116">
        <f t="shared" ref="DA46:DC48" si="607">CX46/CO46</f>
        <v>0.13461538461538461</v>
      </c>
      <c r="DB46" s="116">
        <f t="shared" si="607"/>
        <v>0.32142857142857145</v>
      </c>
      <c r="DC46" s="116">
        <f t="shared" si="607"/>
        <v>0.23148148148148148</v>
      </c>
      <c r="DD46" s="103"/>
      <c r="DE46" s="103"/>
      <c r="DF46" s="103"/>
      <c r="DG46" s="104"/>
      <c r="DH46" s="104"/>
      <c r="DI46" s="104"/>
      <c r="DJ46" s="104"/>
      <c r="DK46" s="104"/>
      <c r="DL46" s="104"/>
      <c r="DM46" s="104"/>
      <c r="DN46" s="104"/>
      <c r="DO46" s="104"/>
      <c r="DP46" s="112"/>
      <c r="DQ46" s="112"/>
      <c r="DR46" s="112"/>
      <c r="DS46" s="98">
        <f t="shared" ref="DS46:ED47" si="608">CO46+DD46</f>
        <v>52</v>
      </c>
      <c r="DT46" s="98">
        <f t="shared" si="608"/>
        <v>56</v>
      </c>
      <c r="DU46" s="98">
        <f t="shared" si="608"/>
        <v>108</v>
      </c>
      <c r="DV46" s="98">
        <f t="shared" si="608"/>
        <v>1</v>
      </c>
      <c r="DW46" s="98">
        <f t="shared" si="608"/>
        <v>2</v>
      </c>
      <c r="DX46" s="98">
        <f t="shared" si="608"/>
        <v>3</v>
      </c>
      <c r="DY46" s="98">
        <f t="shared" si="608"/>
        <v>6</v>
      </c>
      <c r="DZ46" s="98">
        <f t="shared" si="608"/>
        <v>16</v>
      </c>
      <c r="EA46" s="98">
        <f t="shared" si="608"/>
        <v>22</v>
      </c>
      <c r="EB46" s="98">
        <f t="shared" si="608"/>
        <v>7</v>
      </c>
      <c r="EC46" s="98">
        <f t="shared" si="608"/>
        <v>18</v>
      </c>
      <c r="ED46" s="98">
        <f t="shared" si="608"/>
        <v>25</v>
      </c>
      <c r="EE46" s="116">
        <f t="shared" ref="EE46:EG48" si="609">EB46/DS46</f>
        <v>0.13461538461538461</v>
      </c>
      <c r="EF46" s="116">
        <f t="shared" si="609"/>
        <v>0.32142857142857145</v>
      </c>
      <c r="EG46" s="116">
        <f t="shared" si="609"/>
        <v>0.23148148148148148</v>
      </c>
      <c r="EH46" s="98">
        <f t="shared" si="573"/>
        <v>837</v>
      </c>
      <c r="EI46" s="98">
        <f t="shared" si="573"/>
        <v>115</v>
      </c>
      <c r="EJ46" s="98">
        <f t="shared" si="595"/>
        <v>952</v>
      </c>
      <c r="EK46" s="103"/>
      <c r="EL46" s="103"/>
      <c r="EM46" s="103"/>
      <c r="EN46" s="110"/>
      <c r="EO46" s="110"/>
      <c r="EP46" s="110"/>
      <c r="EQ46" s="98">
        <f t="shared" si="598"/>
        <v>31</v>
      </c>
      <c r="ER46" s="98">
        <f t="shared" si="598"/>
        <v>18</v>
      </c>
      <c r="ES46" s="98">
        <f t="shared" si="598"/>
        <v>49</v>
      </c>
      <c r="ET46" s="103"/>
      <c r="EU46" s="103"/>
      <c r="EV46" s="103"/>
      <c r="EW46" s="103"/>
      <c r="EX46" s="103"/>
      <c r="EY46" s="103"/>
      <c r="EZ46" s="98">
        <f t="shared" ref="EZ46:FB50" si="610">+EB46</f>
        <v>7</v>
      </c>
      <c r="FA46" s="98">
        <f t="shared" si="610"/>
        <v>18</v>
      </c>
      <c r="FB46" s="98">
        <f t="shared" si="610"/>
        <v>25</v>
      </c>
      <c r="FC46" s="103"/>
      <c r="FD46" s="103"/>
      <c r="FE46" s="103"/>
      <c r="FF46" s="103"/>
      <c r="FG46" s="103"/>
      <c r="FH46" s="103"/>
    </row>
    <row r="47" spans="1:164" ht="27" customHeight="1">
      <c r="A47" s="94">
        <v>38</v>
      </c>
      <c r="B47" s="118" t="s">
        <v>161</v>
      </c>
      <c r="C47" s="96">
        <v>546</v>
      </c>
      <c r="D47" s="96">
        <v>284</v>
      </c>
      <c r="E47" s="96">
        <f t="shared" si="566"/>
        <v>830</v>
      </c>
      <c r="F47" s="96">
        <v>518</v>
      </c>
      <c r="G47" s="96">
        <v>264</v>
      </c>
      <c r="H47" s="96">
        <f t="shared" si="567"/>
        <v>782</v>
      </c>
      <c r="I47" s="96">
        <v>0</v>
      </c>
      <c r="J47" s="96">
        <v>0</v>
      </c>
      <c r="K47" s="96">
        <f>I47+J47</f>
        <v>0</v>
      </c>
      <c r="L47" s="97">
        <f t="shared" si="568"/>
        <v>518</v>
      </c>
      <c r="M47" s="98">
        <f t="shared" si="568"/>
        <v>264</v>
      </c>
      <c r="N47" s="98">
        <f t="shared" si="568"/>
        <v>782</v>
      </c>
      <c r="O47" s="116">
        <f t="shared" si="565"/>
        <v>0.94871794871794868</v>
      </c>
      <c r="P47" s="116">
        <f t="shared" si="569"/>
        <v>0.92957746478873238</v>
      </c>
      <c r="Q47" s="116">
        <f t="shared" si="569"/>
        <v>0.94216867469879517</v>
      </c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12"/>
      <c r="AE47" s="112"/>
      <c r="AF47" s="112"/>
      <c r="AG47" s="98">
        <f t="shared" si="601"/>
        <v>546</v>
      </c>
      <c r="AH47" s="98">
        <f t="shared" si="601"/>
        <v>284</v>
      </c>
      <c r="AI47" s="98">
        <f t="shared" si="579"/>
        <v>830</v>
      </c>
      <c r="AJ47" s="98">
        <f t="shared" si="602"/>
        <v>518</v>
      </c>
      <c r="AK47" s="98">
        <f t="shared" si="602"/>
        <v>264</v>
      </c>
      <c r="AL47" s="98">
        <f t="shared" si="582"/>
        <v>782</v>
      </c>
      <c r="AM47" s="98">
        <f t="shared" si="603"/>
        <v>0</v>
      </c>
      <c r="AN47" s="98">
        <f t="shared" si="603"/>
        <v>0</v>
      </c>
      <c r="AO47" s="98">
        <f>K47+Z47</f>
        <v>0</v>
      </c>
      <c r="AP47" s="98">
        <f t="shared" si="604"/>
        <v>518</v>
      </c>
      <c r="AQ47" s="98">
        <f t="shared" si="604"/>
        <v>264</v>
      </c>
      <c r="AR47" s="98">
        <f t="shared" si="587"/>
        <v>782</v>
      </c>
      <c r="AS47" s="116">
        <f t="shared" si="572"/>
        <v>0.94871794871794868</v>
      </c>
      <c r="AT47" s="116">
        <f t="shared" si="572"/>
        <v>0.92957746478873238</v>
      </c>
      <c r="AU47" s="116">
        <f t="shared" si="572"/>
        <v>0.94216867469879517</v>
      </c>
      <c r="AV47" s="99">
        <v>69</v>
      </c>
      <c r="AW47" s="99">
        <v>83</v>
      </c>
      <c r="AX47" s="99">
        <f t="shared" si="588"/>
        <v>152</v>
      </c>
      <c r="AY47" s="99">
        <v>60</v>
      </c>
      <c r="AZ47" s="99">
        <v>77</v>
      </c>
      <c r="BA47" s="99">
        <f t="shared" si="589"/>
        <v>137</v>
      </c>
      <c r="BB47" s="99">
        <v>0</v>
      </c>
      <c r="BC47" s="99">
        <v>0</v>
      </c>
      <c r="BD47" s="99">
        <f>+BB47+BC47</f>
        <v>0</v>
      </c>
      <c r="BE47" s="99">
        <f t="shared" si="590"/>
        <v>60</v>
      </c>
      <c r="BF47" s="99">
        <f t="shared" si="590"/>
        <v>77</v>
      </c>
      <c r="BG47" s="99">
        <f t="shared" si="590"/>
        <v>137</v>
      </c>
      <c r="BH47" s="116">
        <f t="shared" si="591"/>
        <v>0.86956521739130432</v>
      </c>
      <c r="BI47" s="116">
        <f t="shared" si="591"/>
        <v>0.92771084337349397</v>
      </c>
      <c r="BJ47" s="116">
        <f t="shared" si="591"/>
        <v>0.90131578947368418</v>
      </c>
      <c r="BK47" s="111"/>
      <c r="BL47" s="111"/>
      <c r="BM47" s="103"/>
      <c r="BN47" s="104"/>
      <c r="BO47" s="104"/>
      <c r="BP47" s="104"/>
      <c r="BQ47" s="104"/>
      <c r="BR47" s="104"/>
      <c r="BS47" s="104"/>
      <c r="BT47" s="104"/>
      <c r="BU47" s="104"/>
      <c r="BV47" s="104"/>
      <c r="BW47" s="112"/>
      <c r="BX47" s="112"/>
      <c r="BY47" s="112"/>
      <c r="BZ47" s="98">
        <f t="shared" si="592"/>
        <v>69</v>
      </c>
      <c r="CA47" s="98">
        <f t="shared" si="592"/>
        <v>83</v>
      </c>
      <c r="CB47" s="98">
        <f t="shared" si="592"/>
        <v>152</v>
      </c>
      <c r="CC47" s="98">
        <f t="shared" si="592"/>
        <v>60</v>
      </c>
      <c r="CD47" s="98">
        <f t="shared" si="592"/>
        <v>77</v>
      </c>
      <c r="CE47" s="98">
        <f t="shared" si="592"/>
        <v>137</v>
      </c>
      <c r="CF47" s="98">
        <f t="shared" si="605"/>
        <v>0</v>
      </c>
      <c r="CG47" s="98">
        <f t="shared" si="605"/>
        <v>0</v>
      </c>
      <c r="CH47" s="98">
        <f t="shared" si="605"/>
        <v>0</v>
      </c>
      <c r="CI47" s="98">
        <f t="shared" si="593"/>
        <v>60</v>
      </c>
      <c r="CJ47" s="98">
        <f t="shared" si="593"/>
        <v>77</v>
      </c>
      <c r="CK47" s="98">
        <f t="shared" si="593"/>
        <v>137</v>
      </c>
      <c r="CL47" s="116">
        <f t="shared" si="594"/>
        <v>0.86956521739130432</v>
      </c>
      <c r="CM47" s="116">
        <f t="shared" si="594"/>
        <v>0.92771084337349397</v>
      </c>
      <c r="CN47" s="116">
        <f t="shared" si="594"/>
        <v>0.90131578947368418</v>
      </c>
      <c r="CO47" s="99">
        <v>7</v>
      </c>
      <c r="CP47" s="99">
        <v>10</v>
      </c>
      <c r="CQ47" s="99">
        <f>+CO47+CP47</f>
        <v>17</v>
      </c>
      <c r="CR47" s="99">
        <v>5</v>
      </c>
      <c r="CS47" s="99">
        <v>9</v>
      </c>
      <c r="CT47" s="99">
        <f>+CR47+CS47</f>
        <v>14</v>
      </c>
      <c r="CU47" s="99">
        <v>0</v>
      </c>
      <c r="CV47" s="99">
        <v>0</v>
      </c>
      <c r="CW47" s="99">
        <f>+CU47+CV47</f>
        <v>0</v>
      </c>
      <c r="CX47" s="99">
        <f t="shared" si="606"/>
        <v>5</v>
      </c>
      <c r="CY47" s="99">
        <f t="shared" si="606"/>
        <v>9</v>
      </c>
      <c r="CZ47" s="99">
        <f t="shared" si="606"/>
        <v>14</v>
      </c>
      <c r="DA47" s="116">
        <f t="shared" si="607"/>
        <v>0.7142857142857143</v>
      </c>
      <c r="DB47" s="116">
        <f t="shared" si="607"/>
        <v>0.9</v>
      </c>
      <c r="DC47" s="116">
        <f t="shared" si="607"/>
        <v>0.82352941176470584</v>
      </c>
      <c r="DD47" s="111"/>
      <c r="DE47" s="111"/>
      <c r="DF47" s="103"/>
      <c r="DG47" s="104"/>
      <c r="DH47" s="104"/>
      <c r="DI47" s="104"/>
      <c r="DJ47" s="104"/>
      <c r="DK47" s="104"/>
      <c r="DL47" s="104"/>
      <c r="DM47" s="104"/>
      <c r="DN47" s="104"/>
      <c r="DO47" s="104"/>
      <c r="DP47" s="112"/>
      <c r="DQ47" s="112"/>
      <c r="DR47" s="112"/>
      <c r="DS47" s="98">
        <f t="shared" si="608"/>
        <v>7</v>
      </c>
      <c r="DT47" s="98">
        <f t="shared" si="608"/>
        <v>10</v>
      </c>
      <c r="DU47" s="98">
        <f t="shared" si="608"/>
        <v>17</v>
      </c>
      <c r="DV47" s="98">
        <f t="shared" si="608"/>
        <v>5</v>
      </c>
      <c r="DW47" s="98">
        <f t="shared" si="608"/>
        <v>9</v>
      </c>
      <c r="DX47" s="98">
        <f t="shared" si="608"/>
        <v>14</v>
      </c>
      <c r="DY47" s="98">
        <f t="shared" si="608"/>
        <v>0</v>
      </c>
      <c r="DZ47" s="98">
        <f t="shared" si="608"/>
        <v>0</v>
      </c>
      <c r="EA47" s="98">
        <f t="shared" si="608"/>
        <v>0</v>
      </c>
      <c r="EB47" s="98">
        <f t="shared" si="608"/>
        <v>5</v>
      </c>
      <c r="EC47" s="98">
        <f t="shared" si="608"/>
        <v>9</v>
      </c>
      <c r="ED47" s="98">
        <f t="shared" si="608"/>
        <v>14</v>
      </c>
      <c r="EE47" s="116">
        <f t="shared" si="609"/>
        <v>0.7142857142857143</v>
      </c>
      <c r="EF47" s="116">
        <f t="shared" si="609"/>
        <v>0.9</v>
      </c>
      <c r="EG47" s="116">
        <f t="shared" si="609"/>
        <v>0.82352941176470584</v>
      </c>
      <c r="EH47" s="98">
        <f t="shared" si="573"/>
        <v>518</v>
      </c>
      <c r="EI47" s="98">
        <f t="shared" si="573"/>
        <v>264</v>
      </c>
      <c r="EJ47" s="98">
        <f t="shared" si="595"/>
        <v>782</v>
      </c>
      <c r="EK47" s="101">
        <v>249</v>
      </c>
      <c r="EL47" s="101">
        <v>165</v>
      </c>
      <c r="EM47" s="98">
        <f>EK47+EL47</f>
        <v>414</v>
      </c>
      <c r="EN47" s="100">
        <f t="shared" ref="EN47:EP50" si="611">+EK47*100/EH47</f>
        <v>48.069498069498067</v>
      </c>
      <c r="EO47" s="100">
        <f t="shared" si="611"/>
        <v>62.5</v>
      </c>
      <c r="EP47" s="100">
        <f t="shared" si="611"/>
        <v>52.941176470588232</v>
      </c>
      <c r="EQ47" s="98">
        <f t="shared" si="598"/>
        <v>60</v>
      </c>
      <c r="ER47" s="98">
        <f t="shared" si="598"/>
        <v>77</v>
      </c>
      <c r="ES47" s="98">
        <f t="shared" si="598"/>
        <v>137</v>
      </c>
      <c r="ET47" s="101">
        <v>16</v>
      </c>
      <c r="EU47" s="101">
        <v>39</v>
      </c>
      <c r="EV47" s="98">
        <f>ET47+EU47</f>
        <v>55</v>
      </c>
      <c r="EW47" s="100">
        <f t="shared" ref="EW47:EY49" si="612">+ET47*100/EQ47</f>
        <v>26.666666666666668</v>
      </c>
      <c r="EX47" s="100">
        <f t="shared" si="612"/>
        <v>50.649350649350652</v>
      </c>
      <c r="EY47" s="100">
        <f t="shared" si="612"/>
        <v>40.145985401459853</v>
      </c>
      <c r="EZ47" s="98">
        <f t="shared" si="610"/>
        <v>5</v>
      </c>
      <c r="FA47" s="98">
        <f t="shared" si="610"/>
        <v>9</v>
      </c>
      <c r="FB47" s="98">
        <f t="shared" si="610"/>
        <v>14</v>
      </c>
      <c r="FC47" s="101">
        <v>4</v>
      </c>
      <c r="FD47" s="101">
        <v>5</v>
      </c>
      <c r="FE47" s="98">
        <f>FC47+FD47</f>
        <v>9</v>
      </c>
      <c r="FF47" s="100">
        <f t="shared" ref="FF47:FH48" si="613">+FC47*100/EZ47</f>
        <v>80</v>
      </c>
      <c r="FG47" s="100">
        <f t="shared" si="613"/>
        <v>55.555555555555557</v>
      </c>
      <c r="FH47" s="100">
        <f t="shared" si="613"/>
        <v>64.285714285714292</v>
      </c>
    </row>
    <row r="48" spans="1:164" ht="27" customHeight="1">
      <c r="A48" s="94">
        <v>39</v>
      </c>
      <c r="B48" s="118" t="s">
        <v>166</v>
      </c>
      <c r="C48" s="75">
        <v>125</v>
      </c>
      <c r="D48" s="75">
        <v>117</v>
      </c>
      <c r="E48" s="75">
        <f t="shared" si="566"/>
        <v>242</v>
      </c>
      <c r="F48" s="75">
        <v>120</v>
      </c>
      <c r="G48" s="75">
        <v>110</v>
      </c>
      <c r="H48" s="75">
        <f t="shared" si="567"/>
        <v>230</v>
      </c>
      <c r="I48" s="75">
        <v>2</v>
      </c>
      <c r="J48" s="75">
        <v>4</v>
      </c>
      <c r="K48" s="75">
        <f>I48+J48</f>
        <v>6</v>
      </c>
      <c r="L48" s="97">
        <f t="shared" si="568"/>
        <v>122</v>
      </c>
      <c r="M48" s="98">
        <f t="shared" si="568"/>
        <v>114</v>
      </c>
      <c r="N48" s="98">
        <f t="shared" si="568"/>
        <v>236</v>
      </c>
      <c r="O48" s="117">
        <f t="shared" si="565"/>
        <v>0.97599999999999998</v>
      </c>
      <c r="P48" s="117">
        <f t="shared" si="569"/>
        <v>0.97435897435897434</v>
      </c>
      <c r="Q48" s="117">
        <f t="shared" si="569"/>
        <v>0.97520661157024791</v>
      </c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14"/>
      <c r="AE48" s="114"/>
      <c r="AF48" s="114"/>
      <c r="AG48" s="28">
        <f t="shared" si="601"/>
        <v>125</v>
      </c>
      <c r="AH48" s="28">
        <f t="shared" si="601"/>
        <v>117</v>
      </c>
      <c r="AI48" s="28">
        <f t="shared" si="579"/>
        <v>242</v>
      </c>
      <c r="AJ48" s="28">
        <f t="shared" si="602"/>
        <v>120</v>
      </c>
      <c r="AK48" s="28">
        <f t="shared" si="602"/>
        <v>110</v>
      </c>
      <c r="AL48" s="28">
        <f t="shared" si="582"/>
        <v>230</v>
      </c>
      <c r="AM48" s="28">
        <f t="shared" si="603"/>
        <v>2</v>
      </c>
      <c r="AN48" s="28">
        <f t="shared" si="603"/>
        <v>4</v>
      </c>
      <c r="AO48" s="28">
        <f>K48+Z48</f>
        <v>6</v>
      </c>
      <c r="AP48" s="28">
        <f t="shared" si="604"/>
        <v>122</v>
      </c>
      <c r="AQ48" s="28">
        <f t="shared" si="604"/>
        <v>114</v>
      </c>
      <c r="AR48" s="28">
        <f t="shared" si="587"/>
        <v>236</v>
      </c>
      <c r="AS48" s="117">
        <f t="shared" si="572"/>
        <v>0.97599999999999998</v>
      </c>
      <c r="AT48" s="117">
        <f t="shared" si="572"/>
        <v>0.97435897435897434</v>
      </c>
      <c r="AU48" s="117">
        <f t="shared" si="572"/>
        <v>0.97520661157024791</v>
      </c>
      <c r="AV48" s="92">
        <v>20</v>
      </c>
      <c r="AW48" s="92">
        <v>20</v>
      </c>
      <c r="AX48" s="92">
        <f t="shared" si="588"/>
        <v>40</v>
      </c>
      <c r="AY48" s="92">
        <v>19</v>
      </c>
      <c r="AZ48" s="92">
        <v>17</v>
      </c>
      <c r="BA48" s="92">
        <f t="shared" si="589"/>
        <v>36</v>
      </c>
      <c r="BB48" s="92">
        <v>1</v>
      </c>
      <c r="BC48" s="92">
        <v>1</v>
      </c>
      <c r="BD48" s="92">
        <f>+BB48+BC48</f>
        <v>2</v>
      </c>
      <c r="BE48" s="92">
        <f t="shared" si="590"/>
        <v>20</v>
      </c>
      <c r="BF48" s="92">
        <f t="shared" si="590"/>
        <v>18</v>
      </c>
      <c r="BG48" s="92">
        <f t="shared" si="590"/>
        <v>38</v>
      </c>
      <c r="BH48" s="117">
        <f t="shared" si="591"/>
        <v>1</v>
      </c>
      <c r="BI48" s="117">
        <f t="shared" si="591"/>
        <v>0.9</v>
      </c>
      <c r="BJ48" s="117">
        <f t="shared" si="591"/>
        <v>0.95</v>
      </c>
      <c r="BK48" s="107"/>
      <c r="BL48" s="107"/>
      <c r="BM48" s="106"/>
      <c r="BN48" s="105"/>
      <c r="BO48" s="105"/>
      <c r="BP48" s="105"/>
      <c r="BQ48" s="105"/>
      <c r="BR48" s="105"/>
      <c r="BS48" s="105"/>
      <c r="BT48" s="105"/>
      <c r="BU48" s="105"/>
      <c r="BV48" s="105"/>
      <c r="BW48" s="114"/>
      <c r="BX48" s="114"/>
      <c r="BY48" s="114"/>
      <c r="BZ48" s="98">
        <f t="shared" si="592"/>
        <v>20</v>
      </c>
      <c r="CA48" s="98">
        <f t="shared" si="592"/>
        <v>20</v>
      </c>
      <c r="CB48" s="98">
        <f t="shared" si="592"/>
        <v>40</v>
      </c>
      <c r="CC48" s="28">
        <f t="shared" si="592"/>
        <v>19</v>
      </c>
      <c r="CD48" s="28">
        <f t="shared" si="592"/>
        <v>17</v>
      </c>
      <c r="CE48" s="28">
        <f t="shared" si="592"/>
        <v>36</v>
      </c>
      <c r="CF48" s="28">
        <f t="shared" si="605"/>
        <v>1</v>
      </c>
      <c r="CG48" s="28">
        <f t="shared" si="605"/>
        <v>1</v>
      </c>
      <c r="CH48" s="28">
        <f t="shared" si="605"/>
        <v>2</v>
      </c>
      <c r="CI48" s="28">
        <f t="shared" si="593"/>
        <v>20</v>
      </c>
      <c r="CJ48" s="28">
        <f t="shared" si="593"/>
        <v>18</v>
      </c>
      <c r="CK48" s="28">
        <f t="shared" si="593"/>
        <v>38</v>
      </c>
      <c r="CL48" s="117">
        <f t="shared" si="594"/>
        <v>1</v>
      </c>
      <c r="CM48" s="117">
        <f t="shared" si="594"/>
        <v>0.9</v>
      </c>
      <c r="CN48" s="117">
        <f t="shared" si="594"/>
        <v>0.95</v>
      </c>
      <c r="CO48" s="92">
        <v>13</v>
      </c>
      <c r="CP48" s="92">
        <v>20</v>
      </c>
      <c r="CQ48" s="92">
        <f>+CO48+CP48</f>
        <v>33</v>
      </c>
      <c r="CR48" s="92">
        <v>12</v>
      </c>
      <c r="CS48" s="92">
        <v>19</v>
      </c>
      <c r="CT48" s="92">
        <f>+CR48+CS48</f>
        <v>31</v>
      </c>
      <c r="CU48" s="105"/>
      <c r="CV48" s="105"/>
      <c r="CW48" s="105"/>
      <c r="CX48" s="92">
        <f t="shared" si="606"/>
        <v>12</v>
      </c>
      <c r="CY48" s="92">
        <f t="shared" si="606"/>
        <v>19</v>
      </c>
      <c r="CZ48" s="92">
        <f t="shared" si="606"/>
        <v>31</v>
      </c>
      <c r="DA48" s="117">
        <f t="shared" si="607"/>
        <v>0.92307692307692313</v>
      </c>
      <c r="DB48" s="117">
        <f t="shared" si="607"/>
        <v>0.95</v>
      </c>
      <c r="DC48" s="117">
        <f t="shared" si="607"/>
        <v>0.93939393939393945</v>
      </c>
      <c r="DD48" s="107"/>
      <c r="DE48" s="107"/>
      <c r="DF48" s="106"/>
      <c r="DG48" s="105"/>
      <c r="DH48" s="105"/>
      <c r="DI48" s="105"/>
      <c r="DJ48" s="105"/>
      <c r="DK48" s="105"/>
      <c r="DL48" s="105"/>
      <c r="DM48" s="105"/>
      <c r="DN48" s="105"/>
      <c r="DO48" s="105"/>
      <c r="DP48" s="112"/>
      <c r="DQ48" s="112"/>
      <c r="DR48" s="112"/>
      <c r="DS48" s="98">
        <f t="shared" ref="DS48:DX50" si="614">CO48+DD48</f>
        <v>13</v>
      </c>
      <c r="DT48" s="98">
        <f t="shared" si="614"/>
        <v>20</v>
      </c>
      <c r="DU48" s="28">
        <f t="shared" si="614"/>
        <v>33</v>
      </c>
      <c r="DV48" s="28">
        <f t="shared" si="614"/>
        <v>12</v>
      </c>
      <c r="DW48" s="28">
        <f t="shared" si="614"/>
        <v>19</v>
      </c>
      <c r="DX48" s="28">
        <f t="shared" si="614"/>
        <v>31</v>
      </c>
      <c r="DY48" s="106"/>
      <c r="DZ48" s="106"/>
      <c r="EA48" s="106"/>
      <c r="EB48" s="28">
        <f t="shared" ref="EB48:ED50" si="615">CX48+DM48</f>
        <v>12</v>
      </c>
      <c r="EC48" s="28">
        <f t="shared" si="615"/>
        <v>19</v>
      </c>
      <c r="ED48" s="28">
        <f t="shared" si="615"/>
        <v>31</v>
      </c>
      <c r="EE48" s="117">
        <f t="shared" si="609"/>
        <v>0.92307692307692313</v>
      </c>
      <c r="EF48" s="117">
        <f t="shared" si="609"/>
        <v>0.95</v>
      </c>
      <c r="EG48" s="117">
        <f t="shared" si="609"/>
        <v>0.93939393939393945</v>
      </c>
      <c r="EH48" s="28">
        <f t="shared" si="573"/>
        <v>122</v>
      </c>
      <c r="EI48" s="28">
        <f t="shared" si="573"/>
        <v>114</v>
      </c>
      <c r="EJ48" s="28">
        <f t="shared" si="595"/>
        <v>236</v>
      </c>
      <c r="EK48" s="32">
        <v>93</v>
      </c>
      <c r="EL48" s="32">
        <v>94</v>
      </c>
      <c r="EM48" s="28">
        <f>EK48+EL48</f>
        <v>187</v>
      </c>
      <c r="EN48" s="100">
        <f t="shared" si="611"/>
        <v>76.229508196721312</v>
      </c>
      <c r="EO48" s="93">
        <f t="shared" si="611"/>
        <v>82.456140350877192</v>
      </c>
      <c r="EP48" s="93">
        <f t="shared" si="611"/>
        <v>79.237288135593218</v>
      </c>
      <c r="EQ48" s="28">
        <f t="shared" si="598"/>
        <v>20</v>
      </c>
      <c r="ER48" s="28">
        <f t="shared" si="598"/>
        <v>18</v>
      </c>
      <c r="ES48" s="28">
        <f t="shared" si="598"/>
        <v>38</v>
      </c>
      <c r="ET48" s="32">
        <v>15</v>
      </c>
      <c r="EU48" s="32">
        <v>12</v>
      </c>
      <c r="EV48" s="28">
        <f>ET48+EU48</f>
        <v>27</v>
      </c>
      <c r="EW48" s="93">
        <f t="shared" si="612"/>
        <v>75</v>
      </c>
      <c r="EX48" s="93">
        <f t="shared" si="612"/>
        <v>66.666666666666671</v>
      </c>
      <c r="EY48" s="93">
        <f t="shared" si="612"/>
        <v>71.05263157894737</v>
      </c>
      <c r="EZ48" s="28">
        <f t="shared" si="610"/>
        <v>12</v>
      </c>
      <c r="FA48" s="28">
        <f t="shared" si="610"/>
        <v>19</v>
      </c>
      <c r="FB48" s="28">
        <f t="shared" si="610"/>
        <v>31</v>
      </c>
      <c r="FC48" s="32">
        <v>9</v>
      </c>
      <c r="FD48" s="32">
        <v>13</v>
      </c>
      <c r="FE48" s="28">
        <f>FC48+FD48</f>
        <v>22</v>
      </c>
      <c r="FF48" s="93">
        <f t="shared" si="613"/>
        <v>75</v>
      </c>
      <c r="FG48" s="93">
        <f t="shared" si="613"/>
        <v>68.421052631578945</v>
      </c>
      <c r="FH48" s="93">
        <f t="shared" si="613"/>
        <v>70.967741935483872</v>
      </c>
    </row>
    <row r="49" spans="1:164" ht="27" customHeight="1">
      <c r="A49" s="94">
        <v>40</v>
      </c>
      <c r="B49" s="118" t="s">
        <v>167</v>
      </c>
      <c r="C49" s="75">
        <v>11829</v>
      </c>
      <c r="D49" s="75">
        <v>4870</v>
      </c>
      <c r="E49" s="75">
        <f t="shared" si="566"/>
        <v>16699</v>
      </c>
      <c r="F49" s="75">
        <v>11328</v>
      </c>
      <c r="G49" s="75">
        <v>4673</v>
      </c>
      <c r="H49" s="75">
        <f t="shared" si="567"/>
        <v>16001</v>
      </c>
      <c r="I49" s="105"/>
      <c r="J49" s="105"/>
      <c r="K49" s="105"/>
      <c r="L49" s="97">
        <f t="shared" si="568"/>
        <v>11328</v>
      </c>
      <c r="M49" s="98">
        <f t="shared" si="568"/>
        <v>4673</v>
      </c>
      <c r="N49" s="98">
        <f t="shared" si="568"/>
        <v>16001</v>
      </c>
      <c r="O49" s="117">
        <f t="shared" si="565"/>
        <v>0.95764646208470705</v>
      </c>
      <c r="P49" s="117">
        <f t="shared" si="569"/>
        <v>0.95954825462012316</v>
      </c>
      <c r="Q49" s="117">
        <f t="shared" si="569"/>
        <v>0.95820108988562191</v>
      </c>
      <c r="R49" s="28">
        <v>1128</v>
      </c>
      <c r="S49" s="28">
        <v>516</v>
      </c>
      <c r="T49" s="28">
        <f>R49+S49</f>
        <v>1644</v>
      </c>
      <c r="U49" s="28">
        <v>917</v>
      </c>
      <c r="V49" s="28">
        <v>423</v>
      </c>
      <c r="W49" s="28">
        <f>U49+V49</f>
        <v>1340</v>
      </c>
      <c r="X49" s="106"/>
      <c r="Y49" s="106"/>
      <c r="Z49" s="106"/>
      <c r="AA49" s="28">
        <f t="shared" ref="AA49:AC50" si="616">U49+X49</f>
        <v>917</v>
      </c>
      <c r="AB49" s="28">
        <f t="shared" si="616"/>
        <v>423</v>
      </c>
      <c r="AC49" s="28">
        <f t="shared" si="616"/>
        <v>1340</v>
      </c>
      <c r="AD49" s="117">
        <f t="shared" ref="AD49:AF50" si="617">AA49/R49</f>
        <v>0.81294326241134751</v>
      </c>
      <c r="AE49" s="117">
        <f t="shared" si="617"/>
        <v>0.81976744186046513</v>
      </c>
      <c r="AF49" s="117">
        <f t="shared" si="617"/>
        <v>0.81508515815085159</v>
      </c>
      <c r="AG49" s="28">
        <f t="shared" si="601"/>
        <v>12957</v>
      </c>
      <c r="AH49" s="28">
        <f t="shared" si="601"/>
        <v>5386</v>
      </c>
      <c r="AI49" s="28">
        <f t="shared" si="579"/>
        <v>18343</v>
      </c>
      <c r="AJ49" s="28">
        <f t="shared" si="602"/>
        <v>12245</v>
      </c>
      <c r="AK49" s="28">
        <f t="shared" si="602"/>
        <v>5096</v>
      </c>
      <c r="AL49" s="28">
        <f t="shared" si="582"/>
        <v>17341</v>
      </c>
      <c r="AM49" s="106"/>
      <c r="AN49" s="106"/>
      <c r="AO49" s="106"/>
      <c r="AP49" s="28">
        <f t="shared" si="604"/>
        <v>12245</v>
      </c>
      <c r="AQ49" s="28">
        <f t="shared" si="604"/>
        <v>5096</v>
      </c>
      <c r="AR49" s="28">
        <f t="shared" si="587"/>
        <v>17341</v>
      </c>
      <c r="AS49" s="117">
        <f t="shared" si="572"/>
        <v>0.94504900825808447</v>
      </c>
      <c r="AT49" s="117">
        <f t="shared" si="572"/>
        <v>0.9461567025621983</v>
      </c>
      <c r="AU49" s="117">
        <f t="shared" si="572"/>
        <v>0.94537425720983481</v>
      </c>
      <c r="AV49" s="92">
        <v>1499</v>
      </c>
      <c r="AW49" s="92">
        <v>787</v>
      </c>
      <c r="AX49" s="92">
        <f t="shared" si="588"/>
        <v>2286</v>
      </c>
      <c r="AY49" s="92">
        <v>1280</v>
      </c>
      <c r="AZ49" s="92">
        <v>702</v>
      </c>
      <c r="BA49" s="92">
        <f t="shared" si="589"/>
        <v>1982</v>
      </c>
      <c r="BB49" s="105"/>
      <c r="BC49" s="105"/>
      <c r="BD49" s="105"/>
      <c r="BE49" s="92">
        <f t="shared" si="590"/>
        <v>1280</v>
      </c>
      <c r="BF49" s="92">
        <f t="shared" si="590"/>
        <v>702</v>
      </c>
      <c r="BG49" s="92">
        <f t="shared" si="590"/>
        <v>1982</v>
      </c>
      <c r="BH49" s="117">
        <f t="shared" si="591"/>
        <v>0.85390260173448962</v>
      </c>
      <c r="BI49" s="117">
        <f t="shared" si="591"/>
        <v>0.89199491740787806</v>
      </c>
      <c r="BJ49" s="117">
        <f t="shared" si="591"/>
        <v>0.86701662292213477</v>
      </c>
      <c r="BK49" s="28">
        <v>63</v>
      </c>
      <c r="BL49" s="28">
        <v>60</v>
      </c>
      <c r="BM49" s="28">
        <f>BK49+BL49</f>
        <v>123</v>
      </c>
      <c r="BN49" s="92">
        <v>44</v>
      </c>
      <c r="BO49" s="92">
        <v>53</v>
      </c>
      <c r="BP49" s="92">
        <f>BN49+BO49</f>
        <v>97</v>
      </c>
      <c r="BQ49" s="105"/>
      <c r="BR49" s="105"/>
      <c r="BS49" s="105"/>
      <c r="BT49" s="92">
        <f>+BN49+BQ49</f>
        <v>44</v>
      </c>
      <c r="BU49" s="92">
        <f>+BO49+BR49</f>
        <v>53</v>
      </c>
      <c r="BV49" s="92">
        <f>+BP49+BS49</f>
        <v>97</v>
      </c>
      <c r="BW49" s="117">
        <f>BT49/BK49</f>
        <v>0.69841269841269837</v>
      </c>
      <c r="BX49" s="117">
        <f>BU49/BL49</f>
        <v>0.8833333333333333</v>
      </c>
      <c r="BY49" s="117">
        <f>BV49/BM49</f>
        <v>0.78861788617886175</v>
      </c>
      <c r="BZ49" s="98">
        <f t="shared" si="592"/>
        <v>1562</v>
      </c>
      <c r="CA49" s="98">
        <f t="shared" si="592"/>
        <v>847</v>
      </c>
      <c r="CB49" s="98">
        <f t="shared" si="592"/>
        <v>2409</v>
      </c>
      <c r="CC49" s="28">
        <f t="shared" si="592"/>
        <v>1324</v>
      </c>
      <c r="CD49" s="28">
        <f t="shared" si="592"/>
        <v>755</v>
      </c>
      <c r="CE49" s="28">
        <f t="shared" si="592"/>
        <v>2079</v>
      </c>
      <c r="CF49" s="106"/>
      <c r="CG49" s="106"/>
      <c r="CH49" s="106"/>
      <c r="CI49" s="28">
        <f t="shared" si="593"/>
        <v>1324</v>
      </c>
      <c r="CJ49" s="28">
        <f t="shared" si="593"/>
        <v>755</v>
      </c>
      <c r="CK49" s="28">
        <f t="shared" si="593"/>
        <v>2079</v>
      </c>
      <c r="CL49" s="117">
        <f t="shared" si="594"/>
        <v>0.84763124199743922</v>
      </c>
      <c r="CM49" s="117">
        <f t="shared" si="594"/>
        <v>0.89138134592680052</v>
      </c>
      <c r="CN49" s="117">
        <f t="shared" si="594"/>
        <v>0.86301369863013699</v>
      </c>
      <c r="CO49" s="92">
        <v>5</v>
      </c>
      <c r="CP49" s="92">
        <v>0</v>
      </c>
      <c r="CQ49" s="92">
        <f>+CO49+CP49</f>
        <v>5</v>
      </c>
      <c r="CR49" s="92">
        <v>4</v>
      </c>
      <c r="CS49" s="92">
        <v>0</v>
      </c>
      <c r="CT49" s="92">
        <f>+CR49+CS49</f>
        <v>4</v>
      </c>
      <c r="CU49" s="105"/>
      <c r="CV49" s="105"/>
      <c r="CW49" s="105"/>
      <c r="CX49" s="92">
        <f t="shared" si="606"/>
        <v>4</v>
      </c>
      <c r="CY49" s="92">
        <f t="shared" si="606"/>
        <v>0</v>
      </c>
      <c r="CZ49" s="92">
        <f t="shared" si="606"/>
        <v>4</v>
      </c>
      <c r="DA49" s="117">
        <f>CX49/CO49</f>
        <v>0.8</v>
      </c>
      <c r="DB49" s="117">
        <v>0</v>
      </c>
      <c r="DC49" s="117">
        <f>CZ49/CQ49</f>
        <v>0.8</v>
      </c>
      <c r="DD49" s="106"/>
      <c r="DE49" s="106"/>
      <c r="DF49" s="106"/>
      <c r="DG49" s="105"/>
      <c r="DH49" s="105"/>
      <c r="DI49" s="105"/>
      <c r="DJ49" s="105"/>
      <c r="DK49" s="105"/>
      <c r="DL49" s="105"/>
      <c r="DM49" s="105"/>
      <c r="DN49" s="105"/>
      <c r="DO49" s="105"/>
      <c r="DP49" s="112"/>
      <c r="DQ49" s="112"/>
      <c r="DR49" s="112"/>
      <c r="DS49" s="98">
        <f t="shared" si="614"/>
        <v>5</v>
      </c>
      <c r="DT49" s="98">
        <f t="shared" si="614"/>
        <v>0</v>
      </c>
      <c r="DU49" s="28">
        <f t="shared" si="614"/>
        <v>5</v>
      </c>
      <c r="DV49" s="28">
        <f t="shared" si="614"/>
        <v>4</v>
      </c>
      <c r="DW49" s="28">
        <f t="shared" si="614"/>
        <v>0</v>
      </c>
      <c r="DX49" s="28">
        <f t="shared" si="614"/>
        <v>4</v>
      </c>
      <c r="DY49" s="106"/>
      <c r="DZ49" s="106"/>
      <c r="EA49" s="106"/>
      <c r="EB49" s="28">
        <f t="shared" si="615"/>
        <v>4</v>
      </c>
      <c r="EC49" s="28">
        <f t="shared" si="615"/>
        <v>0</v>
      </c>
      <c r="ED49" s="28">
        <f t="shared" si="615"/>
        <v>4</v>
      </c>
      <c r="EE49" s="117">
        <f>EB49/DS49</f>
        <v>0.8</v>
      </c>
      <c r="EF49" s="117">
        <v>0</v>
      </c>
      <c r="EG49" s="117">
        <f>ED49/DU49</f>
        <v>0.8</v>
      </c>
      <c r="EH49" s="28">
        <f t="shared" si="573"/>
        <v>12245</v>
      </c>
      <c r="EI49" s="28">
        <f t="shared" si="573"/>
        <v>5096</v>
      </c>
      <c r="EJ49" s="28">
        <f t="shared" si="595"/>
        <v>17341</v>
      </c>
      <c r="EK49" s="28">
        <v>6530</v>
      </c>
      <c r="EL49" s="28">
        <v>3080</v>
      </c>
      <c r="EM49" s="28">
        <f>EK49+EL49</f>
        <v>9610</v>
      </c>
      <c r="EN49" s="100">
        <f t="shared" si="611"/>
        <v>53.32788893425888</v>
      </c>
      <c r="EO49" s="93">
        <f t="shared" si="611"/>
        <v>60.439560439560438</v>
      </c>
      <c r="EP49" s="93">
        <f t="shared" si="611"/>
        <v>55.417795974857277</v>
      </c>
      <c r="EQ49" s="28">
        <f t="shared" si="598"/>
        <v>1324</v>
      </c>
      <c r="ER49" s="28">
        <f t="shared" si="598"/>
        <v>755</v>
      </c>
      <c r="ES49" s="28">
        <f t="shared" si="598"/>
        <v>2079</v>
      </c>
      <c r="ET49" s="28">
        <v>550</v>
      </c>
      <c r="EU49" s="28">
        <v>680</v>
      </c>
      <c r="EV49" s="28">
        <f>ET49+EU49</f>
        <v>1230</v>
      </c>
      <c r="EW49" s="93">
        <f t="shared" si="612"/>
        <v>41.540785498489427</v>
      </c>
      <c r="EX49" s="93">
        <f t="shared" si="612"/>
        <v>90.066225165562912</v>
      </c>
      <c r="EY49" s="93">
        <f t="shared" si="612"/>
        <v>59.16305916305916</v>
      </c>
      <c r="EZ49" s="28">
        <f t="shared" si="610"/>
        <v>4</v>
      </c>
      <c r="FA49" s="28">
        <f t="shared" si="610"/>
        <v>0</v>
      </c>
      <c r="FB49" s="28">
        <f t="shared" si="610"/>
        <v>4</v>
      </c>
      <c r="FC49" s="28">
        <v>3</v>
      </c>
      <c r="FD49" s="28">
        <v>0</v>
      </c>
      <c r="FE49" s="28">
        <f>FC49+FD49</f>
        <v>3</v>
      </c>
      <c r="FF49" s="93">
        <f>+FC49*100/EZ49</f>
        <v>75</v>
      </c>
      <c r="FG49" s="93">
        <v>0</v>
      </c>
      <c r="FH49" s="93">
        <f>+FE49*100/FB49</f>
        <v>75</v>
      </c>
    </row>
    <row r="50" spans="1:164" ht="27" customHeight="1">
      <c r="A50" s="94">
        <v>41</v>
      </c>
      <c r="B50" s="118" t="s">
        <v>214</v>
      </c>
      <c r="C50" s="75">
        <v>752</v>
      </c>
      <c r="D50" s="75">
        <v>56</v>
      </c>
      <c r="E50" s="75">
        <f t="shared" si="566"/>
        <v>808</v>
      </c>
      <c r="F50" s="75">
        <v>667</v>
      </c>
      <c r="G50" s="75">
        <v>49</v>
      </c>
      <c r="H50" s="75">
        <f t="shared" si="567"/>
        <v>716</v>
      </c>
      <c r="I50" s="105"/>
      <c r="J50" s="105"/>
      <c r="K50" s="105"/>
      <c r="L50" s="97">
        <f t="shared" si="568"/>
        <v>667</v>
      </c>
      <c r="M50" s="98">
        <f t="shared" si="568"/>
        <v>49</v>
      </c>
      <c r="N50" s="98">
        <f t="shared" si="568"/>
        <v>716</v>
      </c>
      <c r="O50" s="117">
        <f t="shared" si="565"/>
        <v>0.88696808510638303</v>
      </c>
      <c r="P50" s="117">
        <f t="shared" si="569"/>
        <v>0.875</v>
      </c>
      <c r="Q50" s="117">
        <f t="shared" si="569"/>
        <v>0.88613861386138615</v>
      </c>
      <c r="R50" s="28">
        <v>42</v>
      </c>
      <c r="S50" s="28">
        <v>2</v>
      </c>
      <c r="T50" s="28">
        <f>R50+S50</f>
        <v>44</v>
      </c>
      <c r="U50" s="28">
        <v>30</v>
      </c>
      <c r="V50" s="28">
        <v>2</v>
      </c>
      <c r="W50" s="28">
        <f>U50+V50</f>
        <v>32</v>
      </c>
      <c r="X50" s="106"/>
      <c r="Y50" s="106"/>
      <c r="Z50" s="106"/>
      <c r="AA50" s="28">
        <f t="shared" si="616"/>
        <v>30</v>
      </c>
      <c r="AB50" s="28">
        <f t="shared" si="616"/>
        <v>2</v>
      </c>
      <c r="AC50" s="28">
        <f t="shared" si="616"/>
        <v>32</v>
      </c>
      <c r="AD50" s="117">
        <f t="shared" si="617"/>
        <v>0.7142857142857143</v>
      </c>
      <c r="AE50" s="117">
        <f t="shared" si="617"/>
        <v>1</v>
      </c>
      <c r="AF50" s="117">
        <f t="shared" si="617"/>
        <v>0.72727272727272729</v>
      </c>
      <c r="AG50" s="28">
        <f t="shared" si="601"/>
        <v>794</v>
      </c>
      <c r="AH50" s="28">
        <f t="shared" si="601"/>
        <v>58</v>
      </c>
      <c r="AI50" s="28">
        <f t="shared" si="579"/>
        <v>852</v>
      </c>
      <c r="AJ50" s="28">
        <f t="shared" si="602"/>
        <v>697</v>
      </c>
      <c r="AK50" s="28">
        <f t="shared" si="602"/>
        <v>51</v>
      </c>
      <c r="AL50" s="28">
        <f t="shared" si="582"/>
        <v>748</v>
      </c>
      <c r="AM50" s="106"/>
      <c r="AN50" s="106"/>
      <c r="AO50" s="106"/>
      <c r="AP50" s="28">
        <f t="shared" si="604"/>
        <v>697</v>
      </c>
      <c r="AQ50" s="28">
        <f t="shared" si="604"/>
        <v>51</v>
      </c>
      <c r="AR50" s="28">
        <f t="shared" si="587"/>
        <v>748</v>
      </c>
      <c r="AS50" s="117">
        <f t="shared" si="572"/>
        <v>0.87783375314861456</v>
      </c>
      <c r="AT50" s="117">
        <f t="shared" si="572"/>
        <v>0.87931034482758619</v>
      </c>
      <c r="AU50" s="117">
        <f t="shared" si="572"/>
        <v>0.8779342723004695</v>
      </c>
      <c r="AV50" s="370">
        <v>20</v>
      </c>
      <c r="AW50" s="370">
        <v>7</v>
      </c>
      <c r="AX50" s="370">
        <f t="shared" si="588"/>
        <v>27</v>
      </c>
      <c r="AY50" s="370">
        <v>14</v>
      </c>
      <c r="AZ50" s="370">
        <v>5</v>
      </c>
      <c r="BA50" s="92">
        <f t="shared" si="589"/>
        <v>19</v>
      </c>
      <c r="BB50" s="105"/>
      <c r="BC50" s="105"/>
      <c r="BD50" s="105"/>
      <c r="BE50" s="92">
        <f t="shared" si="590"/>
        <v>14</v>
      </c>
      <c r="BF50" s="92">
        <f t="shared" si="590"/>
        <v>5</v>
      </c>
      <c r="BG50" s="92">
        <f t="shared" si="590"/>
        <v>19</v>
      </c>
      <c r="BH50" s="117">
        <f t="shared" si="591"/>
        <v>0.7</v>
      </c>
      <c r="BI50" s="117">
        <f t="shared" si="591"/>
        <v>0.7142857142857143</v>
      </c>
      <c r="BJ50" s="117">
        <f t="shared" si="591"/>
        <v>0.70370370370370372</v>
      </c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98">
        <f t="shared" si="592"/>
        <v>20</v>
      </c>
      <c r="CA50" s="98">
        <f t="shared" si="592"/>
        <v>7</v>
      </c>
      <c r="CB50" s="98">
        <f t="shared" si="592"/>
        <v>27</v>
      </c>
      <c r="CC50" s="28">
        <f t="shared" si="592"/>
        <v>14</v>
      </c>
      <c r="CD50" s="28">
        <f t="shared" si="592"/>
        <v>5</v>
      </c>
      <c r="CE50" s="28">
        <f t="shared" si="592"/>
        <v>19</v>
      </c>
      <c r="CF50" s="106"/>
      <c r="CG50" s="106"/>
      <c r="CH50" s="106"/>
      <c r="CI50" s="28">
        <f t="shared" si="593"/>
        <v>14</v>
      </c>
      <c r="CJ50" s="28">
        <f t="shared" si="593"/>
        <v>5</v>
      </c>
      <c r="CK50" s="28">
        <f t="shared" si="593"/>
        <v>19</v>
      </c>
      <c r="CL50" s="117">
        <f t="shared" si="594"/>
        <v>0.7</v>
      </c>
      <c r="CM50" s="117">
        <f t="shared" si="594"/>
        <v>0.7142857142857143</v>
      </c>
      <c r="CN50" s="117">
        <f t="shared" si="594"/>
        <v>0.70370370370370372</v>
      </c>
      <c r="CO50" s="92">
        <v>10</v>
      </c>
      <c r="CP50" s="92">
        <v>2</v>
      </c>
      <c r="CQ50" s="92">
        <f>+CO50+CP50</f>
        <v>12</v>
      </c>
      <c r="CR50" s="92">
        <v>9</v>
      </c>
      <c r="CS50" s="92">
        <v>2</v>
      </c>
      <c r="CT50" s="92">
        <f>+CR50+CS50</f>
        <v>11</v>
      </c>
      <c r="CU50" s="105"/>
      <c r="CV50" s="105"/>
      <c r="CW50" s="105"/>
      <c r="CX50" s="92">
        <f t="shared" si="606"/>
        <v>9</v>
      </c>
      <c r="CY50" s="92">
        <f t="shared" si="606"/>
        <v>2</v>
      </c>
      <c r="CZ50" s="92">
        <f t="shared" si="606"/>
        <v>11</v>
      </c>
      <c r="DA50" s="117">
        <f>CX50/CO50</f>
        <v>0.9</v>
      </c>
      <c r="DB50" s="117">
        <v>0</v>
      </c>
      <c r="DC50" s="117">
        <f>CZ50/CQ50</f>
        <v>0.91666666666666663</v>
      </c>
      <c r="DD50" s="107"/>
      <c r="DE50" s="107"/>
      <c r="DF50" s="106"/>
      <c r="DG50" s="105"/>
      <c r="DH50" s="105"/>
      <c r="DI50" s="105"/>
      <c r="DJ50" s="105"/>
      <c r="DK50" s="105"/>
      <c r="DL50" s="105"/>
      <c r="DM50" s="105"/>
      <c r="DN50" s="105"/>
      <c r="DO50" s="105"/>
      <c r="DP50" s="112"/>
      <c r="DQ50" s="112"/>
      <c r="DR50" s="112"/>
      <c r="DS50" s="98">
        <f t="shared" si="614"/>
        <v>10</v>
      </c>
      <c r="DT50" s="98">
        <f t="shared" si="614"/>
        <v>2</v>
      </c>
      <c r="DU50" s="28">
        <f t="shared" si="614"/>
        <v>12</v>
      </c>
      <c r="DV50" s="28">
        <f t="shared" si="614"/>
        <v>9</v>
      </c>
      <c r="DW50" s="28">
        <f t="shared" si="614"/>
        <v>2</v>
      </c>
      <c r="DX50" s="28">
        <f t="shared" si="614"/>
        <v>11</v>
      </c>
      <c r="DY50" s="106"/>
      <c r="DZ50" s="106"/>
      <c r="EA50" s="106"/>
      <c r="EB50" s="28">
        <f t="shared" si="615"/>
        <v>9</v>
      </c>
      <c r="EC50" s="28">
        <f t="shared" si="615"/>
        <v>2</v>
      </c>
      <c r="ED50" s="28">
        <f t="shared" si="615"/>
        <v>11</v>
      </c>
      <c r="EE50" s="117">
        <f>EB50/DS50</f>
        <v>0.9</v>
      </c>
      <c r="EF50" s="117">
        <v>0</v>
      </c>
      <c r="EG50" s="117">
        <f>ED50/DU50</f>
        <v>0.91666666666666663</v>
      </c>
      <c r="EH50" s="28">
        <f t="shared" si="573"/>
        <v>697</v>
      </c>
      <c r="EI50" s="28">
        <f t="shared" si="573"/>
        <v>51</v>
      </c>
      <c r="EJ50" s="28">
        <f t="shared" si="595"/>
        <v>748</v>
      </c>
      <c r="EK50" s="32">
        <v>145</v>
      </c>
      <c r="EL50" s="32">
        <v>13</v>
      </c>
      <c r="EM50" s="28">
        <f>EK50+EL50</f>
        <v>158</v>
      </c>
      <c r="EN50" s="100">
        <f t="shared" si="611"/>
        <v>20.803443328550934</v>
      </c>
      <c r="EO50" s="93">
        <f t="shared" si="611"/>
        <v>25.490196078431371</v>
      </c>
      <c r="EP50" s="93">
        <f t="shared" si="611"/>
        <v>21.122994652406415</v>
      </c>
      <c r="EQ50" s="28">
        <f t="shared" si="598"/>
        <v>14</v>
      </c>
      <c r="ER50" s="28">
        <f t="shared" si="598"/>
        <v>5</v>
      </c>
      <c r="ES50" s="28">
        <f t="shared" si="598"/>
        <v>19</v>
      </c>
      <c r="ET50" s="108"/>
      <c r="EU50" s="108"/>
      <c r="EV50" s="106"/>
      <c r="EW50" s="109"/>
      <c r="EX50" s="109"/>
      <c r="EY50" s="109"/>
      <c r="EZ50" s="28">
        <f t="shared" si="610"/>
        <v>9</v>
      </c>
      <c r="FA50" s="28">
        <f t="shared" si="610"/>
        <v>2</v>
      </c>
      <c r="FB50" s="28">
        <f t="shared" si="610"/>
        <v>11</v>
      </c>
      <c r="FC50" s="109"/>
      <c r="FD50" s="109"/>
      <c r="FE50" s="109"/>
      <c r="FF50" s="109"/>
      <c r="FG50" s="109"/>
      <c r="FH50" s="109"/>
    </row>
    <row r="51" spans="1:164" s="355" customFormat="1" ht="27" customHeight="1">
      <c r="A51" s="453" t="s">
        <v>3</v>
      </c>
      <c r="B51" s="453"/>
      <c r="C51" s="352">
        <f>SUM(C9:C50)</f>
        <v>9473929</v>
      </c>
      <c r="D51" s="352">
        <f t="shared" ref="D51:N51" si="618">SUM(D9:D50)</f>
        <v>8406084</v>
      </c>
      <c r="E51" s="352">
        <f t="shared" si="618"/>
        <v>17880013</v>
      </c>
      <c r="F51" s="352">
        <f t="shared" si="618"/>
        <v>7220469</v>
      </c>
      <c r="G51" s="352">
        <f t="shared" si="618"/>
        <v>6568497</v>
      </c>
      <c r="H51" s="352">
        <f t="shared" si="618"/>
        <v>13788966</v>
      </c>
      <c r="I51" s="352">
        <f t="shared" si="618"/>
        <v>284959</v>
      </c>
      <c r="J51" s="352">
        <f t="shared" si="618"/>
        <v>223649</v>
      </c>
      <c r="K51" s="352">
        <f t="shared" si="618"/>
        <v>508608</v>
      </c>
      <c r="L51" s="352">
        <f t="shared" si="618"/>
        <v>7505428</v>
      </c>
      <c r="M51" s="352">
        <f t="shared" si="618"/>
        <v>6792146</v>
      </c>
      <c r="N51" s="352">
        <f t="shared" si="618"/>
        <v>14297574</v>
      </c>
      <c r="O51" s="353">
        <f t="shared" ref="O51" si="619">L51/C51</f>
        <v>0.79221915215957395</v>
      </c>
      <c r="P51" s="353">
        <f t="shared" ref="P51" si="620">M51/D51</f>
        <v>0.80800358407077544</v>
      </c>
      <c r="Q51" s="353">
        <f t="shared" ref="Q51" si="621">N51/E51</f>
        <v>0.79964002263309319</v>
      </c>
      <c r="R51" s="352">
        <f>SUM(R9:R50)</f>
        <v>874950</v>
      </c>
      <c r="S51" s="352">
        <f t="shared" ref="S51" si="622">SUM(S9:S50)</f>
        <v>574325</v>
      </c>
      <c r="T51" s="352">
        <f t="shared" ref="T51" si="623">SUM(T9:T50)</f>
        <v>1449275</v>
      </c>
      <c r="U51" s="352">
        <f t="shared" ref="U51" si="624">SUM(U9:U50)</f>
        <v>342533</v>
      </c>
      <c r="V51" s="352">
        <f t="shared" ref="V51" si="625">SUM(V9:V50)</f>
        <v>192857</v>
      </c>
      <c r="W51" s="352">
        <f t="shared" ref="W51" si="626">SUM(W9:W50)</f>
        <v>535390</v>
      </c>
      <c r="X51" s="352">
        <f t="shared" ref="X51" si="627">SUM(X9:X50)</f>
        <v>27146</v>
      </c>
      <c r="Y51" s="352">
        <f t="shared" ref="Y51" si="628">SUM(Y9:Y50)</f>
        <v>23986</v>
      </c>
      <c r="Z51" s="352">
        <f t="shared" ref="Z51" si="629">SUM(Z9:Z50)</f>
        <v>51132</v>
      </c>
      <c r="AA51" s="352">
        <f t="shared" ref="AA51" si="630">SUM(AA9:AA50)</f>
        <v>369679</v>
      </c>
      <c r="AB51" s="352">
        <f t="shared" ref="AB51" si="631">SUM(AB9:AB50)</f>
        <v>216843</v>
      </c>
      <c r="AC51" s="352">
        <f t="shared" ref="AC51" si="632">SUM(AC9:AC50)</f>
        <v>586522</v>
      </c>
      <c r="AD51" s="353">
        <f t="shared" ref="AD51" si="633">AA51/R51</f>
        <v>0.42251442939596551</v>
      </c>
      <c r="AE51" s="353">
        <f t="shared" ref="AE51" si="634">AB51/S51</f>
        <v>0.37756148522178207</v>
      </c>
      <c r="AF51" s="353">
        <f t="shared" ref="AF51" si="635">AC51/T51</f>
        <v>0.40470028117507029</v>
      </c>
      <c r="AG51" s="352">
        <f>SUM(AG9:AG50)</f>
        <v>10348879</v>
      </c>
      <c r="AH51" s="352">
        <f t="shared" ref="AH51" si="636">SUM(AH9:AH50)</f>
        <v>8980409</v>
      </c>
      <c r="AI51" s="352">
        <f t="shared" ref="AI51" si="637">SUM(AI9:AI50)</f>
        <v>19329288</v>
      </c>
      <c r="AJ51" s="352">
        <f t="shared" ref="AJ51" si="638">SUM(AJ9:AJ50)</f>
        <v>7563002</v>
      </c>
      <c r="AK51" s="352">
        <f t="shared" ref="AK51" si="639">SUM(AK9:AK50)</f>
        <v>6761354</v>
      </c>
      <c r="AL51" s="352">
        <f t="shared" ref="AL51" si="640">SUM(AL9:AL50)</f>
        <v>14324356</v>
      </c>
      <c r="AM51" s="352">
        <f t="shared" ref="AM51" si="641">SUM(AM9:AM50)</f>
        <v>312105</v>
      </c>
      <c r="AN51" s="352">
        <f t="shared" ref="AN51" si="642">SUM(AN9:AN50)</f>
        <v>247635</v>
      </c>
      <c r="AO51" s="352">
        <f t="shared" ref="AO51" si="643">SUM(AO9:AO50)</f>
        <v>559740</v>
      </c>
      <c r="AP51" s="352">
        <f t="shared" ref="AP51" si="644">SUM(AP9:AP50)</f>
        <v>7875107</v>
      </c>
      <c r="AQ51" s="352">
        <f t="shared" ref="AQ51" si="645">SUM(AQ9:AQ50)</f>
        <v>7008989</v>
      </c>
      <c r="AR51" s="352">
        <f t="shared" ref="AR51" si="646">SUM(AR9:AR50)</f>
        <v>14884096</v>
      </c>
      <c r="AS51" s="353">
        <f t="shared" ref="AS51" si="647">AP51/AG51</f>
        <v>0.76096232258585683</v>
      </c>
      <c r="AT51" s="353">
        <f t="shared" ref="AT51" si="648">AQ51/AH51</f>
        <v>0.78047547723049138</v>
      </c>
      <c r="AU51" s="353">
        <f t="shared" ref="AU51" si="649">AR51/AI51</f>
        <v>0.77002815623627729</v>
      </c>
      <c r="AV51" s="352">
        <f>SUM(AV9:AV50)</f>
        <v>1672890</v>
      </c>
      <c r="AW51" s="352">
        <f t="shared" ref="AW51" si="650">SUM(AW9:AW50)</f>
        <v>1519410</v>
      </c>
      <c r="AX51" s="352">
        <f t="shared" ref="AX51" si="651">SUM(AX9:AX50)</f>
        <v>3192300</v>
      </c>
      <c r="AY51" s="352">
        <f t="shared" ref="AY51" si="652">SUM(AY9:AY50)</f>
        <v>1161922</v>
      </c>
      <c r="AZ51" s="352">
        <f t="shared" ref="AZ51" si="653">SUM(AZ9:AZ50)</f>
        <v>1088896</v>
      </c>
      <c r="BA51" s="352">
        <f t="shared" ref="BA51" si="654">SUM(BA9:BA50)</f>
        <v>2250818</v>
      </c>
      <c r="BB51" s="352">
        <f t="shared" ref="BB51" si="655">SUM(BB9:BB50)</f>
        <v>54262</v>
      </c>
      <c r="BC51" s="352">
        <f t="shared" ref="BC51" si="656">SUM(BC9:BC50)</f>
        <v>45125</v>
      </c>
      <c r="BD51" s="352">
        <f t="shared" ref="BD51" si="657">SUM(BD9:BD50)</f>
        <v>99387</v>
      </c>
      <c r="BE51" s="352">
        <f t="shared" ref="BE51" si="658">SUM(BE9:BE50)</f>
        <v>1216184</v>
      </c>
      <c r="BF51" s="352">
        <f t="shared" ref="BF51" si="659">SUM(BF9:BF50)</f>
        <v>1134021</v>
      </c>
      <c r="BG51" s="352">
        <f t="shared" ref="BG51" si="660">SUM(BG9:BG50)</f>
        <v>2350205</v>
      </c>
      <c r="BH51" s="353">
        <f t="shared" ref="BH51" si="661">BE51/AV51</f>
        <v>0.7269957976914202</v>
      </c>
      <c r="BI51" s="353">
        <f t="shared" ref="BI51" si="662">BF51/AW51</f>
        <v>0.74635615140087275</v>
      </c>
      <c r="BJ51" s="353">
        <f t="shared" ref="BJ51" si="663">BG51/AX51</f>
        <v>0.73621056918209438</v>
      </c>
      <c r="BK51" s="352">
        <f>SUM(BK9:BK50)</f>
        <v>148829</v>
      </c>
      <c r="BL51" s="352">
        <f t="shared" ref="BL51" si="664">SUM(BL9:BL50)</f>
        <v>99651</v>
      </c>
      <c r="BM51" s="352">
        <f t="shared" ref="BM51" si="665">SUM(BM9:BM50)</f>
        <v>248480</v>
      </c>
      <c r="BN51" s="352">
        <f t="shared" ref="BN51" si="666">SUM(BN9:BN50)</f>
        <v>47334</v>
      </c>
      <c r="BO51" s="352">
        <f t="shared" ref="BO51" si="667">SUM(BO9:BO50)</f>
        <v>24895</v>
      </c>
      <c r="BP51" s="352">
        <f t="shared" ref="BP51" si="668">SUM(BP9:BP50)</f>
        <v>72229</v>
      </c>
      <c r="BQ51" s="352">
        <f t="shared" ref="BQ51" si="669">SUM(BQ9:BQ50)</f>
        <v>5268</v>
      </c>
      <c r="BR51" s="352">
        <f t="shared" ref="BR51" si="670">SUM(BR9:BR50)</f>
        <v>4681</v>
      </c>
      <c r="BS51" s="352">
        <f t="shared" ref="BS51" si="671">SUM(BS9:BS50)</f>
        <v>9949</v>
      </c>
      <c r="BT51" s="352">
        <f t="shared" ref="BT51" si="672">SUM(BT9:BT50)</f>
        <v>52602</v>
      </c>
      <c r="BU51" s="352">
        <f t="shared" ref="BU51" si="673">SUM(BU9:BU50)</f>
        <v>29576</v>
      </c>
      <c r="BV51" s="352">
        <f t="shared" ref="BV51" si="674">SUM(BV9:BV50)</f>
        <v>82178</v>
      </c>
      <c r="BW51" s="353">
        <f t="shared" ref="BW51" si="675">BT51/BK51</f>
        <v>0.35343918187987555</v>
      </c>
      <c r="BX51" s="353">
        <f t="shared" ref="BX51" si="676">BU51/BL51</f>
        <v>0.29679581740273553</v>
      </c>
      <c r="BY51" s="353">
        <f t="shared" ref="BY51" si="677">BV51/BM51</f>
        <v>0.33072279459111398</v>
      </c>
      <c r="BZ51" s="352">
        <f>SUM(BZ9:BZ50)</f>
        <v>1821719</v>
      </c>
      <c r="CA51" s="352">
        <f t="shared" ref="CA51" si="678">SUM(CA9:CA50)</f>
        <v>1619061</v>
      </c>
      <c r="CB51" s="352">
        <f t="shared" ref="CB51" si="679">SUM(CB9:CB50)</f>
        <v>3440780</v>
      </c>
      <c r="CC51" s="352">
        <f t="shared" ref="CC51" si="680">SUM(CC9:CC50)</f>
        <v>1209256</v>
      </c>
      <c r="CD51" s="352">
        <f t="shared" ref="CD51" si="681">SUM(CD9:CD50)</f>
        <v>1113791</v>
      </c>
      <c r="CE51" s="352">
        <f t="shared" ref="CE51" si="682">SUM(CE9:CE50)</f>
        <v>2323047</v>
      </c>
      <c r="CF51" s="352">
        <f t="shared" ref="CF51" si="683">SUM(CF9:CF50)</f>
        <v>59530</v>
      </c>
      <c r="CG51" s="352">
        <f t="shared" ref="CG51" si="684">SUM(CG9:CG50)</f>
        <v>49806</v>
      </c>
      <c r="CH51" s="352">
        <f t="shared" ref="CH51" si="685">SUM(CH9:CH50)</f>
        <v>109336</v>
      </c>
      <c r="CI51" s="352">
        <f t="shared" ref="CI51" si="686">SUM(CI9:CI50)</f>
        <v>1268786</v>
      </c>
      <c r="CJ51" s="352">
        <f t="shared" ref="CJ51" si="687">SUM(CJ9:CJ50)</f>
        <v>1163597</v>
      </c>
      <c r="CK51" s="352">
        <f t="shared" ref="CK51" si="688">SUM(CK9:CK50)</f>
        <v>2432383</v>
      </c>
      <c r="CL51" s="353">
        <f t="shared" ref="CL51" si="689">CI51/BZ51</f>
        <v>0.69647733816247182</v>
      </c>
      <c r="CM51" s="353">
        <f t="shared" ref="CM51" si="690">CJ51/CA51</f>
        <v>0.7186863249747848</v>
      </c>
      <c r="CN51" s="353">
        <f t="shared" ref="CN51" si="691">CK51/CB51</f>
        <v>0.70692778962909575</v>
      </c>
      <c r="CO51" s="352">
        <f>SUM(CO9:CO50)</f>
        <v>678660</v>
      </c>
      <c r="CP51" s="352">
        <f t="shared" ref="CP51" si="692">SUM(CP9:CP50)</f>
        <v>666005</v>
      </c>
      <c r="CQ51" s="352">
        <f t="shared" ref="CQ51" si="693">SUM(CQ9:CQ50)</f>
        <v>1344665</v>
      </c>
      <c r="CR51" s="352">
        <f t="shared" ref="CR51" si="694">SUM(CR9:CR50)</f>
        <v>458422</v>
      </c>
      <c r="CS51" s="352">
        <f t="shared" ref="CS51" si="695">SUM(CS9:CS50)</f>
        <v>444348</v>
      </c>
      <c r="CT51" s="352">
        <f t="shared" ref="CT51" si="696">SUM(CT9:CT50)</f>
        <v>902770</v>
      </c>
      <c r="CU51" s="352">
        <f t="shared" ref="CU51" si="697">SUM(CU9:CU50)</f>
        <v>28361</v>
      </c>
      <c r="CV51" s="352">
        <f t="shared" ref="CV51" si="698">SUM(CV9:CV50)</f>
        <v>29089</v>
      </c>
      <c r="CW51" s="352">
        <f t="shared" ref="CW51" si="699">SUM(CW9:CW50)</f>
        <v>57450</v>
      </c>
      <c r="CX51" s="352">
        <f t="shared" ref="CX51" si="700">SUM(CX9:CX50)</f>
        <v>486783</v>
      </c>
      <c r="CY51" s="352">
        <f t="shared" ref="CY51" si="701">SUM(CY9:CY50)</f>
        <v>473437</v>
      </c>
      <c r="CZ51" s="352">
        <f t="shared" ref="CZ51" si="702">SUM(CZ9:CZ50)</f>
        <v>960220</v>
      </c>
      <c r="DA51" s="353">
        <f>CX51/CO51</f>
        <v>0.71727079833790119</v>
      </c>
      <c r="DB51" s="353">
        <f t="shared" ref="DB51" si="703">CY51/CP51</f>
        <v>0.71086102957185004</v>
      </c>
      <c r="DC51" s="353">
        <f t="shared" ref="DC51" si="704">CZ51/CQ51</f>
        <v>0.71409607597431335</v>
      </c>
      <c r="DD51" s="352">
        <f>SUM(DD9:DD50)</f>
        <v>81992</v>
      </c>
      <c r="DE51" s="352">
        <f t="shared" ref="DE51" si="705">SUM(DE9:DE50)</f>
        <v>68453</v>
      </c>
      <c r="DF51" s="352">
        <f t="shared" ref="DF51" si="706">SUM(DF9:DF50)</f>
        <v>150445</v>
      </c>
      <c r="DG51" s="352">
        <f t="shared" ref="DG51" si="707">SUM(DG9:DG50)</f>
        <v>19710</v>
      </c>
      <c r="DH51" s="352">
        <f t="shared" ref="DH51" si="708">SUM(DH9:DH50)</f>
        <v>15859</v>
      </c>
      <c r="DI51" s="352">
        <f t="shared" ref="DI51" si="709">SUM(DI9:DI50)</f>
        <v>35569</v>
      </c>
      <c r="DJ51" s="352">
        <f t="shared" ref="DJ51" si="710">SUM(DJ9:DJ50)</f>
        <v>4483</v>
      </c>
      <c r="DK51" s="352">
        <f t="shared" ref="DK51" si="711">SUM(DK9:DK50)</f>
        <v>3849</v>
      </c>
      <c r="DL51" s="352">
        <f t="shared" ref="DL51" si="712">SUM(DL9:DL50)</f>
        <v>8332</v>
      </c>
      <c r="DM51" s="352">
        <f t="shared" ref="DM51" si="713">SUM(DM9:DM50)</f>
        <v>24193</v>
      </c>
      <c r="DN51" s="352">
        <f t="shared" ref="DN51" si="714">SUM(DN9:DN50)</f>
        <v>19708</v>
      </c>
      <c r="DO51" s="352">
        <f t="shared" ref="DO51" si="715">SUM(DO9:DO50)</f>
        <v>43901</v>
      </c>
      <c r="DP51" s="120">
        <f t="shared" ref="DP51" si="716">DM51/DD51</f>
        <v>0.2950653722314372</v>
      </c>
      <c r="DQ51" s="120">
        <f t="shared" ref="DQ51" si="717">DN51/DE51</f>
        <v>0.2879055702452778</v>
      </c>
      <c r="DR51" s="120">
        <f t="shared" ref="DR51" si="718">DO51/DF51</f>
        <v>0.29180763734255044</v>
      </c>
      <c r="DS51" s="352">
        <f t="shared" ref="DS51" si="719">SUM(DS9:DS50)</f>
        <v>760652</v>
      </c>
      <c r="DT51" s="352">
        <f t="shared" ref="DT51" si="720">SUM(DT9:DT50)</f>
        <v>734458</v>
      </c>
      <c r="DU51" s="352">
        <f t="shared" ref="DU51" si="721">SUM(DU9:DU50)</f>
        <v>1495110</v>
      </c>
      <c r="DV51" s="352">
        <f t="shared" ref="DV51" si="722">SUM(DV9:DV50)</f>
        <v>478132</v>
      </c>
      <c r="DW51" s="352">
        <f t="shared" ref="DW51" si="723">SUM(DW9:DW50)</f>
        <v>460207</v>
      </c>
      <c r="DX51" s="352">
        <f t="shared" ref="DX51" si="724">SUM(DX9:DX50)</f>
        <v>938339</v>
      </c>
      <c r="DY51" s="352">
        <f t="shared" ref="DY51" si="725">SUM(DY9:DY50)</f>
        <v>32844</v>
      </c>
      <c r="DZ51" s="352">
        <f t="shared" ref="DZ51" si="726">SUM(DZ9:DZ50)</f>
        <v>32938</v>
      </c>
      <c r="EA51" s="352">
        <f t="shared" ref="EA51" si="727">SUM(EA9:EA50)</f>
        <v>65782</v>
      </c>
      <c r="EB51" s="352">
        <f t="shared" ref="EB51" si="728">SUM(EB9:EB50)</f>
        <v>510976</v>
      </c>
      <c r="EC51" s="352">
        <f t="shared" ref="EC51" si="729">SUM(EC9:EC50)</f>
        <v>493145</v>
      </c>
      <c r="ED51" s="352">
        <f t="shared" ref="ED51" si="730">SUM(ED9:ED50)</f>
        <v>1004121</v>
      </c>
      <c r="EE51" s="353">
        <f t="shared" ref="EE51" si="731">EB51/DS51</f>
        <v>0.67176054227163018</v>
      </c>
      <c r="EF51" s="353">
        <f t="shared" ref="EF51" si="732">EC51/DT51</f>
        <v>0.67144070865862993</v>
      </c>
      <c r="EG51" s="353">
        <f t="shared" ref="EG51" si="733">ED51/DU51</f>
        <v>0.67160342717258259</v>
      </c>
      <c r="EH51" s="352">
        <f t="shared" ref="EH51" si="734">SUM(EH9:EH50)</f>
        <v>7875107</v>
      </c>
      <c r="EI51" s="352">
        <f t="shared" ref="EI51" si="735">SUM(EI9:EI50)</f>
        <v>7008989</v>
      </c>
      <c r="EJ51" s="352">
        <f t="shared" ref="EJ51" si="736">SUM(EJ9:EJ50)</f>
        <v>14882162</v>
      </c>
      <c r="EK51" s="352">
        <f t="shared" ref="EK51" si="737">SUM(EK9:EK50)</f>
        <v>3955621</v>
      </c>
      <c r="EL51" s="352">
        <f t="shared" ref="EL51" si="738">SUM(EL9:EL50)</f>
        <v>3777318</v>
      </c>
      <c r="EM51" s="352">
        <f t="shared" ref="EM51" si="739">SUM(EM9:EM50)</f>
        <v>7925788</v>
      </c>
      <c r="EN51" s="350">
        <f t="shared" ref="EN51" si="740">+EK51*100/EH51</f>
        <v>50.229425454155731</v>
      </c>
      <c r="EO51" s="351">
        <f t="shared" ref="EO51" si="741">+EL51*100/EI51</f>
        <v>53.892480070948892</v>
      </c>
      <c r="EP51" s="351">
        <f t="shared" ref="EP51" si="742">+EM51*100/EJ51</f>
        <v>53.256966292935125</v>
      </c>
      <c r="EQ51" s="352">
        <f t="shared" ref="EQ51" si="743">SUM(EQ9:EQ50)</f>
        <v>1268786</v>
      </c>
      <c r="ER51" s="352">
        <f t="shared" ref="ER51" si="744">SUM(ER9:ER50)</f>
        <v>1163597</v>
      </c>
      <c r="ES51" s="352">
        <f t="shared" ref="ES51" si="745">SUM(ES9:ES50)</f>
        <v>2432383</v>
      </c>
      <c r="ET51" s="352">
        <f t="shared" ref="ET51" si="746">SUM(ET9:ET50)</f>
        <v>555688</v>
      </c>
      <c r="EU51" s="352">
        <f t="shared" ref="EU51" si="747">SUM(EU9:EU50)</f>
        <v>563305</v>
      </c>
      <c r="EV51" s="352">
        <f t="shared" ref="EV51" si="748">SUM(EV9:EV50)</f>
        <v>1123350</v>
      </c>
      <c r="EW51" s="354">
        <f t="shared" ref="EW51" si="749">+ET51*100/EQ51</f>
        <v>43.796826257540673</v>
      </c>
      <c r="EX51" s="354">
        <f t="shared" ref="EX51" si="750">+EU51*100/ER51</f>
        <v>48.410661079394323</v>
      </c>
      <c r="EY51" s="354">
        <f t="shared" ref="EY51" si="751">+EV51*100/ES51</f>
        <v>46.183105209993656</v>
      </c>
      <c r="EZ51" s="352">
        <f t="shared" ref="EZ51" si="752">SUM(EZ9:EZ50)</f>
        <v>510976</v>
      </c>
      <c r="FA51" s="352">
        <f t="shared" ref="FA51" si="753">SUM(FA9:FA50)</f>
        <v>493145</v>
      </c>
      <c r="FB51" s="352">
        <f t="shared" ref="FB51" si="754">SUM(FB9:FB50)</f>
        <v>1004121</v>
      </c>
      <c r="FC51" s="352">
        <f t="shared" ref="FC51" si="755">SUM(FC9:FC50)</f>
        <v>154818</v>
      </c>
      <c r="FD51" s="352">
        <f t="shared" ref="FD51" si="756">SUM(FD9:FD50)</f>
        <v>148363</v>
      </c>
      <c r="FE51" s="352">
        <f t="shared" ref="FE51" si="757">SUM(FE9:FE50)</f>
        <v>303575</v>
      </c>
      <c r="FF51" s="354">
        <f t="shared" ref="FF51" si="758">+FC51*100/EZ51</f>
        <v>30.298487600200399</v>
      </c>
      <c r="FG51" s="354">
        <f t="shared" ref="FG51" si="759">+FD51*100/FA51</f>
        <v>30.085066258402701</v>
      </c>
      <c r="FH51" s="354">
        <f t="shared" ref="FH51" si="760">+FE51*100/FB51</f>
        <v>30.232910177159923</v>
      </c>
    </row>
    <row r="52" spans="1:164">
      <c r="C52" s="479" t="s">
        <v>278</v>
      </c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121" t="str">
        <f>+C52</f>
        <v>** Figures pertains to 'ALIM' and 'High Madarsa' as both are equivalent to High School Examination.</v>
      </c>
      <c r="AG52" s="121" t="str">
        <f>+R52</f>
        <v>** Figures pertains to 'ALIM' and 'High Madarsa' as both are equivalent to High School Examination.</v>
      </c>
      <c r="AV52" s="121" t="str">
        <f>+AG52</f>
        <v>** Figures pertains to 'ALIM' and 'High Madarsa' as both are equivalent to High School Examination.</v>
      </c>
      <c r="BK52" s="121" t="str">
        <f>+AV52</f>
        <v>** Figures pertains to 'ALIM' and 'High Madarsa' as both are equivalent to High School Examination.</v>
      </c>
      <c r="BZ52" s="121" t="str">
        <f>+BK52</f>
        <v>** Figures pertains to 'ALIM' and 'High Madarsa' as both are equivalent to High School Examination.</v>
      </c>
      <c r="CO52" s="121" t="str">
        <f>+BZ52</f>
        <v>** Figures pertains to 'ALIM' and 'High Madarsa' as both are equivalent to High School Examination.</v>
      </c>
      <c r="DD52" s="121" t="str">
        <f>+CO52</f>
        <v>** Figures pertains to 'ALIM' and 'High Madarsa' as both are equivalent to High School Examination.</v>
      </c>
      <c r="DS52" s="121" t="str">
        <f>+DD52</f>
        <v>** Figures pertains to 'ALIM' and 'High Madarsa' as both are equivalent to High School Examination.</v>
      </c>
      <c r="EH52" s="121" t="str">
        <f>+DS52</f>
        <v>** Figures pertains to 'ALIM' and 'High Madarsa' as both are equivalent to High School Examination.</v>
      </c>
      <c r="EQ52" s="121" t="str">
        <f>DS52</f>
        <v>** Figures pertains to 'ALIM' and 'High Madarsa' as both are equivalent to High School Examination.</v>
      </c>
      <c r="EZ52" s="121" t="str">
        <f>EQ52</f>
        <v>** Figures pertains to 'ALIM' and 'High Madarsa' as both are equivalent to High School Examination.</v>
      </c>
    </row>
    <row r="53" spans="1:164">
      <c r="C53" s="479" t="s">
        <v>248</v>
      </c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79"/>
      <c r="O53" s="479"/>
      <c r="P53" s="479"/>
      <c r="Q53" s="479"/>
      <c r="R53" s="121" t="str">
        <f>+C53</f>
        <v># The Institute is mainly meant for Women, Boys enrolment pertains to wards of the staff.</v>
      </c>
      <c r="AG53" s="121" t="str">
        <f>+R53</f>
        <v># The Institute is mainly meant for Women, Boys enrolment pertains to wards of the staff.</v>
      </c>
      <c r="AV53" s="121" t="str">
        <f>+AG53</f>
        <v># The Institute is mainly meant for Women, Boys enrolment pertains to wards of the staff.</v>
      </c>
      <c r="BK53" s="121" t="str">
        <f>+AV53</f>
        <v># The Institute is mainly meant for Women, Boys enrolment pertains to wards of the staff.</v>
      </c>
      <c r="BZ53" s="121" t="str">
        <f>+BK53</f>
        <v># The Institute is mainly meant for Women, Boys enrolment pertains to wards of the staff.</v>
      </c>
      <c r="CO53" s="121" t="str">
        <f>+BZ53</f>
        <v># The Institute is mainly meant for Women, Boys enrolment pertains to wards of the staff.</v>
      </c>
      <c r="DD53" s="121" t="str">
        <f>+CO53</f>
        <v># The Institute is mainly meant for Women, Boys enrolment pertains to wards of the staff.</v>
      </c>
      <c r="DS53" s="121" t="str">
        <f>+DD53</f>
        <v># The Institute is mainly meant for Women, Boys enrolment pertains to wards of the staff.</v>
      </c>
      <c r="EH53" s="121" t="str">
        <f>+DS53</f>
        <v># The Institute is mainly meant for Women, Boys enrolment pertains to wards of the staff.</v>
      </c>
      <c r="EQ53" s="121" t="str">
        <f t="shared" ref="EQ53:EQ55" si="761">DS53</f>
        <v># The Institute is mainly meant for Women, Boys enrolment pertains to wards of the staff.</v>
      </c>
      <c r="EZ53" s="121" t="str">
        <f t="shared" ref="EZ53:EZ55" si="762">EQ53</f>
        <v># The Institute is mainly meant for Women, Boys enrolment pertains to wards of the staff.</v>
      </c>
    </row>
    <row r="54" spans="1:164">
      <c r="C54" s="479" t="s">
        <v>228</v>
      </c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121" t="str">
        <f>+C54</f>
        <v>Black cell indicates that either system does not exist or information is not available.</v>
      </c>
      <c r="AG54" s="121" t="str">
        <f>+R54</f>
        <v>Black cell indicates that either system does not exist or information is not available.</v>
      </c>
      <c r="AV54" s="121" t="str">
        <f>+AG54</f>
        <v>Black cell indicates that either system does not exist or information is not available.</v>
      </c>
      <c r="BK54" s="121" t="str">
        <f>+AV54</f>
        <v>Black cell indicates that either system does not exist or information is not available.</v>
      </c>
      <c r="BZ54" s="121" t="str">
        <f>+BK54</f>
        <v>Black cell indicates that either system does not exist or information is not available.</v>
      </c>
      <c r="CO54" s="121" t="str">
        <f>+BZ54</f>
        <v>Black cell indicates that either system does not exist or information is not available.</v>
      </c>
      <c r="DD54" s="121" t="str">
        <f>+CO54</f>
        <v>Black cell indicates that either system does not exist or information is not available.</v>
      </c>
      <c r="DS54" s="121" t="str">
        <f>+DD54</f>
        <v>Black cell indicates that either system does not exist or information is not available.</v>
      </c>
      <c r="EH54" s="121" t="str">
        <f>+DS54</f>
        <v>Black cell indicates that either system does not exist or information is not available.</v>
      </c>
      <c r="EQ54" s="121" t="str">
        <f t="shared" si="761"/>
        <v>Black cell indicates that either system does not exist or information is not available.</v>
      </c>
      <c r="EZ54" s="121" t="str">
        <f t="shared" si="762"/>
        <v>Black cell indicates that either system does not exist or information is not available.</v>
      </c>
    </row>
    <row r="55" spans="1:164">
      <c r="C55" s="479" t="s">
        <v>317</v>
      </c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121" t="str">
        <f>+C55</f>
        <v>@ Data is provisional.</v>
      </c>
      <c r="AG55" s="121" t="str">
        <f>+R55</f>
        <v>@ Data is provisional.</v>
      </c>
      <c r="AV55" s="121" t="str">
        <f>+AG55</f>
        <v>@ Data is provisional.</v>
      </c>
      <c r="BK55" s="121" t="str">
        <f>+AV55</f>
        <v>@ Data is provisional.</v>
      </c>
      <c r="BZ55" s="121" t="str">
        <f>+BK55</f>
        <v>@ Data is provisional.</v>
      </c>
      <c r="CO55" s="121" t="str">
        <f>+BZ55</f>
        <v>@ Data is provisional.</v>
      </c>
      <c r="DD55" s="121" t="str">
        <f>+CO55</f>
        <v>@ Data is provisional.</v>
      </c>
      <c r="DS55" s="121" t="str">
        <f>+DD55</f>
        <v>@ Data is provisional.</v>
      </c>
      <c r="EH55" s="121" t="str">
        <f>+DS55</f>
        <v>@ Data is provisional.</v>
      </c>
      <c r="EQ55" s="121" t="str">
        <f t="shared" si="761"/>
        <v>@ Data is provisional.</v>
      </c>
      <c r="EZ55" s="121" t="str">
        <f t="shared" si="762"/>
        <v>@ Data is provisional.</v>
      </c>
    </row>
    <row r="56" spans="1:164"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/>
      <c r="O56"/>
      <c r="P56"/>
      <c r="Q56"/>
    </row>
    <row r="61" spans="1:164" ht="15.75">
      <c r="AG61" s="139"/>
      <c r="AH61" s="139"/>
      <c r="AI61" s="139"/>
    </row>
    <row r="62" spans="1:164" ht="15.75">
      <c r="AG62" s="139"/>
      <c r="AH62" s="139"/>
      <c r="AI62" s="139"/>
    </row>
    <row r="63" spans="1:164" ht="15.75">
      <c r="AG63" s="139"/>
      <c r="AH63" s="139"/>
      <c r="AI63" s="139"/>
    </row>
  </sheetData>
  <mergeCells count="119">
    <mergeCell ref="C55:Q55"/>
    <mergeCell ref="FC5:FE5"/>
    <mergeCell ref="FF5:FH5"/>
    <mergeCell ref="EQ2:EY2"/>
    <mergeCell ref="EZ2:FH2"/>
    <mergeCell ref="EH3:EJ5"/>
    <mergeCell ref="EK3:EM4"/>
    <mergeCell ref="EN3:EP4"/>
    <mergeCell ref="EQ3:ES5"/>
    <mergeCell ref="ET3:EV4"/>
    <mergeCell ref="EW3:EY4"/>
    <mergeCell ref="EZ3:FB5"/>
    <mergeCell ref="FC3:FE4"/>
    <mergeCell ref="FF3:FH4"/>
    <mergeCell ref="EK5:EM5"/>
    <mergeCell ref="EN5:EP5"/>
    <mergeCell ref="ET5:EV5"/>
    <mergeCell ref="EW5:EY5"/>
    <mergeCell ref="DD3:DO3"/>
    <mergeCell ref="BH3:BJ5"/>
    <mergeCell ref="BK3:BV3"/>
    <mergeCell ref="BN5:BP5"/>
    <mergeCell ref="BQ5:BS5"/>
    <mergeCell ref="BT5:BV5"/>
    <mergeCell ref="BE5:BG5"/>
    <mergeCell ref="CO1:DC1"/>
    <mergeCell ref="DD1:DR1"/>
    <mergeCell ref="DS1:EG1"/>
    <mergeCell ref="DP3:DR5"/>
    <mergeCell ref="DS3:ED3"/>
    <mergeCell ref="EE3:EG5"/>
    <mergeCell ref="DA3:DC5"/>
    <mergeCell ref="EB5:ED5"/>
    <mergeCell ref="DV5:DX5"/>
    <mergeCell ref="DY5:EA5"/>
    <mergeCell ref="DS4:DU5"/>
    <mergeCell ref="DV4:ED4"/>
    <mergeCell ref="CO2:DC2"/>
    <mergeCell ref="DD2:DR2"/>
    <mergeCell ref="DS2:EG2"/>
    <mergeCell ref="CO3:CZ3"/>
    <mergeCell ref="CR4:CZ4"/>
    <mergeCell ref="CR5:CT5"/>
    <mergeCell ref="CU5:CW5"/>
    <mergeCell ref="CX5:CZ5"/>
    <mergeCell ref="CL3:CN5"/>
    <mergeCell ref="CI5:CK5"/>
    <mergeCell ref="AV4:AX5"/>
    <mergeCell ref="BZ1:CN1"/>
    <mergeCell ref="C3:N3"/>
    <mergeCell ref="O3:Q5"/>
    <mergeCell ref="R3:AC3"/>
    <mergeCell ref="AD3:AF5"/>
    <mergeCell ref="AG3:AR3"/>
    <mergeCell ref="C4:E5"/>
    <mergeCell ref="F4:N4"/>
    <mergeCell ref="R4:T5"/>
    <mergeCell ref="U4:AC4"/>
    <mergeCell ref="AG4:AI5"/>
    <mergeCell ref="AJ4:AR4"/>
    <mergeCell ref="C2:Q2"/>
    <mergeCell ref="R2:AF2"/>
    <mergeCell ref="AG2:AU2"/>
    <mergeCell ref="AV2:BJ2"/>
    <mergeCell ref="BK2:BY2"/>
    <mergeCell ref="BZ2:CN2"/>
    <mergeCell ref="R1:AF1"/>
    <mergeCell ref="CC5:CE5"/>
    <mergeCell ref="CF5:CH5"/>
    <mergeCell ref="AY5:BA5"/>
    <mergeCell ref="BB5:BD5"/>
    <mergeCell ref="C52:Q52"/>
    <mergeCell ref="C53:Q53"/>
    <mergeCell ref="C54:Q54"/>
    <mergeCell ref="EZ1:FH1"/>
    <mergeCell ref="EQ1:EY1"/>
    <mergeCell ref="EH1:EP1"/>
    <mergeCell ref="C1:Q1"/>
    <mergeCell ref="AG1:AU1"/>
    <mergeCell ref="AV1:BJ1"/>
    <mergeCell ref="BK1:BY1"/>
    <mergeCell ref="DD4:DF5"/>
    <mergeCell ref="DG4:DO4"/>
    <mergeCell ref="F5:H5"/>
    <mergeCell ref="I5:K5"/>
    <mergeCell ref="L5:N5"/>
    <mergeCell ref="U5:W5"/>
    <mergeCell ref="X5:Z5"/>
    <mergeCell ref="AA5:AC5"/>
    <mergeCell ref="AJ5:AL5"/>
    <mergeCell ref="AM5:AO5"/>
    <mergeCell ref="AP5:AR5"/>
    <mergeCell ref="AS3:AU5"/>
    <mergeCell ref="AV3:BG3"/>
    <mergeCell ref="BZ4:CB5"/>
    <mergeCell ref="A3:A6"/>
    <mergeCell ref="B3:B6"/>
    <mergeCell ref="DG5:DI5"/>
    <mergeCell ref="DJ5:DL5"/>
    <mergeCell ref="DM5:DO5"/>
    <mergeCell ref="A51:B51"/>
    <mergeCell ref="FL8:FZ8"/>
    <mergeCell ref="A11:B11"/>
    <mergeCell ref="C11:Q11"/>
    <mergeCell ref="R11:AF11"/>
    <mergeCell ref="AV11:BJ11"/>
    <mergeCell ref="BK11:BY11"/>
    <mergeCell ref="BZ11:CN11"/>
    <mergeCell ref="CO11:DC11"/>
    <mergeCell ref="DD11:DR11"/>
    <mergeCell ref="DS11:EG11"/>
    <mergeCell ref="A8:B8"/>
    <mergeCell ref="AY4:BG4"/>
    <mergeCell ref="BK4:BM5"/>
    <mergeCell ref="BN4:BV4"/>
    <mergeCell ref="CC4:CK4"/>
    <mergeCell ref="CO4:CQ5"/>
    <mergeCell ref="BW3:BY5"/>
    <mergeCell ref="BZ3:CK3"/>
  </mergeCells>
  <pageMargins left="0.23622047244094491" right="0.23622047244094491" top="0.41" bottom="0.28999999999999998" header="0.31496062992125984" footer="0.31496062992125984"/>
  <pageSetup paperSize="9" scale="65" orientation="landscape" r:id="rId1"/>
  <headerFooter>
    <oddFooter>Page &amp;P</oddFooter>
  </headerFooter>
  <rowBreaks count="1" manualBreakCount="1">
    <brk id="27" max="163" man="1"/>
  </rowBreaks>
  <colBreaks count="2" manualBreakCount="2">
    <brk id="146" max="54" man="1"/>
    <brk id="155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U18"/>
  <sheetViews>
    <sheetView view="pageBreakPreview" topLeftCell="E1" zoomScale="60" workbookViewId="0">
      <selection activeCell="O4" sqref="O4:T4"/>
    </sheetView>
  </sheetViews>
  <sheetFormatPr defaultRowHeight="15"/>
  <cols>
    <col min="1" max="1" width="7.7109375" customWidth="1"/>
    <col min="2" max="2" width="38.28515625" customWidth="1"/>
    <col min="3" max="20" width="11.5703125" customWidth="1"/>
    <col min="21" max="23" width="10.5703125" customWidth="1"/>
    <col min="24" max="24" width="9.85546875" customWidth="1"/>
    <col min="26" max="26" width="10" customWidth="1"/>
    <col min="30" max="30" width="9.85546875" customWidth="1"/>
    <col min="39" max="41" width="9.85546875" customWidth="1"/>
    <col min="44" max="44" width="9.140625" customWidth="1"/>
    <col min="46" max="46" width="9.140625" customWidth="1"/>
  </cols>
  <sheetData>
    <row r="1" spans="1:47" ht="31.5" customHeight="1">
      <c r="C1" s="129" t="str">
        <f>Board!C1</f>
        <v>RESULTS OF SECONDARY EXAMINATION- 2017</v>
      </c>
      <c r="O1" s="129"/>
      <c r="U1" s="129" t="str">
        <f>C1</f>
        <v>RESULTS OF SECONDARY EXAMINATION- 2017</v>
      </c>
      <c r="V1" s="129"/>
      <c r="W1" s="129"/>
      <c r="X1" s="144"/>
      <c r="Y1" s="144"/>
      <c r="Z1" s="144"/>
      <c r="AA1" s="144"/>
      <c r="AB1" s="144"/>
      <c r="AC1" s="144"/>
      <c r="AD1" s="129"/>
      <c r="AE1" s="129"/>
      <c r="AF1" s="129"/>
      <c r="AG1" s="144"/>
      <c r="AH1" s="144"/>
      <c r="AI1" s="144"/>
      <c r="AJ1" s="144"/>
      <c r="AK1" s="144"/>
      <c r="AL1" s="144"/>
      <c r="AM1" s="129"/>
      <c r="AN1" s="129"/>
      <c r="AO1" s="129"/>
      <c r="AP1" s="144"/>
      <c r="AQ1" s="144"/>
      <c r="AR1" s="144"/>
      <c r="AS1" s="144"/>
      <c r="AT1" s="144"/>
      <c r="AU1" s="144"/>
    </row>
    <row r="2" spans="1:47" ht="31.5" customHeight="1">
      <c r="A2" s="145"/>
      <c r="B2" s="145"/>
      <c r="C2" s="146" t="s">
        <v>320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7" t="s">
        <v>326</v>
      </c>
      <c r="V2" s="148"/>
      <c r="W2" s="148"/>
      <c r="X2" s="148"/>
      <c r="Y2" s="148"/>
      <c r="Z2" s="148"/>
      <c r="AA2" s="148"/>
      <c r="AB2" s="148"/>
      <c r="AC2" s="148"/>
      <c r="AD2" s="147"/>
      <c r="AE2" s="148"/>
      <c r="AF2" s="148"/>
      <c r="AG2" s="148"/>
      <c r="AH2" s="148"/>
      <c r="AI2" s="148"/>
      <c r="AJ2" s="148"/>
      <c r="AK2" s="148"/>
      <c r="AL2" s="148"/>
      <c r="AM2" s="147"/>
      <c r="AN2" s="148"/>
      <c r="AO2" s="148"/>
      <c r="AP2" s="148"/>
      <c r="AQ2" s="148"/>
      <c r="AR2" s="148"/>
      <c r="AS2" s="148"/>
      <c r="AT2" s="148"/>
      <c r="AU2" s="148"/>
    </row>
    <row r="3" spans="1:47" s="356" customFormat="1" ht="37.5" customHeight="1">
      <c r="A3" s="470" t="s">
        <v>192</v>
      </c>
      <c r="B3" s="470" t="s">
        <v>42</v>
      </c>
      <c r="C3" s="473" t="s">
        <v>188</v>
      </c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81"/>
      <c r="U3" s="447" t="s">
        <v>219</v>
      </c>
      <c r="V3" s="447"/>
      <c r="W3" s="447"/>
      <c r="X3" s="447"/>
      <c r="Y3" s="447"/>
      <c r="Z3" s="447"/>
      <c r="AA3" s="447"/>
      <c r="AB3" s="447"/>
      <c r="AC3" s="447"/>
      <c r="AD3" s="447" t="s">
        <v>324</v>
      </c>
      <c r="AE3" s="447"/>
      <c r="AF3" s="447"/>
      <c r="AG3" s="447"/>
      <c r="AH3" s="447"/>
      <c r="AI3" s="447"/>
      <c r="AJ3" s="447"/>
      <c r="AK3" s="447"/>
      <c r="AL3" s="447"/>
      <c r="AM3" s="447" t="s">
        <v>325</v>
      </c>
      <c r="AN3" s="447"/>
      <c r="AO3" s="447"/>
      <c r="AP3" s="447"/>
      <c r="AQ3" s="447"/>
      <c r="AR3" s="447"/>
      <c r="AS3" s="447"/>
      <c r="AT3" s="447"/>
      <c r="AU3" s="447"/>
    </row>
    <row r="4" spans="1:47" s="356" customFormat="1" ht="37.5" customHeight="1">
      <c r="A4" s="471"/>
      <c r="B4" s="471"/>
      <c r="C4" s="458" t="s">
        <v>219</v>
      </c>
      <c r="D4" s="458"/>
      <c r="E4" s="458"/>
      <c r="F4" s="458"/>
      <c r="G4" s="458"/>
      <c r="H4" s="458"/>
      <c r="I4" s="458" t="s">
        <v>220</v>
      </c>
      <c r="J4" s="458"/>
      <c r="K4" s="458"/>
      <c r="L4" s="458"/>
      <c r="M4" s="458"/>
      <c r="N4" s="458"/>
      <c r="O4" s="458" t="s">
        <v>221</v>
      </c>
      <c r="P4" s="458"/>
      <c r="Q4" s="458"/>
      <c r="R4" s="458"/>
      <c r="S4" s="458"/>
      <c r="T4" s="458"/>
      <c r="U4" s="447" t="s">
        <v>193</v>
      </c>
      <c r="V4" s="447"/>
      <c r="W4" s="447"/>
      <c r="X4" s="447" t="s">
        <v>193</v>
      </c>
      <c r="Y4" s="447"/>
      <c r="Z4" s="447"/>
      <c r="AA4" s="447" t="s">
        <v>193</v>
      </c>
      <c r="AB4" s="447"/>
      <c r="AC4" s="447"/>
      <c r="AD4" s="447" t="s">
        <v>193</v>
      </c>
      <c r="AE4" s="447"/>
      <c r="AF4" s="447"/>
      <c r="AG4" s="447" t="s">
        <v>194</v>
      </c>
      <c r="AH4" s="447"/>
      <c r="AI4" s="447"/>
      <c r="AJ4" s="447" t="s">
        <v>195</v>
      </c>
      <c r="AK4" s="447"/>
      <c r="AL4" s="447"/>
      <c r="AM4" s="447" t="s">
        <v>193</v>
      </c>
      <c r="AN4" s="447"/>
      <c r="AO4" s="447"/>
      <c r="AP4" s="447" t="s">
        <v>194</v>
      </c>
      <c r="AQ4" s="447"/>
      <c r="AR4" s="447"/>
      <c r="AS4" s="447" t="s">
        <v>195</v>
      </c>
      <c r="AT4" s="447"/>
      <c r="AU4" s="447"/>
    </row>
    <row r="5" spans="1:47" s="356" customFormat="1" ht="37.5" customHeight="1">
      <c r="A5" s="471"/>
      <c r="B5" s="471"/>
      <c r="C5" s="458" t="s">
        <v>5</v>
      </c>
      <c r="D5" s="458"/>
      <c r="E5" s="458"/>
      <c r="F5" s="458" t="s">
        <v>6</v>
      </c>
      <c r="G5" s="458"/>
      <c r="H5" s="458"/>
      <c r="I5" s="458" t="s">
        <v>5</v>
      </c>
      <c r="J5" s="458"/>
      <c r="K5" s="458"/>
      <c r="L5" s="458" t="s">
        <v>6</v>
      </c>
      <c r="M5" s="458"/>
      <c r="N5" s="458"/>
      <c r="O5" s="458" t="s">
        <v>5</v>
      </c>
      <c r="P5" s="458"/>
      <c r="Q5" s="458"/>
      <c r="R5" s="458" t="s">
        <v>6</v>
      </c>
      <c r="S5" s="458"/>
      <c r="T5" s="458"/>
      <c r="U5" s="447"/>
      <c r="V5" s="447"/>
      <c r="W5" s="447"/>
      <c r="X5" s="447" t="s">
        <v>196</v>
      </c>
      <c r="Y5" s="447"/>
      <c r="Z5" s="447"/>
      <c r="AA5" s="447" t="s">
        <v>196</v>
      </c>
      <c r="AB5" s="447"/>
      <c r="AC5" s="447"/>
      <c r="AD5" s="447"/>
      <c r="AE5" s="447"/>
      <c r="AF5" s="447"/>
      <c r="AG5" s="447" t="s">
        <v>196</v>
      </c>
      <c r="AH5" s="447"/>
      <c r="AI5" s="447"/>
      <c r="AJ5" s="447" t="s">
        <v>196</v>
      </c>
      <c r="AK5" s="447"/>
      <c r="AL5" s="447"/>
      <c r="AM5" s="447"/>
      <c r="AN5" s="447"/>
      <c r="AO5" s="447"/>
      <c r="AP5" s="447" t="s">
        <v>196</v>
      </c>
      <c r="AQ5" s="447"/>
      <c r="AR5" s="447"/>
      <c r="AS5" s="447" t="s">
        <v>196</v>
      </c>
      <c r="AT5" s="447"/>
      <c r="AU5" s="447"/>
    </row>
    <row r="6" spans="1:47" s="356" customFormat="1" ht="37.5" customHeight="1">
      <c r="A6" s="472"/>
      <c r="B6" s="472"/>
      <c r="C6" s="343" t="s">
        <v>43</v>
      </c>
      <c r="D6" s="343" t="s">
        <v>44</v>
      </c>
      <c r="E6" s="343" t="s">
        <v>3</v>
      </c>
      <c r="F6" s="343" t="s">
        <v>43</v>
      </c>
      <c r="G6" s="343" t="s">
        <v>44</v>
      </c>
      <c r="H6" s="343" t="s">
        <v>3</v>
      </c>
      <c r="I6" s="343" t="s">
        <v>43</v>
      </c>
      <c r="J6" s="343" t="s">
        <v>44</v>
      </c>
      <c r="K6" s="343" t="s">
        <v>3</v>
      </c>
      <c r="L6" s="343" t="s">
        <v>43</v>
      </c>
      <c r="M6" s="343" t="s">
        <v>44</v>
      </c>
      <c r="N6" s="343" t="s">
        <v>3</v>
      </c>
      <c r="O6" s="343" t="s">
        <v>43</v>
      </c>
      <c r="P6" s="343" t="s">
        <v>44</v>
      </c>
      <c r="Q6" s="343" t="s">
        <v>3</v>
      </c>
      <c r="R6" s="343" t="s">
        <v>43</v>
      </c>
      <c r="S6" s="343" t="s">
        <v>44</v>
      </c>
      <c r="T6" s="343" t="s">
        <v>3</v>
      </c>
      <c r="U6" s="343" t="s">
        <v>43</v>
      </c>
      <c r="V6" s="343" t="s">
        <v>44</v>
      </c>
      <c r="W6" s="343" t="s">
        <v>3</v>
      </c>
      <c r="X6" s="343" t="s">
        <v>43</v>
      </c>
      <c r="Y6" s="343" t="s">
        <v>44</v>
      </c>
      <c r="Z6" s="343" t="s">
        <v>3</v>
      </c>
      <c r="AA6" s="343" t="s">
        <v>43</v>
      </c>
      <c r="AB6" s="343" t="s">
        <v>44</v>
      </c>
      <c r="AC6" s="343" t="s">
        <v>3</v>
      </c>
      <c r="AD6" s="343" t="s">
        <v>43</v>
      </c>
      <c r="AE6" s="343" t="s">
        <v>44</v>
      </c>
      <c r="AF6" s="343" t="s">
        <v>3</v>
      </c>
      <c r="AG6" s="343" t="s">
        <v>43</v>
      </c>
      <c r="AH6" s="343" t="s">
        <v>44</v>
      </c>
      <c r="AI6" s="343" t="s">
        <v>3</v>
      </c>
      <c r="AJ6" s="343" t="s">
        <v>43</v>
      </c>
      <c r="AK6" s="343" t="s">
        <v>44</v>
      </c>
      <c r="AL6" s="343" t="s">
        <v>3</v>
      </c>
      <c r="AM6" s="343" t="s">
        <v>43</v>
      </c>
      <c r="AN6" s="343" t="s">
        <v>44</v>
      </c>
      <c r="AO6" s="343" t="s">
        <v>3</v>
      </c>
      <c r="AP6" s="343" t="s">
        <v>43</v>
      </c>
      <c r="AQ6" s="343" t="s">
        <v>44</v>
      </c>
      <c r="AR6" s="343" t="s">
        <v>3</v>
      </c>
      <c r="AS6" s="343" t="s">
        <v>43</v>
      </c>
      <c r="AT6" s="343" t="s">
        <v>44</v>
      </c>
      <c r="AU6" s="343" t="s">
        <v>3</v>
      </c>
    </row>
    <row r="7" spans="1:47" s="356" customFormat="1" ht="37.5" customHeight="1">
      <c r="A7" s="149">
        <v>1</v>
      </c>
      <c r="B7" s="150">
        <v>2</v>
      </c>
      <c r="C7" s="357">
        <v>3</v>
      </c>
      <c r="D7" s="357">
        <v>4</v>
      </c>
      <c r="E7" s="357">
        <v>5</v>
      </c>
      <c r="F7" s="357">
        <v>6</v>
      </c>
      <c r="G7" s="357">
        <v>7</v>
      </c>
      <c r="H7" s="357">
        <v>8</v>
      </c>
      <c r="I7" s="357">
        <v>9</v>
      </c>
      <c r="J7" s="357">
        <v>10</v>
      </c>
      <c r="K7" s="357">
        <v>11</v>
      </c>
      <c r="L7" s="357">
        <v>12</v>
      </c>
      <c r="M7" s="357">
        <v>13</v>
      </c>
      <c r="N7" s="357">
        <v>14</v>
      </c>
      <c r="O7" s="357">
        <v>15</v>
      </c>
      <c r="P7" s="357">
        <v>16</v>
      </c>
      <c r="Q7" s="357">
        <v>17</v>
      </c>
      <c r="R7" s="357">
        <v>18</v>
      </c>
      <c r="S7" s="357">
        <v>19</v>
      </c>
      <c r="T7" s="357">
        <v>20</v>
      </c>
      <c r="U7" s="358">
        <v>3</v>
      </c>
      <c r="V7" s="358">
        <v>4</v>
      </c>
      <c r="W7" s="358">
        <v>5</v>
      </c>
      <c r="X7" s="358">
        <v>6</v>
      </c>
      <c r="Y7" s="358">
        <v>7</v>
      </c>
      <c r="Z7" s="358">
        <v>8</v>
      </c>
      <c r="AA7" s="358">
        <v>12</v>
      </c>
      <c r="AB7" s="358">
        <v>13</v>
      </c>
      <c r="AC7" s="358">
        <v>14</v>
      </c>
      <c r="AD7" s="358">
        <v>3</v>
      </c>
      <c r="AE7" s="358">
        <v>4</v>
      </c>
      <c r="AF7" s="358">
        <v>5</v>
      </c>
      <c r="AG7" s="358">
        <v>6</v>
      </c>
      <c r="AH7" s="358">
        <v>7</v>
      </c>
      <c r="AI7" s="358">
        <v>8</v>
      </c>
      <c r="AJ7" s="358">
        <v>12</v>
      </c>
      <c r="AK7" s="358">
        <v>13</v>
      </c>
      <c r="AL7" s="358">
        <v>14</v>
      </c>
      <c r="AM7" s="358">
        <v>3</v>
      </c>
      <c r="AN7" s="358">
        <v>4</v>
      </c>
      <c r="AO7" s="358">
        <v>5</v>
      </c>
      <c r="AP7" s="358">
        <v>6</v>
      </c>
      <c r="AQ7" s="358">
        <v>7</v>
      </c>
      <c r="AR7" s="358">
        <v>8</v>
      </c>
      <c r="AS7" s="358">
        <v>12</v>
      </c>
      <c r="AT7" s="358">
        <v>13</v>
      </c>
      <c r="AU7" s="358">
        <v>14</v>
      </c>
    </row>
    <row r="8" spans="1:47" s="362" customFormat="1" ht="46.5" customHeight="1">
      <c r="A8" s="359">
        <v>1</v>
      </c>
      <c r="B8" s="372" t="s">
        <v>322</v>
      </c>
      <c r="C8" s="360"/>
      <c r="D8" s="360"/>
      <c r="E8" s="360">
        <f t="shared" ref="E8:E14" si="0">C8+D8</f>
        <v>0</v>
      </c>
      <c r="F8" s="360"/>
      <c r="G8" s="360"/>
      <c r="H8" s="360">
        <f t="shared" ref="H8:H14" si="1">F8+G8</f>
        <v>0</v>
      </c>
      <c r="I8" s="360"/>
      <c r="J8" s="360"/>
      <c r="K8" s="360">
        <f t="shared" ref="K8:K14" si="2">I8+J8</f>
        <v>0</v>
      </c>
      <c r="L8" s="360">
        <v>4990</v>
      </c>
      <c r="M8" s="360">
        <v>2539</v>
      </c>
      <c r="N8" s="360">
        <f t="shared" ref="N8:N14" si="3">L8+M8</f>
        <v>7529</v>
      </c>
      <c r="O8" s="360">
        <v>3038</v>
      </c>
      <c r="P8" s="360">
        <v>1586</v>
      </c>
      <c r="Q8" s="360">
        <f t="shared" ref="Q8:Q14" si="4">O8+P8</f>
        <v>4624</v>
      </c>
      <c r="R8" s="360">
        <v>1615</v>
      </c>
      <c r="S8" s="360">
        <v>835</v>
      </c>
      <c r="T8" s="360">
        <f t="shared" ref="T8:T14" si="5">R8+S8</f>
        <v>2450</v>
      </c>
      <c r="U8" s="360">
        <f>F8</f>
        <v>0</v>
      </c>
      <c r="V8" s="360">
        <f t="shared" ref="V8:W8" si="6">G8</f>
        <v>0</v>
      </c>
      <c r="W8" s="360">
        <f t="shared" si="6"/>
        <v>0</v>
      </c>
      <c r="X8" s="360">
        <v>7791</v>
      </c>
      <c r="Y8" s="360">
        <v>4541</v>
      </c>
      <c r="Z8" s="360">
        <f t="shared" ref="Z8:Z14" si="7">X8+Y8</f>
        <v>12332</v>
      </c>
      <c r="AA8" s="361" t="e">
        <f>X8/U8%</f>
        <v>#DIV/0!</v>
      </c>
      <c r="AB8" s="361" t="e">
        <f t="shared" ref="AB8:AC12" si="8">Y8/V8%</f>
        <v>#DIV/0!</v>
      </c>
      <c r="AC8" s="361" t="e">
        <f>Z8/W8%</f>
        <v>#DIV/0!</v>
      </c>
      <c r="AD8" s="360">
        <f t="shared" ref="AD8:AF14" si="9">L8</f>
        <v>4990</v>
      </c>
      <c r="AE8" s="360">
        <f t="shared" si="9"/>
        <v>2539</v>
      </c>
      <c r="AF8" s="360">
        <f t="shared" si="9"/>
        <v>7529</v>
      </c>
      <c r="AG8" s="360">
        <v>1524</v>
      </c>
      <c r="AH8" s="360">
        <v>998</v>
      </c>
      <c r="AI8" s="360">
        <f t="shared" ref="AI8:AI14" si="10">AG8+AH8</f>
        <v>2522</v>
      </c>
      <c r="AJ8" s="361">
        <f t="shared" ref="AJ8:AJ13" si="11">AG8/AD8%</f>
        <v>30.541082164328657</v>
      </c>
      <c r="AK8" s="361">
        <f t="shared" ref="AK8:AL13" si="12">AH8/AE8%</f>
        <v>39.306813706183533</v>
      </c>
      <c r="AL8" s="361">
        <f t="shared" si="12"/>
        <v>33.49714437508301</v>
      </c>
      <c r="AM8" s="360">
        <f t="shared" ref="AM8:AO14" si="13">R8</f>
        <v>1615</v>
      </c>
      <c r="AN8" s="360">
        <f t="shared" si="13"/>
        <v>835</v>
      </c>
      <c r="AO8" s="360">
        <f t="shared" si="13"/>
        <v>2450</v>
      </c>
      <c r="AP8" s="360">
        <v>509</v>
      </c>
      <c r="AQ8" s="360">
        <v>331</v>
      </c>
      <c r="AR8" s="360">
        <f t="shared" ref="AR8:AR14" si="14">AP8+AQ8</f>
        <v>840</v>
      </c>
      <c r="AS8" s="361">
        <f t="shared" ref="AS8:AU13" si="15">AP8/AM8%</f>
        <v>31.517027863777091</v>
      </c>
      <c r="AT8" s="361">
        <f t="shared" si="15"/>
        <v>39.640718562874255</v>
      </c>
      <c r="AU8" s="361">
        <f t="shared" si="15"/>
        <v>34.285714285714285</v>
      </c>
    </row>
    <row r="9" spans="1:47" s="362" customFormat="1" ht="46.5" customHeight="1">
      <c r="A9" s="359">
        <v>2</v>
      </c>
      <c r="B9" s="372" t="s">
        <v>222</v>
      </c>
      <c r="C9" s="360">
        <v>37664</v>
      </c>
      <c r="D9" s="360">
        <v>15433</v>
      </c>
      <c r="E9" s="360">
        <f t="shared" si="0"/>
        <v>53097</v>
      </c>
      <c r="F9" s="360">
        <v>7878</v>
      </c>
      <c r="G9" s="360">
        <v>4068</v>
      </c>
      <c r="H9" s="360">
        <f t="shared" si="1"/>
        <v>11946</v>
      </c>
      <c r="I9" s="360">
        <v>7056</v>
      </c>
      <c r="J9" s="360">
        <v>3592</v>
      </c>
      <c r="K9" s="360">
        <f t="shared" si="2"/>
        <v>10648</v>
      </c>
      <c r="L9" s="360">
        <v>1597</v>
      </c>
      <c r="M9" s="360">
        <v>984</v>
      </c>
      <c r="N9" s="360">
        <f t="shared" si="3"/>
        <v>2581</v>
      </c>
      <c r="O9" s="360">
        <v>4158</v>
      </c>
      <c r="P9" s="360">
        <v>1650</v>
      </c>
      <c r="Q9" s="360">
        <f t="shared" si="4"/>
        <v>5808</v>
      </c>
      <c r="R9" s="360">
        <v>939</v>
      </c>
      <c r="S9" s="360">
        <v>324</v>
      </c>
      <c r="T9" s="360">
        <f t="shared" si="5"/>
        <v>1263</v>
      </c>
      <c r="U9" s="360">
        <f t="shared" ref="U9:U15" si="16">F9</f>
        <v>7878</v>
      </c>
      <c r="V9" s="360">
        <f t="shared" ref="V9:V15" si="17">G9</f>
        <v>4068</v>
      </c>
      <c r="W9" s="360">
        <f t="shared" ref="W9:W15" si="18">H9</f>
        <v>11946</v>
      </c>
      <c r="X9" s="360">
        <v>477</v>
      </c>
      <c r="Y9" s="360">
        <v>453</v>
      </c>
      <c r="Z9" s="360">
        <f t="shared" si="7"/>
        <v>930</v>
      </c>
      <c r="AA9" s="361">
        <f t="shared" ref="AA9:AA11" si="19">X9/U9%</f>
        <v>6.0548362528560551</v>
      </c>
      <c r="AB9" s="361">
        <f t="shared" si="8"/>
        <v>11.135693215339233</v>
      </c>
      <c r="AC9" s="361">
        <f t="shared" si="8"/>
        <v>7.7850326469111</v>
      </c>
      <c r="AD9" s="360">
        <f t="shared" si="9"/>
        <v>1597</v>
      </c>
      <c r="AE9" s="360">
        <f t="shared" si="9"/>
        <v>984</v>
      </c>
      <c r="AF9" s="360">
        <f t="shared" si="9"/>
        <v>2581</v>
      </c>
      <c r="AG9" s="360">
        <v>76</v>
      </c>
      <c r="AH9" s="360">
        <v>81</v>
      </c>
      <c r="AI9" s="360">
        <f t="shared" si="10"/>
        <v>157</v>
      </c>
      <c r="AJ9" s="361">
        <f t="shared" si="11"/>
        <v>4.7589229805886033</v>
      </c>
      <c r="AK9" s="361">
        <f t="shared" ref="AK9:AL11" si="20">AH9/AE9%</f>
        <v>8.2317073170731714</v>
      </c>
      <c r="AL9" s="361">
        <f t="shared" si="20"/>
        <v>6.0829135993800856</v>
      </c>
      <c r="AM9" s="360">
        <f t="shared" si="13"/>
        <v>939</v>
      </c>
      <c r="AN9" s="360">
        <f t="shared" si="13"/>
        <v>324</v>
      </c>
      <c r="AO9" s="360">
        <f t="shared" si="13"/>
        <v>1263</v>
      </c>
      <c r="AP9" s="360">
        <v>50</v>
      </c>
      <c r="AQ9" s="360">
        <v>31</v>
      </c>
      <c r="AR9" s="360">
        <f t="shared" si="14"/>
        <v>81</v>
      </c>
      <c r="AS9" s="361">
        <f t="shared" si="15"/>
        <v>5.324813631522896</v>
      </c>
      <c r="AT9" s="361">
        <f t="shared" ref="AT9:AU11" si="21">AQ9/AN9%</f>
        <v>9.5679012345679002</v>
      </c>
      <c r="AU9" s="361">
        <f t="shared" si="21"/>
        <v>6.4133016627078385</v>
      </c>
    </row>
    <row r="10" spans="1:47" s="362" customFormat="1" ht="46.5" customHeight="1">
      <c r="A10" s="359">
        <v>3</v>
      </c>
      <c r="B10" s="372" t="s">
        <v>223</v>
      </c>
      <c r="C10" s="360"/>
      <c r="D10" s="360"/>
      <c r="E10" s="360">
        <f t="shared" si="0"/>
        <v>0</v>
      </c>
      <c r="F10" s="360"/>
      <c r="G10" s="360"/>
      <c r="H10" s="360">
        <f t="shared" si="1"/>
        <v>0</v>
      </c>
      <c r="I10" s="360"/>
      <c r="J10" s="360"/>
      <c r="K10" s="360">
        <f t="shared" si="2"/>
        <v>0</v>
      </c>
      <c r="L10" s="360">
        <v>3747</v>
      </c>
      <c r="M10" s="360">
        <v>3654</v>
      </c>
      <c r="N10" s="360">
        <f t="shared" si="3"/>
        <v>7401</v>
      </c>
      <c r="O10" s="360">
        <v>11282</v>
      </c>
      <c r="P10" s="360">
        <v>11586</v>
      </c>
      <c r="Q10" s="360">
        <f t="shared" si="4"/>
        <v>22868</v>
      </c>
      <c r="R10" s="360">
        <v>6729</v>
      </c>
      <c r="S10" s="360">
        <v>7141</v>
      </c>
      <c r="T10" s="360">
        <f t="shared" si="5"/>
        <v>13870</v>
      </c>
      <c r="U10" s="360">
        <f t="shared" si="16"/>
        <v>0</v>
      </c>
      <c r="V10" s="360">
        <f t="shared" si="17"/>
        <v>0</v>
      </c>
      <c r="W10" s="360">
        <f t="shared" si="18"/>
        <v>0</v>
      </c>
      <c r="X10" s="360">
        <v>1050</v>
      </c>
      <c r="Y10" s="360">
        <v>935</v>
      </c>
      <c r="Z10" s="360">
        <f t="shared" si="7"/>
        <v>1985</v>
      </c>
      <c r="AA10" s="361" t="e">
        <f t="shared" si="19"/>
        <v>#DIV/0!</v>
      </c>
      <c r="AB10" s="361" t="e">
        <f t="shared" si="8"/>
        <v>#DIV/0!</v>
      </c>
      <c r="AC10" s="361" t="e">
        <f t="shared" si="8"/>
        <v>#DIV/0!</v>
      </c>
      <c r="AD10" s="360">
        <f t="shared" si="9"/>
        <v>3747</v>
      </c>
      <c r="AE10" s="360">
        <f t="shared" si="9"/>
        <v>3654</v>
      </c>
      <c r="AF10" s="360">
        <f t="shared" si="9"/>
        <v>7401</v>
      </c>
      <c r="AG10" s="360">
        <v>127</v>
      </c>
      <c r="AH10" s="360">
        <v>127</v>
      </c>
      <c r="AI10" s="360">
        <f t="shared" si="10"/>
        <v>254</v>
      </c>
      <c r="AJ10" s="361">
        <f t="shared" si="11"/>
        <v>3.3893781692020286</v>
      </c>
      <c r="AK10" s="361">
        <f t="shared" si="20"/>
        <v>3.4756431308155449</v>
      </c>
      <c r="AL10" s="361">
        <f t="shared" si="20"/>
        <v>3.4319686528847453</v>
      </c>
      <c r="AM10" s="360">
        <f t="shared" si="13"/>
        <v>6729</v>
      </c>
      <c r="AN10" s="360">
        <f t="shared" si="13"/>
        <v>7141</v>
      </c>
      <c r="AO10" s="360">
        <f t="shared" si="13"/>
        <v>13870</v>
      </c>
      <c r="AP10" s="360">
        <v>406</v>
      </c>
      <c r="AQ10" s="360">
        <v>396</v>
      </c>
      <c r="AR10" s="360">
        <f t="shared" si="14"/>
        <v>802</v>
      </c>
      <c r="AS10" s="361">
        <f t="shared" si="15"/>
        <v>6.0335859711695639</v>
      </c>
      <c r="AT10" s="361">
        <f t="shared" si="21"/>
        <v>5.5454418148718672</v>
      </c>
      <c r="AU10" s="361">
        <f t="shared" si="21"/>
        <v>5.7822638788752707</v>
      </c>
    </row>
    <row r="11" spans="1:47" s="362" customFormat="1" ht="46.5" customHeight="1">
      <c r="A11" s="359">
        <v>4</v>
      </c>
      <c r="B11" s="372" t="s">
        <v>224</v>
      </c>
      <c r="C11" s="360"/>
      <c r="D11" s="360"/>
      <c r="E11" s="360">
        <f t="shared" si="0"/>
        <v>0</v>
      </c>
      <c r="F11" s="360"/>
      <c r="G11" s="360"/>
      <c r="H11" s="360">
        <f t="shared" si="1"/>
        <v>0</v>
      </c>
      <c r="I11" s="360"/>
      <c r="J11" s="360"/>
      <c r="K11" s="360">
        <f t="shared" si="2"/>
        <v>0</v>
      </c>
      <c r="L11" s="360">
        <v>1863</v>
      </c>
      <c r="M11" s="360">
        <v>2308</v>
      </c>
      <c r="N11" s="360">
        <f t="shared" si="3"/>
        <v>4171</v>
      </c>
      <c r="O11" s="360">
        <v>4046</v>
      </c>
      <c r="P11" s="360">
        <v>3932</v>
      </c>
      <c r="Q11" s="360">
        <f t="shared" si="4"/>
        <v>7978</v>
      </c>
      <c r="R11" s="360">
        <v>1083</v>
      </c>
      <c r="S11" s="360">
        <v>1214</v>
      </c>
      <c r="T11" s="360">
        <f t="shared" si="5"/>
        <v>2297</v>
      </c>
      <c r="U11" s="360">
        <f t="shared" si="16"/>
        <v>0</v>
      </c>
      <c r="V11" s="360">
        <f t="shared" si="17"/>
        <v>0</v>
      </c>
      <c r="W11" s="360">
        <f t="shared" si="18"/>
        <v>0</v>
      </c>
      <c r="X11" s="360">
        <v>979</v>
      </c>
      <c r="Y11" s="360">
        <v>1182</v>
      </c>
      <c r="Z11" s="360">
        <f t="shared" si="7"/>
        <v>2161</v>
      </c>
      <c r="AA11" s="361" t="e">
        <f t="shared" si="19"/>
        <v>#DIV/0!</v>
      </c>
      <c r="AB11" s="361" t="e">
        <f t="shared" si="8"/>
        <v>#DIV/0!</v>
      </c>
      <c r="AC11" s="361" t="e">
        <f t="shared" si="8"/>
        <v>#DIV/0!</v>
      </c>
      <c r="AD11" s="360">
        <f t="shared" si="9"/>
        <v>1863</v>
      </c>
      <c r="AE11" s="360">
        <f t="shared" si="9"/>
        <v>2308</v>
      </c>
      <c r="AF11" s="360">
        <f t="shared" si="9"/>
        <v>4171</v>
      </c>
      <c r="AG11" s="360">
        <v>127</v>
      </c>
      <c r="AH11" s="360">
        <v>195</v>
      </c>
      <c r="AI11" s="360">
        <f t="shared" si="10"/>
        <v>322</v>
      </c>
      <c r="AJ11" s="361">
        <f t="shared" si="11"/>
        <v>6.8169618894256576</v>
      </c>
      <c r="AK11" s="361">
        <f t="shared" si="20"/>
        <v>8.4488734835355288</v>
      </c>
      <c r="AL11" s="361">
        <f t="shared" si="20"/>
        <v>7.7199712299208825</v>
      </c>
      <c r="AM11" s="360">
        <f t="shared" si="13"/>
        <v>1083</v>
      </c>
      <c r="AN11" s="360">
        <f t="shared" si="13"/>
        <v>1214</v>
      </c>
      <c r="AO11" s="360">
        <f t="shared" si="13"/>
        <v>2297</v>
      </c>
      <c r="AP11" s="360">
        <v>78</v>
      </c>
      <c r="AQ11" s="360">
        <v>71</v>
      </c>
      <c r="AR11" s="360">
        <f t="shared" si="14"/>
        <v>149</v>
      </c>
      <c r="AS11" s="361">
        <f t="shared" ref="AS11" si="22">AP11/AM11%</f>
        <v>7.2022160664819941</v>
      </c>
      <c r="AT11" s="361">
        <f t="shared" si="21"/>
        <v>5.8484349258649093</v>
      </c>
      <c r="AU11" s="361">
        <f t="shared" si="21"/>
        <v>6.4867218110579019</v>
      </c>
    </row>
    <row r="12" spans="1:47" s="362" customFormat="1" ht="46.5" customHeight="1">
      <c r="A12" s="359">
        <v>5</v>
      </c>
      <c r="B12" s="372" t="s">
        <v>225</v>
      </c>
      <c r="C12" s="360"/>
      <c r="D12" s="360"/>
      <c r="E12" s="360">
        <f t="shared" si="0"/>
        <v>0</v>
      </c>
      <c r="F12" s="360"/>
      <c r="G12" s="360"/>
      <c r="H12" s="360">
        <f t="shared" si="1"/>
        <v>0</v>
      </c>
      <c r="I12" s="360"/>
      <c r="J12" s="360"/>
      <c r="K12" s="360">
        <f t="shared" si="2"/>
        <v>0</v>
      </c>
      <c r="L12" s="360">
        <v>2775</v>
      </c>
      <c r="M12" s="360">
        <v>2414</v>
      </c>
      <c r="N12" s="360">
        <f t="shared" si="3"/>
        <v>5189</v>
      </c>
      <c r="O12" s="360">
        <v>7944</v>
      </c>
      <c r="P12" s="360">
        <v>7059</v>
      </c>
      <c r="Q12" s="360">
        <f t="shared" si="4"/>
        <v>15003</v>
      </c>
      <c r="R12" s="360">
        <v>2280</v>
      </c>
      <c r="S12" s="360">
        <v>2502</v>
      </c>
      <c r="T12" s="360">
        <f t="shared" si="5"/>
        <v>4782</v>
      </c>
      <c r="U12" s="360">
        <f t="shared" si="16"/>
        <v>0</v>
      </c>
      <c r="V12" s="360">
        <f t="shared" si="17"/>
        <v>0</v>
      </c>
      <c r="W12" s="360">
        <f t="shared" si="18"/>
        <v>0</v>
      </c>
      <c r="X12" s="360">
        <v>261</v>
      </c>
      <c r="Y12" s="360">
        <v>113</v>
      </c>
      <c r="Z12" s="360">
        <f t="shared" si="7"/>
        <v>374</v>
      </c>
      <c r="AA12" s="361" t="e">
        <f>X12/U12%</f>
        <v>#DIV/0!</v>
      </c>
      <c r="AB12" s="361" t="e">
        <f t="shared" si="8"/>
        <v>#DIV/0!</v>
      </c>
      <c r="AC12" s="361" t="e">
        <f>Z12/W12%</f>
        <v>#DIV/0!</v>
      </c>
      <c r="AD12" s="360">
        <f t="shared" si="9"/>
        <v>2775</v>
      </c>
      <c r="AE12" s="360">
        <f t="shared" si="9"/>
        <v>2414</v>
      </c>
      <c r="AF12" s="360">
        <f t="shared" si="9"/>
        <v>5189</v>
      </c>
      <c r="AG12" s="360">
        <v>13</v>
      </c>
      <c r="AH12" s="360">
        <v>8</v>
      </c>
      <c r="AI12" s="360">
        <f t="shared" si="10"/>
        <v>21</v>
      </c>
      <c r="AJ12" s="361">
        <f t="shared" si="11"/>
        <v>0.46846846846846846</v>
      </c>
      <c r="AK12" s="361">
        <f t="shared" si="12"/>
        <v>0.33140016570008285</v>
      </c>
      <c r="AL12" s="361">
        <f t="shared" si="12"/>
        <v>0.40470225476970512</v>
      </c>
      <c r="AM12" s="360">
        <f t="shared" si="13"/>
        <v>2280</v>
      </c>
      <c r="AN12" s="360">
        <f t="shared" si="13"/>
        <v>2502</v>
      </c>
      <c r="AO12" s="360">
        <f t="shared" si="13"/>
        <v>4782</v>
      </c>
      <c r="AP12" s="360">
        <v>8</v>
      </c>
      <c r="AQ12" s="360">
        <v>12</v>
      </c>
      <c r="AR12" s="360">
        <f t="shared" si="14"/>
        <v>20</v>
      </c>
      <c r="AS12" s="361">
        <f t="shared" si="15"/>
        <v>0.35087719298245612</v>
      </c>
      <c r="AT12" s="361">
        <f t="shared" si="15"/>
        <v>0.47961630695443647</v>
      </c>
      <c r="AU12" s="361">
        <f t="shared" si="15"/>
        <v>0.41823504809703055</v>
      </c>
    </row>
    <row r="13" spans="1:47" s="362" customFormat="1" ht="46.5" customHeight="1">
      <c r="A13" s="359">
        <v>6</v>
      </c>
      <c r="B13" s="372" t="s">
        <v>226</v>
      </c>
      <c r="C13" s="360"/>
      <c r="D13" s="360"/>
      <c r="E13" s="360">
        <f t="shared" si="0"/>
        <v>0</v>
      </c>
      <c r="F13" s="360"/>
      <c r="G13" s="360"/>
      <c r="H13" s="360">
        <f t="shared" si="1"/>
        <v>0</v>
      </c>
      <c r="I13" s="360"/>
      <c r="J13" s="360"/>
      <c r="K13" s="360">
        <f t="shared" si="2"/>
        <v>0</v>
      </c>
      <c r="L13" s="360">
        <v>5118</v>
      </c>
      <c r="M13" s="360">
        <v>1992</v>
      </c>
      <c r="N13" s="360">
        <f t="shared" si="3"/>
        <v>7110</v>
      </c>
      <c r="O13" s="360">
        <v>11360</v>
      </c>
      <c r="P13" s="360">
        <v>9418</v>
      </c>
      <c r="Q13" s="360">
        <f t="shared" si="4"/>
        <v>20778</v>
      </c>
      <c r="R13" s="360">
        <v>3919</v>
      </c>
      <c r="S13" s="360">
        <v>3432</v>
      </c>
      <c r="T13" s="360">
        <f t="shared" si="5"/>
        <v>7351</v>
      </c>
      <c r="U13" s="360">
        <f t="shared" si="16"/>
        <v>0</v>
      </c>
      <c r="V13" s="360">
        <f t="shared" si="17"/>
        <v>0</v>
      </c>
      <c r="W13" s="360">
        <f t="shared" si="18"/>
        <v>0</v>
      </c>
      <c r="X13" s="360">
        <v>19111</v>
      </c>
      <c r="Y13" s="360">
        <v>8533</v>
      </c>
      <c r="Z13" s="360">
        <f t="shared" si="7"/>
        <v>27644</v>
      </c>
      <c r="AA13" s="361" t="e">
        <f t="shared" ref="AA13:AC13" si="23">X13/U13%</f>
        <v>#DIV/0!</v>
      </c>
      <c r="AB13" s="361" t="e">
        <f t="shared" si="23"/>
        <v>#DIV/0!</v>
      </c>
      <c r="AC13" s="361" t="e">
        <f t="shared" si="23"/>
        <v>#DIV/0!</v>
      </c>
      <c r="AD13" s="360">
        <f t="shared" si="9"/>
        <v>5118</v>
      </c>
      <c r="AE13" s="360">
        <f t="shared" si="9"/>
        <v>1992</v>
      </c>
      <c r="AF13" s="360">
        <f t="shared" si="9"/>
        <v>7110</v>
      </c>
      <c r="AG13" s="360">
        <v>1338</v>
      </c>
      <c r="AH13" s="360">
        <v>507</v>
      </c>
      <c r="AI13" s="360">
        <f t="shared" si="10"/>
        <v>1845</v>
      </c>
      <c r="AJ13" s="361">
        <f t="shared" si="11"/>
        <v>26.143024618991795</v>
      </c>
      <c r="AK13" s="361">
        <f t="shared" si="12"/>
        <v>25.451807228915662</v>
      </c>
      <c r="AL13" s="361">
        <f t="shared" si="12"/>
        <v>25.949367088607598</v>
      </c>
      <c r="AM13" s="360">
        <f t="shared" si="13"/>
        <v>3919</v>
      </c>
      <c r="AN13" s="360">
        <f t="shared" si="13"/>
        <v>3432</v>
      </c>
      <c r="AO13" s="360">
        <f t="shared" si="13"/>
        <v>7351</v>
      </c>
      <c r="AP13" s="360">
        <v>755</v>
      </c>
      <c r="AQ13" s="360">
        <v>625</v>
      </c>
      <c r="AR13" s="360">
        <f t="shared" si="14"/>
        <v>1380</v>
      </c>
      <c r="AS13" s="361">
        <f t="shared" si="15"/>
        <v>19.265118652717533</v>
      </c>
      <c r="AT13" s="361">
        <f t="shared" si="15"/>
        <v>18.210955710955712</v>
      </c>
      <c r="AU13" s="361">
        <f t="shared" si="15"/>
        <v>18.772956060399945</v>
      </c>
    </row>
    <row r="14" spans="1:47" s="362" customFormat="1" ht="46.5" customHeight="1">
      <c r="A14" s="359">
        <v>7</v>
      </c>
      <c r="B14" s="372" t="s">
        <v>323</v>
      </c>
      <c r="C14" s="360"/>
      <c r="D14" s="360"/>
      <c r="E14" s="360">
        <f t="shared" si="0"/>
        <v>0</v>
      </c>
      <c r="F14" s="360"/>
      <c r="G14" s="360"/>
      <c r="H14" s="360">
        <f t="shared" si="1"/>
        <v>0</v>
      </c>
      <c r="I14" s="360"/>
      <c r="J14" s="360"/>
      <c r="K14" s="360">
        <f t="shared" si="2"/>
        <v>0</v>
      </c>
      <c r="L14" s="360">
        <f>174+206</f>
        <v>380</v>
      </c>
      <c r="M14" s="360">
        <f>295+328</f>
        <v>623</v>
      </c>
      <c r="N14" s="360">
        <f t="shared" si="3"/>
        <v>1003</v>
      </c>
      <c r="O14" s="360">
        <f>262+311</f>
        <v>573</v>
      </c>
      <c r="P14" s="360">
        <f>384+457</f>
        <v>841</v>
      </c>
      <c r="Q14" s="360">
        <f t="shared" si="4"/>
        <v>1414</v>
      </c>
      <c r="R14" s="360">
        <f>46+52</f>
        <v>98</v>
      </c>
      <c r="S14" s="360">
        <f>65+111</f>
        <v>176</v>
      </c>
      <c r="T14" s="360">
        <f t="shared" si="5"/>
        <v>274</v>
      </c>
      <c r="U14" s="360">
        <f t="shared" si="16"/>
        <v>0</v>
      </c>
      <c r="V14" s="360">
        <f t="shared" si="17"/>
        <v>0</v>
      </c>
      <c r="W14" s="360">
        <f t="shared" si="18"/>
        <v>0</v>
      </c>
      <c r="X14" s="360">
        <f>102+8+65+5</f>
        <v>180</v>
      </c>
      <c r="Y14" s="360">
        <f>87+4+60+5</f>
        <v>156</v>
      </c>
      <c r="Z14" s="360">
        <f t="shared" si="7"/>
        <v>336</v>
      </c>
      <c r="AA14" s="361" t="e">
        <f t="shared" ref="AA14" si="24">X14/U14%</f>
        <v>#DIV/0!</v>
      </c>
      <c r="AB14" s="361" t="e">
        <f t="shared" ref="AB14" si="25">Y14/V14%</f>
        <v>#DIV/0!</v>
      </c>
      <c r="AC14" s="361" t="e">
        <f t="shared" ref="AC14" si="26">Z14/W14%</f>
        <v>#DIV/0!</v>
      </c>
      <c r="AD14" s="360">
        <v>398</v>
      </c>
      <c r="AE14" s="360">
        <v>563</v>
      </c>
      <c r="AF14" s="360">
        <f t="shared" si="9"/>
        <v>1003</v>
      </c>
      <c r="AG14" s="360">
        <v>11</v>
      </c>
      <c r="AH14" s="360">
        <v>7</v>
      </c>
      <c r="AI14" s="360">
        <f t="shared" si="10"/>
        <v>18</v>
      </c>
      <c r="AJ14" s="361">
        <f t="shared" ref="AJ14" si="27">AG14/AD14%</f>
        <v>2.7638190954773871</v>
      </c>
      <c r="AK14" s="361">
        <f t="shared" ref="AK14" si="28">AH14/AE14%</f>
        <v>1.2433392539964476</v>
      </c>
      <c r="AL14" s="361">
        <f t="shared" ref="AL14" si="29">AI14/AF14%</f>
        <v>1.794616151545364</v>
      </c>
      <c r="AM14" s="360">
        <v>94</v>
      </c>
      <c r="AN14" s="360">
        <v>174</v>
      </c>
      <c r="AO14" s="360">
        <f t="shared" si="13"/>
        <v>274</v>
      </c>
      <c r="AP14" s="360">
        <v>2</v>
      </c>
      <c r="AQ14" s="360">
        <v>2</v>
      </c>
      <c r="AR14" s="360">
        <f t="shared" si="14"/>
        <v>4</v>
      </c>
      <c r="AS14" s="361">
        <f t="shared" ref="AS14" si="30">AP14/AM14%</f>
        <v>2.1276595744680851</v>
      </c>
      <c r="AT14" s="361">
        <f t="shared" ref="AT14" si="31">AQ14/AN14%</f>
        <v>1.1494252873563218</v>
      </c>
      <c r="AU14" s="361">
        <f t="shared" ref="AU14" si="32">AR14/AO14%</f>
        <v>1.4598540145985401</v>
      </c>
    </row>
    <row r="15" spans="1:47" s="362" customFormat="1" ht="46.5" customHeight="1">
      <c r="A15" s="467" t="s">
        <v>3</v>
      </c>
      <c r="B15" s="469"/>
      <c r="C15" s="363">
        <f t="shared" ref="C15:T15" si="33">SUM(C8:C14)</f>
        <v>37664</v>
      </c>
      <c r="D15" s="363">
        <f t="shared" si="33"/>
        <v>15433</v>
      </c>
      <c r="E15" s="363">
        <f t="shared" si="33"/>
        <v>53097</v>
      </c>
      <c r="F15" s="363">
        <f t="shared" si="33"/>
        <v>7878</v>
      </c>
      <c r="G15" s="363">
        <f t="shared" si="33"/>
        <v>4068</v>
      </c>
      <c r="H15" s="363">
        <f t="shared" si="33"/>
        <v>11946</v>
      </c>
      <c r="I15" s="363">
        <f t="shared" si="33"/>
        <v>7056</v>
      </c>
      <c r="J15" s="363">
        <f t="shared" si="33"/>
        <v>3592</v>
      </c>
      <c r="K15" s="363">
        <f t="shared" si="33"/>
        <v>10648</v>
      </c>
      <c r="L15" s="363">
        <f t="shared" si="33"/>
        <v>20470</v>
      </c>
      <c r="M15" s="363">
        <f t="shared" si="33"/>
        <v>14514</v>
      </c>
      <c r="N15" s="363">
        <f t="shared" si="33"/>
        <v>34984</v>
      </c>
      <c r="O15" s="363">
        <f t="shared" si="33"/>
        <v>42401</v>
      </c>
      <c r="P15" s="363">
        <f t="shared" si="33"/>
        <v>36072</v>
      </c>
      <c r="Q15" s="363">
        <f t="shared" si="33"/>
        <v>78473</v>
      </c>
      <c r="R15" s="363">
        <f t="shared" si="33"/>
        <v>16663</v>
      </c>
      <c r="S15" s="363">
        <f t="shared" si="33"/>
        <v>15624</v>
      </c>
      <c r="T15" s="363">
        <f t="shared" si="33"/>
        <v>32287</v>
      </c>
      <c r="U15" s="363">
        <f t="shared" si="16"/>
        <v>7878</v>
      </c>
      <c r="V15" s="363">
        <f t="shared" si="17"/>
        <v>4068</v>
      </c>
      <c r="W15" s="363">
        <f t="shared" si="18"/>
        <v>11946</v>
      </c>
      <c r="X15" s="363">
        <f>SUM(X8:X14)</f>
        <v>29849</v>
      </c>
      <c r="Y15" s="363">
        <f>SUM(Y8:Y14)</f>
        <v>15913</v>
      </c>
      <c r="Z15" s="363">
        <f>SUM(Z8:Z14)</f>
        <v>45762</v>
      </c>
      <c r="AA15" s="364">
        <f t="shared" ref="AA15" si="34">X15/U15%</f>
        <v>378.89058136582889</v>
      </c>
      <c r="AB15" s="364">
        <f t="shared" ref="AB15" si="35">Y15/V15%</f>
        <v>391.17502458210424</v>
      </c>
      <c r="AC15" s="364">
        <f t="shared" ref="AC15" si="36">Z15/W15%</f>
        <v>383.07383224510301</v>
      </c>
      <c r="AD15" s="363">
        <f t="shared" ref="AD15:AI15" si="37">SUM(AD8:AD14)</f>
        <v>20488</v>
      </c>
      <c r="AE15" s="363">
        <f t="shared" si="37"/>
        <v>14454</v>
      </c>
      <c r="AF15" s="363">
        <f t="shared" si="37"/>
        <v>34984</v>
      </c>
      <c r="AG15" s="363">
        <f t="shared" si="37"/>
        <v>3216</v>
      </c>
      <c r="AH15" s="363">
        <f t="shared" si="37"/>
        <v>1923</v>
      </c>
      <c r="AI15" s="363">
        <f t="shared" si="37"/>
        <v>5139</v>
      </c>
      <c r="AJ15" s="364">
        <f t="shared" ref="AJ15" si="38">AG15/AD15%</f>
        <v>15.696993361967982</v>
      </c>
      <c r="AK15" s="364">
        <f t="shared" ref="AK15" si="39">AH15/AE15%</f>
        <v>13.304275633042757</v>
      </c>
      <c r="AL15" s="364">
        <f t="shared" ref="AL15" si="40">AI15/AF15%</f>
        <v>14.689572375943289</v>
      </c>
      <c r="AM15" s="363">
        <f t="shared" ref="AM15:AR15" si="41">SUM(AM8:AM14)</f>
        <v>16659</v>
      </c>
      <c r="AN15" s="363">
        <f t="shared" si="41"/>
        <v>15622</v>
      </c>
      <c r="AO15" s="363">
        <f t="shared" si="41"/>
        <v>32287</v>
      </c>
      <c r="AP15" s="363">
        <f t="shared" si="41"/>
        <v>1808</v>
      </c>
      <c r="AQ15" s="363">
        <f t="shared" si="41"/>
        <v>1468</v>
      </c>
      <c r="AR15" s="363">
        <f t="shared" si="41"/>
        <v>3276</v>
      </c>
      <c r="AS15" s="364">
        <f t="shared" ref="AS15" si="42">AP15/AM15%</f>
        <v>10.852992376493187</v>
      </c>
      <c r="AT15" s="364">
        <f t="shared" ref="AT15" si="43">AQ15/AN15%</f>
        <v>9.3970042248111643</v>
      </c>
      <c r="AU15" s="364">
        <f t="shared" ref="AU15" si="44">AR15/AO15%</f>
        <v>10.146498590764084</v>
      </c>
    </row>
    <row r="16" spans="1:47" ht="25.5" customHeight="1">
      <c r="A16" s="480"/>
      <c r="B16" s="480"/>
      <c r="C16" s="349" t="s">
        <v>227</v>
      </c>
      <c r="D16" s="346"/>
      <c r="E16" s="346"/>
      <c r="F16" s="347"/>
      <c r="G16" s="346"/>
      <c r="H16" s="346"/>
      <c r="I16" s="348"/>
      <c r="J16" s="348"/>
      <c r="K16" s="348"/>
      <c r="L16" s="348"/>
      <c r="M16" s="348"/>
      <c r="N16" s="348"/>
      <c r="O16" s="348"/>
      <c r="P16" s="348"/>
      <c r="Q16" s="348"/>
      <c r="R16" s="154"/>
      <c r="S16" s="154"/>
      <c r="T16" s="154"/>
      <c r="U16" s="349" t="s">
        <v>227</v>
      </c>
      <c r="V16" s="152"/>
      <c r="W16" s="152"/>
      <c r="X16" s="153"/>
      <c r="Y16" s="152"/>
      <c r="Z16" s="152"/>
      <c r="AA16" s="154"/>
      <c r="AB16" s="154"/>
      <c r="AC16" s="154"/>
      <c r="AD16" s="349" t="s">
        <v>227</v>
      </c>
      <c r="AE16" s="152"/>
      <c r="AF16" s="152"/>
      <c r="AG16" s="153"/>
      <c r="AH16" s="152"/>
      <c r="AI16" s="152"/>
      <c r="AJ16" s="154"/>
      <c r="AK16" s="154"/>
      <c r="AL16" s="154"/>
      <c r="AM16" s="349" t="s">
        <v>227</v>
      </c>
      <c r="AN16" s="152"/>
      <c r="AO16" s="152"/>
      <c r="AP16" s="153"/>
      <c r="AQ16" s="152"/>
      <c r="AR16" s="152"/>
      <c r="AS16" s="154"/>
      <c r="AT16" s="154"/>
      <c r="AU16" s="154"/>
    </row>
    <row r="17" spans="1:47" ht="25.5" customHeight="1">
      <c r="A17" s="151"/>
      <c r="B17" s="152"/>
      <c r="C17" s="365" t="s">
        <v>321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U17" s="341" t="s">
        <v>321</v>
      </c>
      <c r="V17" s="341"/>
      <c r="W17" s="341"/>
      <c r="X17" s="341"/>
      <c r="Y17" s="341"/>
      <c r="Z17" s="341"/>
      <c r="AA17" s="341"/>
      <c r="AB17" s="341"/>
      <c r="AC17" s="341"/>
      <c r="AD17" s="341" t="s">
        <v>316</v>
      </c>
      <c r="AE17" s="341"/>
      <c r="AF17" s="341"/>
      <c r="AG17" s="341"/>
      <c r="AH17" s="341"/>
      <c r="AI17" s="341"/>
      <c r="AJ17" s="341"/>
      <c r="AK17" s="341"/>
      <c r="AL17" s="341"/>
      <c r="AM17" s="341" t="s">
        <v>316</v>
      </c>
      <c r="AN17" s="341"/>
      <c r="AO17" s="341"/>
      <c r="AP17" s="341"/>
      <c r="AQ17" s="341"/>
      <c r="AR17" s="341"/>
      <c r="AS17" s="341"/>
      <c r="AT17" s="341"/>
      <c r="AU17" s="341"/>
    </row>
    <row r="18" spans="1:47" ht="15" customHeight="1">
      <c r="C18" s="155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U18" s="155"/>
      <c r="V18" s="156"/>
      <c r="W18" s="156"/>
      <c r="X18" s="156"/>
      <c r="Y18" s="156"/>
      <c r="Z18" s="156"/>
      <c r="AA18" s="156"/>
      <c r="AB18" s="156"/>
      <c r="AC18" s="156"/>
      <c r="AD18" s="155"/>
      <c r="AE18" s="156"/>
      <c r="AF18" s="156"/>
      <c r="AG18" s="156"/>
      <c r="AH18" s="156"/>
      <c r="AI18" s="156"/>
      <c r="AJ18" s="156"/>
      <c r="AK18" s="156"/>
      <c r="AL18" s="156"/>
      <c r="AM18" s="155"/>
      <c r="AN18" s="156"/>
      <c r="AO18" s="156"/>
      <c r="AP18" s="156"/>
      <c r="AQ18" s="156"/>
      <c r="AR18" s="156"/>
      <c r="AS18" s="156"/>
      <c r="AT18" s="156"/>
      <c r="AU18" s="156"/>
    </row>
  </sheetData>
  <mergeCells count="32">
    <mergeCell ref="AS4:AU4"/>
    <mergeCell ref="U3:AC3"/>
    <mergeCell ref="AD3:AL3"/>
    <mergeCell ref="AM3:AU3"/>
    <mergeCell ref="AS5:AU5"/>
    <mergeCell ref="X5:Z5"/>
    <mergeCell ref="U4:W5"/>
    <mergeCell ref="X4:Z4"/>
    <mergeCell ref="AA4:AC4"/>
    <mergeCell ref="AG5:AI5"/>
    <mergeCell ref="AJ5:AL5"/>
    <mergeCell ref="AP5:AR5"/>
    <mergeCell ref="AJ4:AL4"/>
    <mergeCell ref="AM4:AO5"/>
    <mergeCell ref="AP4:AR4"/>
    <mergeCell ref="AD4:AF5"/>
    <mergeCell ref="A16:B16"/>
    <mergeCell ref="C5:E5"/>
    <mergeCell ref="F5:H5"/>
    <mergeCell ref="I5:K5"/>
    <mergeCell ref="A3:A6"/>
    <mergeCell ref="B3:B6"/>
    <mergeCell ref="C4:H4"/>
    <mergeCell ref="C3:T3"/>
    <mergeCell ref="L5:N5"/>
    <mergeCell ref="O5:Q5"/>
    <mergeCell ref="R5:T5"/>
    <mergeCell ref="AG4:AI4"/>
    <mergeCell ref="AA5:AC5"/>
    <mergeCell ref="I4:N4"/>
    <mergeCell ref="O4:T4"/>
    <mergeCell ref="A15:B15"/>
  </mergeCells>
  <pageMargins left="0.7" right="0.7" top="0.75" bottom="0.75" header="0.3" footer="0.3"/>
  <pageSetup paperSize="9" scale="51" firstPageNumber="25" orientation="landscape" useFirstPageNumber="1" r:id="rId1"/>
  <headerFooter>
    <oddFooter>Page &amp;P</oddFooter>
  </headerFooter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T44"/>
  <sheetViews>
    <sheetView view="pageBreakPreview" topLeftCell="A37" zoomScale="60" workbookViewId="0">
      <selection activeCell="R59" sqref="R59"/>
    </sheetView>
  </sheetViews>
  <sheetFormatPr defaultRowHeight="15"/>
  <cols>
    <col min="1" max="1" width="9.28515625" bestFit="1" customWidth="1"/>
    <col min="2" max="2" width="13.5703125" customWidth="1"/>
    <col min="3" max="3" width="14.42578125" customWidth="1"/>
    <col min="4" max="4" width="11.5703125" bestFit="1" customWidth="1"/>
    <col min="5" max="5" width="13" bestFit="1" customWidth="1"/>
    <col min="6" max="7" width="11.5703125" bestFit="1" customWidth="1"/>
    <col min="8" max="8" width="13" bestFit="1" customWidth="1"/>
    <col min="9" max="14" width="11.5703125" bestFit="1" customWidth="1"/>
    <col min="15" max="16" width="10.140625" bestFit="1" customWidth="1"/>
    <col min="17" max="17" width="11.5703125" bestFit="1" customWidth="1"/>
    <col min="18" max="19" width="10.140625" bestFit="1" customWidth="1"/>
    <col min="20" max="20" width="10.28515625" bestFit="1" customWidth="1"/>
  </cols>
  <sheetData>
    <row r="1" spans="1:20" ht="18">
      <c r="A1" s="130"/>
      <c r="B1" s="130"/>
      <c r="C1" s="131" t="s">
        <v>329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 t="str">
        <f>+C1</f>
        <v>Table 11 - SECONDARY EXAMINATION RESULTS DURING 2010 - 2017 (CENTRAL/STATE BOARDS)</v>
      </c>
      <c r="P1" s="132"/>
      <c r="Q1" s="132"/>
      <c r="R1" s="132"/>
      <c r="S1" s="132"/>
      <c r="T1" s="132"/>
    </row>
    <row r="2" spans="1:20">
      <c r="A2" s="458" t="s">
        <v>218</v>
      </c>
      <c r="B2" s="460" t="s">
        <v>327</v>
      </c>
      <c r="C2" s="458" t="s">
        <v>188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 t="s">
        <v>188</v>
      </c>
      <c r="P2" s="458"/>
      <c r="Q2" s="458"/>
      <c r="R2" s="458"/>
      <c r="S2" s="458"/>
      <c r="T2" s="458"/>
    </row>
    <row r="3" spans="1:20">
      <c r="A3" s="458"/>
      <c r="B3" s="461"/>
      <c r="C3" s="458" t="s">
        <v>219</v>
      </c>
      <c r="D3" s="458"/>
      <c r="E3" s="458"/>
      <c r="F3" s="458"/>
      <c r="G3" s="458"/>
      <c r="H3" s="458"/>
      <c r="I3" s="458" t="s">
        <v>220</v>
      </c>
      <c r="J3" s="458"/>
      <c r="K3" s="458"/>
      <c r="L3" s="458"/>
      <c r="M3" s="458"/>
      <c r="N3" s="458"/>
      <c r="O3" s="458" t="s">
        <v>221</v>
      </c>
      <c r="P3" s="458"/>
      <c r="Q3" s="458"/>
      <c r="R3" s="458"/>
      <c r="S3" s="458"/>
      <c r="T3" s="458"/>
    </row>
    <row r="4" spans="1:20">
      <c r="A4" s="458"/>
      <c r="B4" s="461"/>
      <c r="C4" s="458" t="s">
        <v>5</v>
      </c>
      <c r="D4" s="458"/>
      <c r="E4" s="458"/>
      <c r="F4" s="458" t="s">
        <v>6</v>
      </c>
      <c r="G4" s="458"/>
      <c r="H4" s="458"/>
      <c r="I4" s="458" t="s">
        <v>5</v>
      </c>
      <c r="J4" s="458"/>
      <c r="K4" s="458"/>
      <c r="L4" s="458" t="s">
        <v>6</v>
      </c>
      <c r="M4" s="458"/>
      <c r="N4" s="458"/>
      <c r="O4" s="458" t="s">
        <v>5</v>
      </c>
      <c r="P4" s="458"/>
      <c r="Q4" s="458"/>
      <c r="R4" s="458" t="s">
        <v>6</v>
      </c>
      <c r="S4" s="458"/>
      <c r="T4" s="458"/>
    </row>
    <row r="5" spans="1:20">
      <c r="A5" s="458"/>
      <c r="B5" s="461"/>
      <c r="C5" s="366" t="s">
        <v>43</v>
      </c>
      <c r="D5" s="366" t="s">
        <v>44</v>
      </c>
      <c r="E5" s="366" t="s">
        <v>3</v>
      </c>
      <c r="F5" s="366" t="s">
        <v>43</v>
      </c>
      <c r="G5" s="366" t="s">
        <v>44</v>
      </c>
      <c r="H5" s="366" t="s">
        <v>3</v>
      </c>
      <c r="I5" s="366" t="s">
        <v>43</v>
      </c>
      <c r="J5" s="366" t="s">
        <v>44</v>
      </c>
      <c r="K5" s="366" t="s">
        <v>3</v>
      </c>
      <c r="L5" s="366" t="s">
        <v>43</v>
      </c>
      <c r="M5" s="366" t="s">
        <v>44</v>
      </c>
      <c r="N5" s="366" t="s">
        <v>3</v>
      </c>
      <c r="O5" s="366" t="s">
        <v>43</v>
      </c>
      <c r="P5" s="366" t="s">
        <v>44</v>
      </c>
      <c r="Q5" s="366" t="s">
        <v>3</v>
      </c>
      <c r="R5" s="366" t="s">
        <v>43</v>
      </c>
      <c r="S5" s="366" t="s">
        <v>44</v>
      </c>
      <c r="T5" s="366" t="s">
        <v>3</v>
      </c>
    </row>
    <row r="6" spans="1:2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133">
        <v>6</v>
      </c>
      <c r="G6" s="133">
        <v>7</v>
      </c>
      <c r="H6" s="133">
        <v>8</v>
      </c>
      <c r="I6" s="133">
        <v>9</v>
      </c>
      <c r="J6" s="133">
        <v>10</v>
      </c>
      <c r="K6" s="133">
        <v>11</v>
      </c>
      <c r="L6" s="133">
        <v>12</v>
      </c>
      <c r="M6" s="133">
        <v>13</v>
      </c>
      <c r="N6" s="133">
        <v>14</v>
      </c>
      <c r="O6" s="133">
        <v>15</v>
      </c>
      <c r="P6" s="133">
        <v>16</v>
      </c>
      <c r="Q6" s="133">
        <v>17</v>
      </c>
      <c r="R6" s="133">
        <v>18</v>
      </c>
      <c r="S6" s="133">
        <v>19</v>
      </c>
      <c r="T6" s="133">
        <v>20</v>
      </c>
    </row>
    <row r="7" spans="1:20" ht="15.75">
      <c r="A7" s="134">
        <v>2010</v>
      </c>
      <c r="B7" s="135">
        <v>34</v>
      </c>
      <c r="C7" s="136">
        <f>+[1]Board!AG44</f>
        <v>9374906</v>
      </c>
      <c r="D7" s="136">
        <f>+[1]Board!AH44</f>
        <v>7351211</v>
      </c>
      <c r="E7" s="136">
        <f>+[1]Board!AI44</f>
        <v>16726117</v>
      </c>
      <c r="F7" s="136">
        <f>+[1]Board!AP44</f>
        <v>6862354</v>
      </c>
      <c r="G7" s="136">
        <f>+[1]Board!AQ44</f>
        <v>5687118</v>
      </c>
      <c r="H7" s="136">
        <f>+[1]Board!AR44</f>
        <v>12549472</v>
      </c>
      <c r="I7" s="136">
        <f>+[1]Board!BZ44</f>
        <v>1517853</v>
      </c>
      <c r="J7" s="136">
        <f>+[1]Board!CA44</f>
        <v>1169643</v>
      </c>
      <c r="K7" s="136">
        <f>+[1]Board!CB44</f>
        <v>2687496</v>
      </c>
      <c r="L7" s="136">
        <f>+[1]Board!CI44</f>
        <v>1020344</v>
      </c>
      <c r="M7" s="136">
        <f>+[1]Board!CJ44</f>
        <v>834309</v>
      </c>
      <c r="N7" s="136">
        <f>+[1]Board!CK44</f>
        <v>1854653</v>
      </c>
      <c r="O7" s="136">
        <f>+[1]Board!DS44</f>
        <v>613490</v>
      </c>
      <c r="P7" s="136">
        <f>+[1]Board!DT44</f>
        <v>476366</v>
      </c>
      <c r="Q7" s="136">
        <f>+[1]Board!DU44</f>
        <v>1089856</v>
      </c>
      <c r="R7" s="136">
        <f>+[1]Board!EB44</f>
        <v>382583</v>
      </c>
      <c r="S7" s="136">
        <f>+[1]Board!EC44</f>
        <v>293139</v>
      </c>
      <c r="T7" s="136">
        <f>+[1]Board!ED44</f>
        <v>675722</v>
      </c>
    </row>
    <row r="8" spans="1:20" ht="15.75">
      <c r="A8" s="137">
        <v>2011</v>
      </c>
      <c r="B8" s="135">
        <v>34</v>
      </c>
      <c r="C8" s="136">
        <v>9799667</v>
      </c>
      <c r="D8" s="136">
        <v>7818871</v>
      </c>
      <c r="E8" s="136">
        <v>17623309</v>
      </c>
      <c r="F8" s="136">
        <v>7183560</v>
      </c>
      <c r="G8" s="136">
        <v>6013853</v>
      </c>
      <c r="H8" s="136">
        <v>13199625</v>
      </c>
      <c r="I8" s="136">
        <v>1687903</v>
      </c>
      <c r="J8" s="136">
        <v>1379568</v>
      </c>
      <c r="K8" s="136">
        <v>3067471</v>
      </c>
      <c r="L8" s="136">
        <v>1150634</v>
      </c>
      <c r="M8" s="136">
        <v>977953</v>
      </c>
      <c r="N8" s="136">
        <v>2128587</v>
      </c>
      <c r="O8" s="136">
        <v>661275</v>
      </c>
      <c r="P8" s="136">
        <v>531300</v>
      </c>
      <c r="Q8" s="136">
        <v>1192575</v>
      </c>
      <c r="R8" s="136">
        <v>415430</v>
      </c>
      <c r="S8" s="136">
        <v>332993</v>
      </c>
      <c r="T8" s="136">
        <v>748423</v>
      </c>
    </row>
    <row r="9" spans="1:20" ht="15.75">
      <c r="A9" s="134">
        <v>2012</v>
      </c>
      <c r="B9" s="135">
        <v>34</v>
      </c>
      <c r="C9" s="138">
        <v>9939916</v>
      </c>
      <c r="D9" s="138">
        <v>8086742</v>
      </c>
      <c r="E9" s="138">
        <v>18026658</v>
      </c>
      <c r="F9" s="138">
        <v>7430776</v>
      </c>
      <c r="G9" s="138">
        <v>6334551</v>
      </c>
      <c r="H9" s="138">
        <v>13765327</v>
      </c>
      <c r="I9" s="138">
        <v>1596559</v>
      </c>
      <c r="J9" s="138">
        <v>1285426</v>
      </c>
      <c r="K9" s="138">
        <v>2881985</v>
      </c>
      <c r="L9" s="138">
        <v>1097023</v>
      </c>
      <c r="M9" s="138">
        <v>932159</v>
      </c>
      <c r="N9" s="138">
        <v>2029182</v>
      </c>
      <c r="O9" s="138">
        <v>638691</v>
      </c>
      <c r="P9" s="138">
        <v>547182</v>
      </c>
      <c r="Q9" s="138">
        <v>1185873</v>
      </c>
      <c r="R9" s="138">
        <v>395747</v>
      </c>
      <c r="S9" s="138">
        <v>334876</v>
      </c>
      <c r="T9" s="138">
        <v>730623</v>
      </c>
    </row>
    <row r="10" spans="1:20" ht="15.75">
      <c r="A10" s="137">
        <v>2013</v>
      </c>
      <c r="B10" s="135">
        <v>35</v>
      </c>
      <c r="C10" s="136">
        <f t="shared" ref="C10:T10" si="0">+C40-C25</f>
        <v>10507044</v>
      </c>
      <c r="D10" s="136">
        <f t="shared" si="0"/>
        <v>8617208</v>
      </c>
      <c r="E10" s="136">
        <f t="shared" si="0"/>
        <v>19124252</v>
      </c>
      <c r="F10" s="136">
        <f t="shared" si="0"/>
        <v>8037590</v>
      </c>
      <c r="G10" s="136">
        <f t="shared" si="0"/>
        <v>6932924</v>
      </c>
      <c r="H10" s="136">
        <f t="shared" si="0"/>
        <v>14970514</v>
      </c>
      <c r="I10" s="136">
        <f t="shared" si="0"/>
        <v>1765636</v>
      </c>
      <c r="J10" s="136">
        <f t="shared" si="0"/>
        <v>1459662</v>
      </c>
      <c r="K10" s="136">
        <f t="shared" si="0"/>
        <v>3225298</v>
      </c>
      <c r="L10" s="136">
        <f t="shared" si="0"/>
        <v>1232058</v>
      </c>
      <c r="M10" s="136">
        <f t="shared" si="0"/>
        <v>1076244</v>
      </c>
      <c r="N10" s="136">
        <f t="shared" si="0"/>
        <v>2308302</v>
      </c>
      <c r="O10" s="136">
        <f t="shared" si="0"/>
        <v>745569</v>
      </c>
      <c r="P10" s="136">
        <f t="shared" si="0"/>
        <v>656963</v>
      </c>
      <c r="Q10" s="136">
        <f t="shared" si="0"/>
        <v>1402532</v>
      </c>
      <c r="R10" s="136">
        <f t="shared" si="0"/>
        <v>480652</v>
      </c>
      <c r="S10" s="136">
        <f t="shared" si="0"/>
        <v>426303</v>
      </c>
      <c r="T10" s="136">
        <f t="shared" si="0"/>
        <v>906955</v>
      </c>
    </row>
    <row r="11" spans="1:20" ht="15.75">
      <c r="A11" s="137">
        <v>2014</v>
      </c>
      <c r="B11" s="135">
        <v>35</v>
      </c>
      <c r="C11" s="136">
        <f t="shared" ref="C11:T11" si="1">+C41-C26</f>
        <v>10229689</v>
      </c>
      <c r="D11" s="136">
        <f t="shared" si="1"/>
        <v>8625318</v>
      </c>
      <c r="E11" s="136">
        <f t="shared" si="1"/>
        <v>18855007</v>
      </c>
      <c r="F11" s="136">
        <f t="shared" si="1"/>
        <v>8041716</v>
      </c>
      <c r="G11" s="136">
        <f t="shared" si="1"/>
        <v>7053738</v>
      </c>
      <c r="H11" s="136">
        <f t="shared" si="1"/>
        <v>15095454</v>
      </c>
      <c r="I11" s="136">
        <f t="shared" si="1"/>
        <v>1756049</v>
      </c>
      <c r="J11" s="136">
        <f t="shared" si="1"/>
        <v>1485264</v>
      </c>
      <c r="K11" s="136">
        <f t="shared" si="1"/>
        <v>3241313</v>
      </c>
      <c r="L11" s="136">
        <f t="shared" si="1"/>
        <v>1268455</v>
      </c>
      <c r="M11" s="136">
        <f t="shared" si="1"/>
        <v>1124169</v>
      </c>
      <c r="N11" s="136">
        <f t="shared" si="1"/>
        <v>2392586</v>
      </c>
      <c r="O11" s="136">
        <f t="shared" si="1"/>
        <v>757751</v>
      </c>
      <c r="P11" s="136">
        <f t="shared" si="1"/>
        <v>694604</v>
      </c>
      <c r="Q11" s="136">
        <f t="shared" si="1"/>
        <v>1452355</v>
      </c>
      <c r="R11" s="136">
        <f t="shared" si="1"/>
        <v>501712</v>
      </c>
      <c r="S11" s="136">
        <f t="shared" si="1"/>
        <v>450920</v>
      </c>
      <c r="T11" s="136">
        <f t="shared" si="1"/>
        <v>952632</v>
      </c>
    </row>
    <row r="12" spans="1:20" ht="15.75">
      <c r="A12" s="137">
        <v>2015</v>
      </c>
      <c r="B12" s="135">
        <v>35</v>
      </c>
      <c r="C12" s="136">
        <f t="shared" ref="C12:T12" si="2">+C42-C27</f>
        <v>10078588</v>
      </c>
      <c r="D12" s="136">
        <f t="shared" si="2"/>
        <v>8708092</v>
      </c>
      <c r="E12" s="136">
        <f t="shared" si="2"/>
        <v>18786680</v>
      </c>
      <c r="F12" s="136">
        <f t="shared" si="2"/>
        <v>7830993</v>
      </c>
      <c r="G12" s="136">
        <f t="shared" si="2"/>
        <v>7038908</v>
      </c>
      <c r="H12" s="136">
        <f t="shared" si="2"/>
        <v>14869901</v>
      </c>
      <c r="I12" s="136">
        <f t="shared" si="2"/>
        <v>1728900</v>
      </c>
      <c r="J12" s="136">
        <f t="shared" si="2"/>
        <v>1495210</v>
      </c>
      <c r="K12" s="136">
        <f t="shared" si="2"/>
        <v>3224110</v>
      </c>
      <c r="L12" s="136">
        <f t="shared" si="2"/>
        <v>1244282</v>
      </c>
      <c r="M12" s="136">
        <f t="shared" si="2"/>
        <v>1119501</v>
      </c>
      <c r="N12" s="136">
        <f t="shared" si="2"/>
        <v>2363783</v>
      </c>
      <c r="O12" s="136">
        <f t="shared" si="2"/>
        <v>756299</v>
      </c>
      <c r="P12" s="136">
        <f t="shared" si="2"/>
        <v>711597</v>
      </c>
      <c r="Q12" s="136">
        <f t="shared" si="2"/>
        <v>1467896</v>
      </c>
      <c r="R12" s="136">
        <f t="shared" si="2"/>
        <v>491790</v>
      </c>
      <c r="S12" s="136">
        <f t="shared" si="2"/>
        <v>449720</v>
      </c>
      <c r="T12" s="136">
        <f t="shared" si="2"/>
        <v>941510</v>
      </c>
    </row>
    <row r="13" spans="1:20" ht="15.75">
      <c r="A13" s="137">
        <v>2016</v>
      </c>
      <c r="B13" s="143">
        <v>42</v>
      </c>
      <c r="C13" s="136">
        <v>10446940</v>
      </c>
      <c r="D13" s="136">
        <v>8948878</v>
      </c>
      <c r="E13" s="136">
        <v>19395818</v>
      </c>
      <c r="F13" s="136">
        <v>8118493</v>
      </c>
      <c r="G13" s="136">
        <v>7140555</v>
      </c>
      <c r="H13" s="136">
        <v>15259048</v>
      </c>
      <c r="I13" s="136">
        <v>1840866</v>
      </c>
      <c r="J13" s="136">
        <v>1590816</v>
      </c>
      <c r="K13" s="136">
        <v>3431682</v>
      </c>
      <c r="L13" s="136">
        <v>1324673</v>
      </c>
      <c r="M13" s="136">
        <v>1187053</v>
      </c>
      <c r="N13" s="136">
        <v>2511726</v>
      </c>
      <c r="O13" s="136">
        <v>779133</v>
      </c>
      <c r="P13" s="136">
        <v>734656</v>
      </c>
      <c r="Q13" s="136">
        <v>1513789</v>
      </c>
      <c r="R13" s="136">
        <v>507673</v>
      </c>
      <c r="S13" s="136">
        <v>476877</v>
      </c>
      <c r="T13" s="136">
        <v>984550</v>
      </c>
    </row>
    <row r="14" spans="1:20" ht="15.75">
      <c r="A14" s="137">
        <v>2017</v>
      </c>
      <c r="B14" s="135">
        <v>41</v>
      </c>
      <c r="C14" s="136">
        <f>+[2]Board!AG51</f>
        <v>10340418</v>
      </c>
      <c r="D14" s="136">
        <f>+[2]Board!AH51</f>
        <v>8973973</v>
      </c>
      <c r="E14" s="136">
        <f>+[2]Board!AI51</f>
        <v>19314391</v>
      </c>
      <c r="F14" s="136">
        <f>+[2]Board!AP51</f>
        <v>7872615</v>
      </c>
      <c r="G14" s="136">
        <f>+[2]Board!AQ51</f>
        <v>7004464</v>
      </c>
      <c r="H14" s="136">
        <f>+[2]Board!AR51</f>
        <v>14877079</v>
      </c>
      <c r="I14" s="136">
        <f>+[2]Board!BZ51</f>
        <v>1818268</v>
      </c>
      <c r="J14" s="136">
        <f>+[2]Board!CA51</f>
        <v>1615036</v>
      </c>
      <c r="K14" s="136">
        <f>+[2]Board!CB51</f>
        <v>3433304</v>
      </c>
      <c r="L14" s="136">
        <f>+[2]Board!CI51</f>
        <v>1270069</v>
      </c>
      <c r="M14" s="136">
        <f>+[2]Board!CJ51</f>
        <v>1162453</v>
      </c>
      <c r="N14" s="136">
        <f>+[2]Board!CK51</f>
        <v>2432522</v>
      </c>
      <c r="O14" s="136">
        <f>+[2]Board!DS51</f>
        <v>761861</v>
      </c>
      <c r="P14" s="136">
        <f>+[2]Board!DT51</f>
        <v>735819</v>
      </c>
      <c r="Q14" s="136">
        <f>+[2]Board!DU51</f>
        <v>1497680</v>
      </c>
      <c r="R14" s="136">
        <f>+[2]Board!EB51</f>
        <v>510415</v>
      </c>
      <c r="S14" s="136">
        <f>+[2]Board!EC51</f>
        <v>493280</v>
      </c>
      <c r="T14" s="136">
        <f>+[2]Board!ED51</f>
        <v>1003695</v>
      </c>
    </row>
    <row r="15" spans="1:20" ht="15.75">
      <c r="A15" s="140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1:20" ht="18">
      <c r="A16" s="130"/>
      <c r="C16" s="131" t="s">
        <v>330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 t="str">
        <f>+C16</f>
        <v>Table 12 -SECONDARY EXAMINATION RESULTS DURING 2010 - 2017 (OPEN SCHOOL BOARDS)</v>
      </c>
      <c r="P16" s="131"/>
      <c r="Q16" s="131"/>
      <c r="R16" s="131"/>
      <c r="S16" s="131"/>
      <c r="T16" s="131"/>
    </row>
    <row r="17" spans="1:20" ht="15" customHeight="1">
      <c r="A17" s="458" t="s">
        <v>218</v>
      </c>
      <c r="B17" s="460" t="s">
        <v>327</v>
      </c>
      <c r="C17" s="458" t="s">
        <v>188</v>
      </c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 t="s">
        <v>188</v>
      </c>
      <c r="P17" s="458"/>
      <c r="Q17" s="458"/>
      <c r="R17" s="458"/>
      <c r="S17" s="458"/>
      <c r="T17" s="458"/>
    </row>
    <row r="18" spans="1:20">
      <c r="A18" s="458"/>
      <c r="B18" s="461"/>
      <c r="C18" s="458" t="s">
        <v>219</v>
      </c>
      <c r="D18" s="458"/>
      <c r="E18" s="458"/>
      <c r="F18" s="458"/>
      <c r="G18" s="458"/>
      <c r="H18" s="458"/>
      <c r="I18" s="458" t="s">
        <v>220</v>
      </c>
      <c r="J18" s="458"/>
      <c r="K18" s="458"/>
      <c r="L18" s="458"/>
      <c r="M18" s="458"/>
      <c r="N18" s="458"/>
      <c r="O18" s="458" t="s">
        <v>221</v>
      </c>
      <c r="P18" s="458"/>
      <c r="Q18" s="458"/>
      <c r="R18" s="458"/>
      <c r="S18" s="458"/>
      <c r="T18" s="458"/>
    </row>
    <row r="19" spans="1:20">
      <c r="A19" s="458"/>
      <c r="B19" s="461"/>
      <c r="C19" s="458" t="s">
        <v>5</v>
      </c>
      <c r="D19" s="458"/>
      <c r="E19" s="458"/>
      <c r="F19" s="458" t="s">
        <v>6</v>
      </c>
      <c r="G19" s="458"/>
      <c r="H19" s="458"/>
      <c r="I19" s="458" t="s">
        <v>5</v>
      </c>
      <c r="J19" s="458"/>
      <c r="K19" s="458"/>
      <c r="L19" s="458" t="s">
        <v>6</v>
      </c>
      <c r="M19" s="458"/>
      <c r="N19" s="458"/>
      <c r="O19" s="458" t="s">
        <v>5</v>
      </c>
      <c r="P19" s="458"/>
      <c r="Q19" s="458"/>
      <c r="R19" s="458" t="s">
        <v>6</v>
      </c>
      <c r="S19" s="458"/>
      <c r="T19" s="458"/>
    </row>
    <row r="20" spans="1:20">
      <c r="A20" s="458"/>
      <c r="B20" s="461"/>
      <c r="C20" s="366" t="s">
        <v>43</v>
      </c>
      <c r="D20" s="366" t="s">
        <v>44</v>
      </c>
      <c r="E20" s="366" t="s">
        <v>3</v>
      </c>
      <c r="F20" s="366" t="s">
        <v>43</v>
      </c>
      <c r="G20" s="366" t="s">
        <v>44</v>
      </c>
      <c r="H20" s="366" t="s">
        <v>3</v>
      </c>
      <c r="I20" s="366" t="s">
        <v>43</v>
      </c>
      <c r="J20" s="366" t="s">
        <v>44</v>
      </c>
      <c r="K20" s="366" t="s">
        <v>3</v>
      </c>
      <c r="L20" s="366" t="s">
        <v>43</v>
      </c>
      <c r="M20" s="366" t="s">
        <v>44</v>
      </c>
      <c r="N20" s="366" t="s">
        <v>3</v>
      </c>
      <c r="O20" s="366" t="s">
        <v>43</v>
      </c>
      <c r="P20" s="366" t="s">
        <v>44</v>
      </c>
      <c r="Q20" s="366" t="s">
        <v>3</v>
      </c>
      <c r="R20" s="366" t="s">
        <v>43</v>
      </c>
      <c r="S20" s="366" t="s">
        <v>44</v>
      </c>
      <c r="T20" s="366" t="s">
        <v>3</v>
      </c>
    </row>
    <row r="21" spans="1:20">
      <c r="A21" s="141">
        <v>1</v>
      </c>
      <c r="B21" s="133">
        <v>2</v>
      </c>
      <c r="C21" s="141">
        <v>3</v>
      </c>
      <c r="D21" s="133">
        <v>4</v>
      </c>
      <c r="E21" s="141">
        <v>5</v>
      </c>
      <c r="F21" s="133">
        <v>6</v>
      </c>
      <c r="G21" s="141">
        <v>7</v>
      </c>
      <c r="H21" s="133">
        <v>8</v>
      </c>
      <c r="I21" s="141">
        <v>9</v>
      </c>
      <c r="J21" s="133">
        <v>10</v>
      </c>
      <c r="K21" s="141">
        <v>11</v>
      </c>
      <c r="L21" s="133">
        <v>12</v>
      </c>
      <c r="M21" s="141">
        <v>13</v>
      </c>
      <c r="N21" s="133">
        <v>14</v>
      </c>
      <c r="O21" s="141">
        <v>15</v>
      </c>
      <c r="P21" s="133">
        <v>16</v>
      </c>
      <c r="Q21" s="141">
        <v>17</v>
      </c>
      <c r="R21" s="133">
        <v>18</v>
      </c>
      <c r="S21" s="141">
        <v>19</v>
      </c>
      <c r="T21" s="141">
        <v>20</v>
      </c>
    </row>
    <row r="22" spans="1:20" ht="15.75">
      <c r="A22" s="137">
        <v>2010</v>
      </c>
      <c r="B22" s="135">
        <v>6</v>
      </c>
      <c r="C22" s="136">
        <f>+[1]OpenBoard!C14</f>
        <v>309135</v>
      </c>
      <c r="D22" s="136">
        <f>+[1]OpenBoard!D14</f>
        <v>214714</v>
      </c>
      <c r="E22" s="136">
        <f>+[1]OpenBoard!E14</f>
        <v>523849</v>
      </c>
      <c r="F22" s="136">
        <f>+[1]OpenBoard!F14</f>
        <v>166883</v>
      </c>
      <c r="G22" s="136">
        <f>+[1]OpenBoard!G14</f>
        <v>106029</v>
      </c>
      <c r="H22" s="136">
        <f>+[1]OpenBoard!H14</f>
        <v>272912</v>
      </c>
      <c r="I22" s="136">
        <f>+[1]OpenBoard!I14</f>
        <v>44666</v>
      </c>
      <c r="J22" s="136">
        <f>+[1]OpenBoard!J14</f>
        <v>27770</v>
      </c>
      <c r="K22" s="136">
        <f>+[1]OpenBoard!K14</f>
        <v>72436</v>
      </c>
      <c r="L22" s="136">
        <f>+[1]OpenBoard!L14</f>
        <v>23557</v>
      </c>
      <c r="M22" s="136">
        <f>+[1]OpenBoard!M14</f>
        <v>13670</v>
      </c>
      <c r="N22" s="136">
        <f>+[1]OpenBoard!N14</f>
        <v>37227</v>
      </c>
      <c r="O22" s="136">
        <f>+[1]OpenBoard!O14</f>
        <v>29962</v>
      </c>
      <c r="P22" s="136">
        <f>+[1]OpenBoard!P14</f>
        <v>25670</v>
      </c>
      <c r="Q22" s="136">
        <f>+[1]OpenBoard!Q14</f>
        <v>55632</v>
      </c>
      <c r="R22" s="136">
        <f>+[1]OpenBoard!R14</f>
        <v>14045</v>
      </c>
      <c r="S22" s="136">
        <f>+[1]OpenBoard!S14</f>
        <v>12019</v>
      </c>
      <c r="T22" s="136">
        <f>+[1]OpenBoard!T14</f>
        <v>26064</v>
      </c>
    </row>
    <row r="23" spans="1:20" ht="15.75">
      <c r="A23" s="137">
        <v>2011</v>
      </c>
      <c r="B23" s="135">
        <v>6</v>
      </c>
      <c r="C23" s="136">
        <v>318896</v>
      </c>
      <c r="D23" s="136">
        <v>219066</v>
      </c>
      <c r="E23" s="136">
        <v>537962</v>
      </c>
      <c r="F23" s="136">
        <v>187686</v>
      </c>
      <c r="G23" s="136">
        <v>117295</v>
      </c>
      <c r="H23" s="136">
        <v>304981</v>
      </c>
      <c r="I23" s="136">
        <v>54250</v>
      </c>
      <c r="J23" s="136">
        <v>33662</v>
      </c>
      <c r="K23" s="136">
        <v>87912</v>
      </c>
      <c r="L23" s="136">
        <v>30472</v>
      </c>
      <c r="M23" s="136">
        <v>18269</v>
      </c>
      <c r="N23" s="136">
        <v>48741</v>
      </c>
      <c r="O23" s="136">
        <v>36915</v>
      </c>
      <c r="P23" s="136">
        <v>31149</v>
      </c>
      <c r="Q23" s="136">
        <v>68064</v>
      </c>
      <c r="R23" s="136">
        <v>22923</v>
      </c>
      <c r="S23" s="136">
        <v>16365</v>
      </c>
      <c r="T23" s="136">
        <v>39288</v>
      </c>
    </row>
    <row r="24" spans="1:20" ht="15.75">
      <c r="A24" s="137">
        <v>2012</v>
      </c>
      <c r="B24" s="135">
        <v>6</v>
      </c>
      <c r="C24" s="136">
        <v>347228</v>
      </c>
      <c r="D24" s="136">
        <v>200891</v>
      </c>
      <c r="E24" s="136">
        <v>548119</v>
      </c>
      <c r="F24" s="136">
        <v>217754</v>
      </c>
      <c r="G24" s="136">
        <v>128039</v>
      </c>
      <c r="H24" s="136">
        <v>345793</v>
      </c>
      <c r="I24" s="136">
        <v>56716</v>
      </c>
      <c r="J24" s="136">
        <v>29791</v>
      </c>
      <c r="K24" s="136">
        <v>86507</v>
      </c>
      <c r="L24" s="136">
        <v>35086</v>
      </c>
      <c r="M24" s="136">
        <v>18274</v>
      </c>
      <c r="N24" s="136">
        <v>53360</v>
      </c>
      <c r="O24" s="136">
        <v>39167</v>
      </c>
      <c r="P24" s="136">
        <v>28097</v>
      </c>
      <c r="Q24" s="136">
        <v>67264</v>
      </c>
      <c r="R24" s="136">
        <v>21215</v>
      </c>
      <c r="S24" s="136">
        <v>17900</v>
      </c>
      <c r="T24" s="136">
        <v>39115</v>
      </c>
    </row>
    <row r="25" spans="1:20" ht="15.75">
      <c r="A25" s="137">
        <v>2013</v>
      </c>
      <c r="B25" s="135">
        <v>6</v>
      </c>
      <c r="C25" s="136">
        <f>+[3]OpenBoard!C14</f>
        <v>397611</v>
      </c>
      <c r="D25" s="136">
        <f>+[3]OpenBoard!D14</f>
        <v>212752</v>
      </c>
      <c r="E25" s="136">
        <f>+[3]OpenBoard!E14</f>
        <v>610363</v>
      </c>
      <c r="F25" s="136">
        <f>+[3]OpenBoard!F14</f>
        <v>220126</v>
      </c>
      <c r="G25" s="136">
        <f>+[3]OpenBoard!G14</f>
        <v>128848</v>
      </c>
      <c r="H25" s="136">
        <f>+[3]OpenBoard!H14</f>
        <v>348974</v>
      </c>
      <c r="I25" s="136">
        <f>+[3]OpenBoard!I14</f>
        <v>60124</v>
      </c>
      <c r="J25" s="136">
        <f>+[3]OpenBoard!J14</f>
        <v>29784</v>
      </c>
      <c r="K25" s="136">
        <f>+[3]OpenBoard!K14</f>
        <v>89908</v>
      </c>
      <c r="L25" s="136">
        <f>+[3]OpenBoard!L14</f>
        <v>33032</v>
      </c>
      <c r="M25" s="136">
        <f>+[3]OpenBoard!M14</f>
        <v>16829</v>
      </c>
      <c r="N25" s="136">
        <f>+[3]OpenBoard!N14</f>
        <v>49861</v>
      </c>
      <c r="O25" s="136">
        <f>+[3]OpenBoard!O14</f>
        <v>41501</v>
      </c>
      <c r="P25" s="136">
        <f>+[3]OpenBoard!P14</f>
        <v>34982</v>
      </c>
      <c r="Q25" s="136">
        <f>+[3]OpenBoard!Q14</f>
        <v>76483</v>
      </c>
      <c r="R25" s="136">
        <f>+[3]OpenBoard!R14</f>
        <v>22331</v>
      </c>
      <c r="S25" s="136">
        <f>+[3]OpenBoard!S14</f>
        <v>19759</v>
      </c>
      <c r="T25" s="136">
        <f>+[3]OpenBoard!T14</f>
        <v>42090</v>
      </c>
    </row>
    <row r="26" spans="1:20" ht="15.75">
      <c r="A26" s="137">
        <v>2014</v>
      </c>
      <c r="B26" s="135">
        <v>6</v>
      </c>
      <c r="C26" s="136">
        <v>372178</v>
      </c>
      <c r="D26" s="136">
        <v>239081</v>
      </c>
      <c r="E26" s="136">
        <v>611259</v>
      </c>
      <c r="F26" s="136">
        <v>179739</v>
      </c>
      <c r="G26" s="136">
        <v>118181</v>
      </c>
      <c r="H26" s="136">
        <v>297920</v>
      </c>
      <c r="I26" s="136">
        <v>52681</v>
      </c>
      <c r="J26" s="136">
        <v>33237</v>
      </c>
      <c r="K26" s="136">
        <v>85918</v>
      </c>
      <c r="L26" s="136">
        <v>26293</v>
      </c>
      <c r="M26" s="136">
        <v>18021</v>
      </c>
      <c r="N26" s="136">
        <v>44352</v>
      </c>
      <c r="O26" s="136">
        <v>43762</v>
      </c>
      <c r="P26" s="136">
        <v>40573</v>
      </c>
      <c r="Q26" s="136">
        <v>84335</v>
      </c>
      <c r="R26" s="136">
        <v>20411</v>
      </c>
      <c r="S26" s="136">
        <v>18876</v>
      </c>
      <c r="T26" s="136">
        <v>39287</v>
      </c>
    </row>
    <row r="27" spans="1:20" ht="15.75">
      <c r="A27" s="137">
        <v>2015</v>
      </c>
      <c r="B27" s="135">
        <v>6</v>
      </c>
      <c r="C27" s="136">
        <v>213979</v>
      </c>
      <c r="D27" s="136">
        <v>157478</v>
      </c>
      <c r="E27" s="136">
        <v>371457</v>
      </c>
      <c r="F27" s="136">
        <v>137173</v>
      </c>
      <c r="G27" s="136">
        <v>97881</v>
      </c>
      <c r="H27" s="136">
        <v>235054</v>
      </c>
      <c r="I27" s="136">
        <v>33829</v>
      </c>
      <c r="J27" s="136">
        <v>23828</v>
      </c>
      <c r="K27" s="136">
        <v>57657</v>
      </c>
      <c r="L27" s="136">
        <v>22432</v>
      </c>
      <c r="M27" s="136">
        <v>16629</v>
      </c>
      <c r="N27" s="136">
        <v>39061</v>
      </c>
      <c r="O27" s="136">
        <v>27689</v>
      </c>
      <c r="P27" s="136">
        <v>25193</v>
      </c>
      <c r="Q27" s="136">
        <v>53213</v>
      </c>
      <c r="R27" s="136">
        <v>18160</v>
      </c>
      <c r="S27" s="136">
        <v>16443</v>
      </c>
      <c r="T27" s="136">
        <v>34603</v>
      </c>
    </row>
    <row r="28" spans="1:20" ht="15.75">
      <c r="A28" s="137">
        <v>2016</v>
      </c>
      <c r="B28" s="135">
        <v>7</v>
      </c>
      <c r="C28" s="136">
        <v>373506</v>
      </c>
      <c r="D28" s="136">
        <v>240632</v>
      </c>
      <c r="E28" s="136">
        <v>614138</v>
      </c>
      <c r="F28" s="136">
        <v>148004</v>
      </c>
      <c r="G28" s="136">
        <v>105116</v>
      </c>
      <c r="H28" s="136">
        <v>253120</v>
      </c>
      <c r="I28" s="136">
        <v>117348</v>
      </c>
      <c r="J28" s="136">
        <v>65224</v>
      </c>
      <c r="K28" s="136">
        <v>182572</v>
      </c>
      <c r="L28" s="136">
        <v>47203</v>
      </c>
      <c r="M28" s="136">
        <v>28752</v>
      </c>
      <c r="N28" s="136">
        <v>75955</v>
      </c>
      <c r="O28" s="136">
        <v>52907</v>
      </c>
      <c r="P28" s="136">
        <v>38349</v>
      </c>
      <c r="Q28" s="136">
        <v>91256</v>
      </c>
      <c r="R28" s="136">
        <v>20222</v>
      </c>
      <c r="S28" s="136">
        <v>14997</v>
      </c>
      <c r="T28" s="136">
        <v>35219</v>
      </c>
    </row>
    <row r="29" spans="1:20" ht="15.75">
      <c r="A29" s="137">
        <v>2017</v>
      </c>
      <c r="B29" s="135">
        <v>7</v>
      </c>
      <c r="C29" s="136">
        <f>+'[2]Open Board'!C15</f>
        <v>416151</v>
      </c>
      <c r="D29" s="136">
        <f>+'[2]Open Board'!D15</f>
        <v>230386</v>
      </c>
      <c r="E29" s="136">
        <f>+'[2]Open Board'!E15</f>
        <v>646537</v>
      </c>
      <c r="F29" s="136">
        <f>+'[2]Open Board'!F15</f>
        <v>153640</v>
      </c>
      <c r="G29" s="136">
        <f>+'[2]Open Board'!G15</f>
        <v>97756</v>
      </c>
      <c r="H29" s="136">
        <f>+'[2]Open Board'!H15</f>
        <v>251396</v>
      </c>
      <c r="I29" s="136">
        <f>+'[2]Open Board'!I15</f>
        <v>62764</v>
      </c>
      <c r="J29" s="136">
        <f>+'[2]Open Board'!J15</f>
        <v>36693</v>
      </c>
      <c r="K29" s="136">
        <f>+'[2]Open Board'!K15</f>
        <v>99457</v>
      </c>
      <c r="L29" s="136">
        <f>+'[2]Open Board'!L15</f>
        <v>22025</v>
      </c>
      <c r="M29" s="136">
        <f>+'[2]Open Board'!M15</f>
        <v>15076</v>
      </c>
      <c r="N29" s="136">
        <f>+'[2]Open Board'!N15</f>
        <v>37101</v>
      </c>
      <c r="O29" s="136">
        <f>+'[2]Open Board'!O15</f>
        <v>43692</v>
      </c>
      <c r="P29" s="136">
        <f>+'[2]Open Board'!P15</f>
        <v>36302</v>
      </c>
      <c r="Q29" s="136">
        <f>+'[2]Open Board'!Q15</f>
        <v>79994</v>
      </c>
      <c r="R29" s="136">
        <f>+'[2]Open Board'!R15</f>
        <v>17229</v>
      </c>
      <c r="S29" s="136">
        <f>+'[2]Open Board'!S15</f>
        <v>15876</v>
      </c>
      <c r="T29" s="136">
        <f>+'[2]Open Board'!T15</f>
        <v>33105</v>
      </c>
    </row>
    <row r="30" spans="1:20" ht="15.75">
      <c r="B30" s="142"/>
    </row>
    <row r="31" spans="1:20" ht="18">
      <c r="A31" s="130"/>
      <c r="B31" s="142"/>
      <c r="C31" s="131" t="s">
        <v>331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 t="str">
        <f>+C31</f>
        <v>Table 13 - SECONDARY EXAMINATION RESULTS DURING 2010 - 2017 (ALL BOARDS)</v>
      </c>
      <c r="P31" s="131"/>
      <c r="Q31" s="131"/>
      <c r="R31" s="131"/>
      <c r="S31" s="131"/>
      <c r="T31" s="131"/>
    </row>
    <row r="32" spans="1:20" ht="15" customHeight="1">
      <c r="A32" s="458" t="s">
        <v>218</v>
      </c>
      <c r="B32" s="460" t="s">
        <v>327</v>
      </c>
      <c r="C32" s="458" t="s">
        <v>188</v>
      </c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 t="s">
        <v>188</v>
      </c>
      <c r="P32" s="458"/>
      <c r="Q32" s="458"/>
      <c r="R32" s="458"/>
      <c r="S32" s="458"/>
      <c r="T32" s="458"/>
    </row>
    <row r="33" spans="1:20">
      <c r="A33" s="458"/>
      <c r="B33" s="461"/>
      <c r="C33" s="458" t="s">
        <v>219</v>
      </c>
      <c r="D33" s="458"/>
      <c r="E33" s="458"/>
      <c r="F33" s="458"/>
      <c r="G33" s="458"/>
      <c r="H33" s="458"/>
      <c r="I33" s="458" t="s">
        <v>220</v>
      </c>
      <c r="J33" s="458"/>
      <c r="K33" s="458"/>
      <c r="L33" s="458"/>
      <c r="M33" s="458"/>
      <c r="N33" s="458"/>
      <c r="O33" s="458" t="s">
        <v>221</v>
      </c>
      <c r="P33" s="458"/>
      <c r="Q33" s="458"/>
      <c r="R33" s="458"/>
      <c r="S33" s="458"/>
      <c r="T33" s="458"/>
    </row>
    <row r="34" spans="1:20">
      <c r="A34" s="458"/>
      <c r="B34" s="461"/>
      <c r="C34" s="458" t="s">
        <v>5</v>
      </c>
      <c r="D34" s="458"/>
      <c r="E34" s="458"/>
      <c r="F34" s="458" t="s">
        <v>6</v>
      </c>
      <c r="G34" s="458"/>
      <c r="H34" s="458"/>
      <c r="I34" s="458" t="s">
        <v>5</v>
      </c>
      <c r="J34" s="458"/>
      <c r="K34" s="458"/>
      <c r="L34" s="458" t="s">
        <v>6</v>
      </c>
      <c r="M34" s="458"/>
      <c r="N34" s="458"/>
      <c r="O34" s="458" t="s">
        <v>5</v>
      </c>
      <c r="P34" s="458"/>
      <c r="Q34" s="458"/>
      <c r="R34" s="458" t="s">
        <v>6</v>
      </c>
      <c r="S34" s="458"/>
      <c r="T34" s="458"/>
    </row>
    <row r="35" spans="1:20">
      <c r="A35" s="458"/>
      <c r="B35" s="461"/>
      <c r="C35" s="366" t="s">
        <v>43</v>
      </c>
      <c r="D35" s="366" t="s">
        <v>44</v>
      </c>
      <c r="E35" s="366" t="s">
        <v>3</v>
      </c>
      <c r="F35" s="366" t="s">
        <v>43</v>
      </c>
      <c r="G35" s="366" t="s">
        <v>44</v>
      </c>
      <c r="H35" s="366" t="s">
        <v>3</v>
      </c>
      <c r="I35" s="366" t="s">
        <v>43</v>
      </c>
      <c r="J35" s="366" t="s">
        <v>44</v>
      </c>
      <c r="K35" s="366" t="s">
        <v>3</v>
      </c>
      <c r="L35" s="366" t="s">
        <v>43</v>
      </c>
      <c r="M35" s="366" t="s">
        <v>44</v>
      </c>
      <c r="N35" s="366" t="s">
        <v>3</v>
      </c>
      <c r="O35" s="366" t="s">
        <v>43</v>
      </c>
      <c r="P35" s="366" t="s">
        <v>44</v>
      </c>
      <c r="Q35" s="366" t="s">
        <v>3</v>
      </c>
      <c r="R35" s="366" t="s">
        <v>43</v>
      </c>
      <c r="S35" s="366" t="s">
        <v>44</v>
      </c>
      <c r="T35" s="366" t="s">
        <v>3</v>
      </c>
    </row>
    <row r="36" spans="1:20">
      <c r="A36" s="133">
        <v>1</v>
      </c>
      <c r="B36" s="133">
        <v>2</v>
      </c>
      <c r="C36" s="133">
        <v>3</v>
      </c>
      <c r="D36" s="133">
        <v>4</v>
      </c>
      <c r="E36" s="133">
        <v>5</v>
      </c>
      <c r="F36" s="133">
        <v>6</v>
      </c>
      <c r="G36" s="133">
        <v>7</v>
      </c>
      <c r="H36" s="133">
        <v>8</v>
      </c>
      <c r="I36" s="133">
        <v>9</v>
      </c>
      <c r="J36" s="133">
        <v>10</v>
      </c>
      <c r="K36" s="133">
        <v>11</v>
      </c>
      <c r="L36" s="133">
        <v>12</v>
      </c>
      <c r="M36" s="133">
        <v>13</v>
      </c>
      <c r="N36" s="133">
        <v>14</v>
      </c>
      <c r="O36" s="133">
        <v>15</v>
      </c>
      <c r="P36" s="133">
        <v>16</v>
      </c>
      <c r="Q36" s="133">
        <v>17</v>
      </c>
      <c r="R36" s="133">
        <v>18</v>
      </c>
      <c r="S36" s="133">
        <v>19</v>
      </c>
      <c r="T36" s="133">
        <v>20</v>
      </c>
    </row>
    <row r="37" spans="1:20" ht="15.75">
      <c r="A37" s="134">
        <v>2010</v>
      </c>
      <c r="B37" s="135">
        <f t="shared" ref="B37:T44" si="3">+B7+B22</f>
        <v>40</v>
      </c>
      <c r="C37" s="136">
        <f t="shared" si="3"/>
        <v>9684041</v>
      </c>
      <c r="D37" s="136">
        <f t="shared" si="3"/>
        <v>7565925</v>
      </c>
      <c r="E37" s="136">
        <f t="shared" si="3"/>
        <v>17249966</v>
      </c>
      <c r="F37" s="136">
        <f t="shared" si="3"/>
        <v>7029237</v>
      </c>
      <c r="G37" s="136">
        <f t="shared" si="3"/>
        <v>5793147</v>
      </c>
      <c r="H37" s="136">
        <f t="shared" si="3"/>
        <v>12822384</v>
      </c>
      <c r="I37" s="136">
        <f t="shared" si="3"/>
        <v>1562519</v>
      </c>
      <c r="J37" s="136">
        <f t="shared" si="3"/>
        <v>1197413</v>
      </c>
      <c r="K37" s="136">
        <f t="shared" si="3"/>
        <v>2759932</v>
      </c>
      <c r="L37" s="136">
        <f t="shared" si="3"/>
        <v>1043901</v>
      </c>
      <c r="M37" s="136">
        <f t="shared" si="3"/>
        <v>847979</v>
      </c>
      <c r="N37" s="136">
        <f t="shared" si="3"/>
        <v>1891880</v>
      </c>
      <c r="O37" s="136">
        <f t="shared" si="3"/>
        <v>643452</v>
      </c>
      <c r="P37" s="136">
        <f t="shared" si="3"/>
        <v>502036</v>
      </c>
      <c r="Q37" s="136">
        <f t="shared" si="3"/>
        <v>1145488</v>
      </c>
      <c r="R37" s="136">
        <f t="shared" si="3"/>
        <v>396628</v>
      </c>
      <c r="S37" s="136">
        <f t="shared" si="3"/>
        <v>305158</v>
      </c>
      <c r="T37" s="136">
        <f t="shared" si="3"/>
        <v>701786</v>
      </c>
    </row>
    <row r="38" spans="1:20" ht="15.75">
      <c r="A38" s="137">
        <v>2011</v>
      </c>
      <c r="B38" s="135">
        <f t="shared" si="3"/>
        <v>40</v>
      </c>
      <c r="C38" s="136">
        <f t="shared" si="3"/>
        <v>10118563</v>
      </c>
      <c r="D38" s="136">
        <f t="shared" si="3"/>
        <v>8037937</v>
      </c>
      <c r="E38" s="136">
        <f t="shared" si="3"/>
        <v>18161271</v>
      </c>
      <c r="F38" s="136">
        <f t="shared" si="3"/>
        <v>7371246</v>
      </c>
      <c r="G38" s="136">
        <f t="shared" si="3"/>
        <v>6131148</v>
      </c>
      <c r="H38" s="136">
        <f t="shared" si="3"/>
        <v>13504606</v>
      </c>
      <c r="I38" s="136">
        <f t="shared" si="3"/>
        <v>1742153</v>
      </c>
      <c r="J38" s="136">
        <f t="shared" si="3"/>
        <v>1413230</v>
      </c>
      <c r="K38" s="136">
        <f t="shared" si="3"/>
        <v>3155383</v>
      </c>
      <c r="L38" s="136">
        <f t="shared" si="3"/>
        <v>1181106</v>
      </c>
      <c r="M38" s="136">
        <f t="shared" si="3"/>
        <v>996222</v>
      </c>
      <c r="N38" s="136">
        <f t="shared" si="3"/>
        <v>2177328</v>
      </c>
      <c r="O38" s="136">
        <f t="shared" si="3"/>
        <v>698190</v>
      </c>
      <c r="P38" s="136">
        <f t="shared" si="3"/>
        <v>562449</v>
      </c>
      <c r="Q38" s="136">
        <f t="shared" si="3"/>
        <v>1260639</v>
      </c>
      <c r="R38" s="136">
        <f t="shared" si="3"/>
        <v>438353</v>
      </c>
      <c r="S38" s="136">
        <f t="shared" si="3"/>
        <v>349358</v>
      </c>
      <c r="T38" s="136">
        <f t="shared" si="3"/>
        <v>787711</v>
      </c>
    </row>
    <row r="39" spans="1:20" ht="15.75">
      <c r="A39" s="134">
        <v>2012</v>
      </c>
      <c r="B39" s="135">
        <f t="shared" si="3"/>
        <v>40</v>
      </c>
      <c r="C39" s="136">
        <f t="shared" si="3"/>
        <v>10287144</v>
      </c>
      <c r="D39" s="136">
        <f t="shared" si="3"/>
        <v>8287633</v>
      </c>
      <c r="E39" s="136">
        <f t="shared" si="3"/>
        <v>18574777</v>
      </c>
      <c r="F39" s="136">
        <f t="shared" si="3"/>
        <v>7648530</v>
      </c>
      <c r="G39" s="136">
        <f t="shared" si="3"/>
        <v>6462590</v>
      </c>
      <c r="H39" s="136">
        <f t="shared" si="3"/>
        <v>14111120</v>
      </c>
      <c r="I39" s="136">
        <f t="shared" si="3"/>
        <v>1653275</v>
      </c>
      <c r="J39" s="136">
        <f t="shared" si="3"/>
        <v>1315217</v>
      </c>
      <c r="K39" s="136">
        <f t="shared" si="3"/>
        <v>2968492</v>
      </c>
      <c r="L39" s="136">
        <f t="shared" si="3"/>
        <v>1132109</v>
      </c>
      <c r="M39" s="136">
        <f t="shared" si="3"/>
        <v>950433</v>
      </c>
      <c r="N39" s="136">
        <f t="shared" si="3"/>
        <v>2082542</v>
      </c>
      <c r="O39" s="136">
        <f t="shared" si="3"/>
        <v>677858</v>
      </c>
      <c r="P39" s="136">
        <f t="shared" si="3"/>
        <v>575279</v>
      </c>
      <c r="Q39" s="136">
        <f t="shared" si="3"/>
        <v>1253137</v>
      </c>
      <c r="R39" s="136">
        <f t="shared" si="3"/>
        <v>416962</v>
      </c>
      <c r="S39" s="136">
        <f t="shared" si="3"/>
        <v>352776</v>
      </c>
      <c r="T39" s="136">
        <f t="shared" si="3"/>
        <v>769738</v>
      </c>
    </row>
    <row r="40" spans="1:20" ht="15.75">
      <c r="A40" s="137">
        <v>2013</v>
      </c>
      <c r="B40" s="135">
        <f t="shared" si="3"/>
        <v>41</v>
      </c>
      <c r="C40" s="136">
        <v>10904655</v>
      </c>
      <c r="D40" s="136">
        <v>8829960</v>
      </c>
      <c r="E40" s="136">
        <v>19734615</v>
      </c>
      <c r="F40" s="136">
        <v>8257716</v>
      </c>
      <c r="G40" s="136">
        <v>7061772</v>
      </c>
      <c r="H40" s="136">
        <v>15319488</v>
      </c>
      <c r="I40" s="136">
        <v>1825760</v>
      </c>
      <c r="J40" s="136">
        <v>1489446</v>
      </c>
      <c r="K40" s="136">
        <v>3315206</v>
      </c>
      <c r="L40" s="136">
        <v>1265090</v>
      </c>
      <c r="M40" s="136">
        <v>1093073</v>
      </c>
      <c r="N40" s="136">
        <v>2358163</v>
      </c>
      <c r="O40" s="136">
        <v>787070</v>
      </c>
      <c r="P40" s="136">
        <v>691945</v>
      </c>
      <c r="Q40" s="136">
        <v>1479015</v>
      </c>
      <c r="R40" s="136">
        <v>502983</v>
      </c>
      <c r="S40" s="136">
        <v>446062</v>
      </c>
      <c r="T40" s="136">
        <v>949045</v>
      </c>
    </row>
    <row r="41" spans="1:20" ht="15.75">
      <c r="A41" s="137">
        <v>2014</v>
      </c>
      <c r="B41" s="135">
        <f t="shared" si="3"/>
        <v>41</v>
      </c>
      <c r="C41" s="136">
        <v>10601867</v>
      </c>
      <c r="D41" s="136">
        <v>8864399</v>
      </c>
      <c r="E41" s="136">
        <v>19466266</v>
      </c>
      <c r="F41" s="136">
        <v>8221455</v>
      </c>
      <c r="G41" s="136">
        <v>7171919</v>
      </c>
      <c r="H41" s="136">
        <v>15393374</v>
      </c>
      <c r="I41" s="136">
        <v>1808730</v>
      </c>
      <c r="J41" s="136">
        <v>1518501</v>
      </c>
      <c r="K41" s="136">
        <v>3327231</v>
      </c>
      <c r="L41" s="136">
        <v>1294748</v>
      </c>
      <c r="M41" s="136">
        <v>1142190</v>
      </c>
      <c r="N41" s="136">
        <v>2436938</v>
      </c>
      <c r="O41" s="136">
        <v>801513</v>
      </c>
      <c r="P41" s="136">
        <v>735177</v>
      </c>
      <c r="Q41" s="136">
        <v>1536690</v>
      </c>
      <c r="R41" s="136">
        <v>522123</v>
      </c>
      <c r="S41" s="136">
        <v>469796</v>
      </c>
      <c r="T41" s="136">
        <v>991919</v>
      </c>
    </row>
    <row r="42" spans="1:20" ht="15.75">
      <c r="A42" s="137">
        <v>2015</v>
      </c>
      <c r="B42" s="135">
        <f t="shared" si="3"/>
        <v>41</v>
      </c>
      <c r="C42" s="136">
        <v>10292567</v>
      </c>
      <c r="D42" s="136">
        <v>8865570</v>
      </c>
      <c r="E42" s="136">
        <v>19158137</v>
      </c>
      <c r="F42" s="136">
        <v>7968166</v>
      </c>
      <c r="G42" s="136">
        <v>7136789</v>
      </c>
      <c r="H42" s="136">
        <v>15104955</v>
      </c>
      <c r="I42" s="136">
        <v>1762729</v>
      </c>
      <c r="J42" s="136">
        <v>1519038</v>
      </c>
      <c r="K42" s="136">
        <v>3281767</v>
      </c>
      <c r="L42" s="136">
        <v>1266714</v>
      </c>
      <c r="M42" s="136">
        <v>1136130</v>
      </c>
      <c r="N42" s="136">
        <v>2402844</v>
      </c>
      <c r="O42" s="136">
        <v>783988</v>
      </c>
      <c r="P42" s="136">
        <v>736790</v>
      </c>
      <c r="Q42" s="136">
        <v>1521109</v>
      </c>
      <c r="R42" s="136">
        <v>509950</v>
      </c>
      <c r="S42" s="136">
        <v>466163</v>
      </c>
      <c r="T42" s="136">
        <v>976113</v>
      </c>
    </row>
    <row r="43" spans="1:20" ht="15.75">
      <c r="A43" s="137">
        <v>2016</v>
      </c>
      <c r="B43" s="135">
        <f t="shared" si="3"/>
        <v>49</v>
      </c>
      <c r="C43" s="136">
        <f t="shared" si="3"/>
        <v>10820446</v>
      </c>
      <c r="D43" s="136">
        <f t="shared" si="3"/>
        <v>9189510</v>
      </c>
      <c r="E43" s="136">
        <f t="shared" si="3"/>
        <v>20009956</v>
      </c>
      <c r="F43" s="136">
        <f t="shared" si="3"/>
        <v>8266497</v>
      </c>
      <c r="G43" s="136">
        <f t="shared" si="3"/>
        <v>7245671</v>
      </c>
      <c r="H43" s="136">
        <f t="shared" si="3"/>
        <v>15512168</v>
      </c>
      <c r="I43" s="136">
        <f t="shared" si="3"/>
        <v>1958214</v>
      </c>
      <c r="J43" s="136">
        <f t="shared" si="3"/>
        <v>1656040</v>
      </c>
      <c r="K43" s="136">
        <f t="shared" si="3"/>
        <v>3614254</v>
      </c>
      <c r="L43" s="136">
        <f t="shared" si="3"/>
        <v>1371876</v>
      </c>
      <c r="M43" s="136">
        <f t="shared" si="3"/>
        <v>1215805</v>
      </c>
      <c r="N43" s="136">
        <f t="shared" si="3"/>
        <v>2587681</v>
      </c>
      <c r="O43" s="136">
        <f t="shared" si="3"/>
        <v>832040</v>
      </c>
      <c r="P43" s="136">
        <f t="shared" si="3"/>
        <v>773005</v>
      </c>
      <c r="Q43" s="136">
        <f t="shared" si="3"/>
        <v>1605045</v>
      </c>
      <c r="R43" s="136">
        <f t="shared" si="3"/>
        <v>527895</v>
      </c>
      <c r="S43" s="136">
        <f t="shared" si="3"/>
        <v>491874</v>
      </c>
      <c r="T43" s="136">
        <f t="shared" si="3"/>
        <v>1019769</v>
      </c>
    </row>
    <row r="44" spans="1:20" ht="15.75">
      <c r="A44" s="137">
        <v>2017</v>
      </c>
      <c r="B44" s="135">
        <f t="shared" si="3"/>
        <v>48</v>
      </c>
      <c r="C44" s="136">
        <f t="shared" si="3"/>
        <v>10756569</v>
      </c>
      <c r="D44" s="136">
        <f t="shared" si="3"/>
        <v>9204359</v>
      </c>
      <c r="E44" s="136">
        <f t="shared" si="3"/>
        <v>19960928</v>
      </c>
      <c r="F44" s="136">
        <f t="shared" si="3"/>
        <v>8026255</v>
      </c>
      <c r="G44" s="136">
        <f t="shared" si="3"/>
        <v>7102220</v>
      </c>
      <c r="H44" s="136">
        <f t="shared" si="3"/>
        <v>15128475</v>
      </c>
      <c r="I44" s="136">
        <f t="shared" si="3"/>
        <v>1881032</v>
      </c>
      <c r="J44" s="136">
        <f t="shared" si="3"/>
        <v>1651729</v>
      </c>
      <c r="K44" s="136">
        <f t="shared" si="3"/>
        <v>3532761</v>
      </c>
      <c r="L44" s="136">
        <f t="shared" si="3"/>
        <v>1292094</v>
      </c>
      <c r="M44" s="136">
        <f t="shared" si="3"/>
        <v>1177529</v>
      </c>
      <c r="N44" s="136">
        <f t="shared" si="3"/>
        <v>2469623</v>
      </c>
      <c r="O44" s="136">
        <f t="shared" si="3"/>
        <v>805553</v>
      </c>
      <c r="P44" s="136">
        <f t="shared" si="3"/>
        <v>772121</v>
      </c>
      <c r="Q44" s="136">
        <f t="shared" si="3"/>
        <v>1577674</v>
      </c>
      <c r="R44" s="136">
        <f t="shared" si="3"/>
        <v>527644</v>
      </c>
      <c r="S44" s="136">
        <f t="shared" si="3"/>
        <v>509156</v>
      </c>
      <c r="T44" s="136">
        <f t="shared" si="3"/>
        <v>1036800</v>
      </c>
    </row>
  </sheetData>
  <mergeCells count="39">
    <mergeCell ref="L34:N34"/>
    <mergeCell ref="O34:Q34"/>
    <mergeCell ref="R34:T34"/>
    <mergeCell ref="A32:A35"/>
    <mergeCell ref="B32:B35"/>
    <mergeCell ref="C32:N32"/>
    <mergeCell ref="O32:T32"/>
    <mergeCell ref="C33:H33"/>
    <mergeCell ref="I33:N33"/>
    <mergeCell ref="O33:T33"/>
    <mergeCell ref="C34:E34"/>
    <mergeCell ref="F34:H34"/>
    <mergeCell ref="I34:K34"/>
    <mergeCell ref="C19:E19"/>
    <mergeCell ref="F19:H19"/>
    <mergeCell ref="I19:K19"/>
    <mergeCell ref="L19:N19"/>
    <mergeCell ref="O19:Q19"/>
    <mergeCell ref="R19:T19"/>
    <mergeCell ref="L4:N4"/>
    <mergeCell ref="O4:Q4"/>
    <mergeCell ref="R4:T4"/>
    <mergeCell ref="A17:A20"/>
    <mergeCell ref="B17:B20"/>
    <mergeCell ref="C17:N17"/>
    <mergeCell ref="O17:T17"/>
    <mergeCell ref="C18:H18"/>
    <mergeCell ref="I18:N18"/>
    <mergeCell ref="O18:T18"/>
    <mergeCell ref="A2:A5"/>
    <mergeCell ref="B2:B5"/>
    <mergeCell ref="C2:N2"/>
    <mergeCell ref="O2:T2"/>
    <mergeCell ref="C3:H3"/>
    <mergeCell ref="I3:N3"/>
    <mergeCell ref="O3:T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F63"/>
  <sheetViews>
    <sheetView view="pageBreakPreview" topLeftCell="A44" zoomScale="85" zoomScaleSheetLayoutView="85" workbookViewId="0">
      <selection activeCell="B51" sqref="B51"/>
    </sheetView>
  </sheetViews>
  <sheetFormatPr defaultRowHeight="15"/>
  <cols>
    <col min="2" max="2" width="35.140625" customWidth="1"/>
    <col min="3" max="3" width="13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2.140625" customWidth="1"/>
    <col min="19" max="19" width="10.28515625" bestFit="1" customWidth="1"/>
    <col min="20" max="20" width="11.5703125" bestFit="1" customWidth="1"/>
    <col min="21" max="26" width="10.28515625" bestFit="1" customWidth="1"/>
  </cols>
  <sheetData>
    <row r="1" spans="1:32" ht="18" customHeight="1">
      <c r="A1" s="144"/>
      <c r="B1" s="163"/>
      <c r="C1" s="449" t="s">
        <v>328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157" t="str">
        <f>C1</f>
        <v>RESULTS OF SECONDARY EXAMINATION- 2016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>
      <c r="A2" s="164"/>
      <c r="B2" s="165"/>
      <c r="C2" s="452" t="s">
        <v>334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146" t="s">
        <v>335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>
      <c r="A3" s="458" t="s">
        <v>192</v>
      </c>
      <c r="B3" s="448" t="s">
        <v>42</v>
      </c>
      <c r="C3" s="448" t="s">
        <v>188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 t="s">
        <v>189</v>
      </c>
      <c r="P3" s="448"/>
      <c r="Q3" s="448"/>
      <c r="R3" s="489" t="s">
        <v>193</v>
      </c>
      <c r="S3" s="490"/>
      <c r="T3" s="491"/>
      <c r="U3" s="489" t="s">
        <v>194</v>
      </c>
      <c r="V3" s="490"/>
      <c r="W3" s="490"/>
      <c r="X3" s="490"/>
      <c r="Y3" s="490"/>
      <c r="Z3" s="491"/>
      <c r="AA3" s="489" t="s">
        <v>195</v>
      </c>
      <c r="AB3" s="490"/>
      <c r="AC3" s="490"/>
      <c r="AD3" s="490"/>
      <c r="AE3" s="490"/>
      <c r="AF3" s="491"/>
    </row>
    <row r="4" spans="1:32">
      <c r="A4" s="458"/>
      <c r="B4" s="448"/>
      <c r="C4" s="448" t="s">
        <v>5</v>
      </c>
      <c r="D4" s="448"/>
      <c r="E4" s="448"/>
      <c r="F4" s="448" t="s">
        <v>6</v>
      </c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92"/>
      <c r="S4" s="493"/>
      <c r="T4" s="494"/>
      <c r="U4" s="495"/>
      <c r="V4" s="496"/>
      <c r="W4" s="496"/>
      <c r="X4" s="496"/>
      <c r="Y4" s="496"/>
      <c r="Z4" s="497"/>
      <c r="AA4" s="495"/>
      <c r="AB4" s="496"/>
      <c r="AC4" s="496"/>
      <c r="AD4" s="496"/>
      <c r="AE4" s="496"/>
      <c r="AF4" s="497"/>
    </row>
    <row r="5" spans="1:32" ht="15" customHeight="1">
      <c r="A5" s="458"/>
      <c r="B5" s="448"/>
      <c r="C5" s="448"/>
      <c r="D5" s="448"/>
      <c r="E5" s="448"/>
      <c r="F5" s="448" t="s">
        <v>51</v>
      </c>
      <c r="G5" s="448"/>
      <c r="H5" s="448"/>
      <c r="I5" s="448" t="s">
        <v>190</v>
      </c>
      <c r="J5" s="448"/>
      <c r="K5" s="448"/>
      <c r="L5" s="448" t="s">
        <v>191</v>
      </c>
      <c r="M5" s="448"/>
      <c r="N5" s="448"/>
      <c r="O5" s="448"/>
      <c r="P5" s="448"/>
      <c r="Q5" s="448"/>
      <c r="R5" s="495"/>
      <c r="S5" s="496"/>
      <c r="T5" s="497"/>
      <c r="U5" s="498" t="s">
        <v>229</v>
      </c>
      <c r="V5" s="499"/>
      <c r="W5" s="500"/>
      <c r="X5" s="498" t="s">
        <v>230</v>
      </c>
      <c r="Y5" s="499"/>
      <c r="Z5" s="500"/>
      <c r="AA5" s="498" t="s">
        <v>229</v>
      </c>
      <c r="AB5" s="499"/>
      <c r="AC5" s="500"/>
      <c r="AD5" s="498" t="s">
        <v>230</v>
      </c>
      <c r="AE5" s="499"/>
      <c r="AF5" s="500"/>
    </row>
    <row r="6" spans="1:32">
      <c r="A6" s="458"/>
      <c r="B6" s="448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8" t="s">
        <v>43</v>
      </c>
      <c r="P6" s="158" t="s">
        <v>44</v>
      </c>
      <c r="Q6" s="158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>
      <c r="A8" s="457" t="s">
        <v>216</v>
      </c>
      <c r="B8" s="457"/>
      <c r="C8" s="488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5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7"/>
    </row>
    <row r="9" spans="1:32" ht="28.5">
      <c r="A9" s="166">
        <v>1</v>
      </c>
      <c r="B9" s="43" t="s">
        <v>143</v>
      </c>
      <c r="C9" s="170">
        <v>890173</v>
      </c>
      <c r="D9" s="170">
        <v>605571</v>
      </c>
      <c r="E9" s="170">
        <v>1495744</v>
      </c>
      <c r="F9" s="170">
        <v>851911</v>
      </c>
      <c r="G9" s="170">
        <v>580251</v>
      </c>
      <c r="H9" s="170">
        <v>1432162</v>
      </c>
      <c r="I9" s="170">
        <v>10360</v>
      </c>
      <c r="J9" s="170">
        <v>6615</v>
      </c>
      <c r="K9" s="170">
        <v>16975</v>
      </c>
      <c r="L9" s="167">
        <v>862271</v>
      </c>
      <c r="M9" s="167">
        <v>586866</v>
      </c>
      <c r="N9" s="167">
        <v>1449137</v>
      </c>
      <c r="O9" s="171">
        <v>96.865553100352415</v>
      </c>
      <c r="P9" s="171">
        <v>96.911179696517834</v>
      </c>
      <c r="Q9" s="171">
        <v>96.884025608660309</v>
      </c>
      <c r="R9" s="172">
        <f t="shared" ref="R9:T10" si="0">L9</f>
        <v>862271</v>
      </c>
      <c r="S9" s="172">
        <f t="shared" si="0"/>
        <v>586866</v>
      </c>
      <c r="T9" s="172">
        <f t="shared" si="0"/>
        <v>1449137</v>
      </c>
      <c r="U9" s="173"/>
      <c r="V9" s="173"/>
      <c r="W9" s="173"/>
      <c r="X9" s="173"/>
      <c r="Y9" s="173"/>
      <c r="Z9" s="173"/>
      <c r="AA9" s="174"/>
      <c r="AB9" s="174"/>
      <c r="AC9" s="174"/>
      <c r="AD9" s="175"/>
      <c r="AE9" s="175"/>
      <c r="AF9" s="175"/>
    </row>
    <row r="10" spans="1:32" ht="28.5">
      <c r="A10" s="166">
        <v>2</v>
      </c>
      <c r="B10" s="43" t="s">
        <v>231</v>
      </c>
      <c r="C10" s="170">
        <v>92892</v>
      </c>
      <c r="D10" s="170">
        <v>75702</v>
      </c>
      <c r="E10" s="170">
        <v>168594</v>
      </c>
      <c r="F10" s="170">
        <v>91171</v>
      </c>
      <c r="G10" s="170">
        <v>74897</v>
      </c>
      <c r="H10" s="170">
        <v>166068</v>
      </c>
      <c r="I10" s="176"/>
      <c r="J10" s="176"/>
      <c r="K10" s="176"/>
      <c r="L10" s="167">
        <v>91171</v>
      </c>
      <c r="M10" s="167">
        <v>74897</v>
      </c>
      <c r="N10" s="167">
        <v>166068</v>
      </c>
      <c r="O10" s="171">
        <v>98.147310855617278</v>
      </c>
      <c r="P10" s="171">
        <v>98.936619904361848</v>
      </c>
      <c r="Q10" s="171">
        <v>98.501726040072597</v>
      </c>
      <c r="R10" s="172">
        <f t="shared" si="0"/>
        <v>91171</v>
      </c>
      <c r="S10" s="172">
        <f t="shared" si="0"/>
        <v>74897</v>
      </c>
      <c r="T10" s="172">
        <f t="shared" si="0"/>
        <v>166068</v>
      </c>
      <c r="U10" s="172">
        <v>55041</v>
      </c>
      <c r="V10" s="172">
        <v>51463</v>
      </c>
      <c r="W10" s="172">
        <f>U10+V10</f>
        <v>106504</v>
      </c>
      <c r="X10" s="172">
        <v>27058</v>
      </c>
      <c r="Y10" s="172">
        <v>19125</v>
      </c>
      <c r="Z10" s="172">
        <f>X10+Y10</f>
        <v>46183</v>
      </c>
      <c r="AA10" s="177">
        <f>U10/R10%</f>
        <v>60.371170657336215</v>
      </c>
      <c r="AB10" s="177">
        <f>V10/S10%</f>
        <v>68.711697397759593</v>
      </c>
      <c r="AC10" s="177">
        <f>W10/T10%</f>
        <v>64.132764891490226</v>
      </c>
      <c r="AD10" s="178">
        <f>X10/R10%</f>
        <v>29.678296826841866</v>
      </c>
      <c r="AE10" s="178">
        <f>Y10/S10%</f>
        <v>25.53506816027344</v>
      </c>
      <c r="AF10" s="178">
        <f>Z10/T10%</f>
        <v>27.809692415155236</v>
      </c>
    </row>
    <row r="11" spans="1:32">
      <c r="A11" s="457" t="s">
        <v>217</v>
      </c>
      <c r="B11" s="457"/>
      <c r="C11" s="485"/>
      <c r="D11" s="486"/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7"/>
      <c r="R11" s="160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2"/>
    </row>
    <row r="12" spans="1:32" ht="28.5">
      <c r="A12" s="166">
        <v>3</v>
      </c>
      <c r="B12" s="43" t="s">
        <v>232</v>
      </c>
      <c r="C12" s="170">
        <v>340407</v>
      </c>
      <c r="D12" s="170">
        <v>311967</v>
      </c>
      <c r="E12" s="170">
        <v>652374</v>
      </c>
      <c r="F12" s="170">
        <v>311271</v>
      </c>
      <c r="G12" s="170">
        <v>291600</v>
      </c>
      <c r="H12" s="170">
        <v>602871</v>
      </c>
      <c r="I12" s="176"/>
      <c r="J12" s="176"/>
      <c r="K12" s="176"/>
      <c r="L12" s="167">
        <v>311271</v>
      </c>
      <c r="M12" s="167">
        <v>291600</v>
      </c>
      <c r="N12" s="170">
        <v>602871</v>
      </c>
      <c r="O12" s="171">
        <v>91.440834060404157</v>
      </c>
      <c r="P12" s="171">
        <v>93.471424862245044</v>
      </c>
      <c r="Q12" s="171">
        <v>92.411868038885672</v>
      </c>
      <c r="R12" s="172">
        <f t="shared" ref="R12:T15" si="1">L12</f>
        <v>311271</v>
      </c>
      <c r="S12" s="172">
        <f t="shared" si="1"/>
        <v>291600</v>
      </c>
      <c r="T12" s="172">
        <f t="shared" si="1"/>
        <v>602871</v>
      </c>
      <c r="U12" s="168">
        <v>839</v>
      </c>
      <c r="V12" s="168">
        <v>720</v>
      </c>
      <c r="W12" s="172">
        <f t="shared" ref="W12:W44" si="2">U12+V12</f>
        <v>1559</v>
      </c>
      <c r="X12" s="172">
        <v>10164</v>
      </c>
      <c r="Y12" s="172">
        <v>5309</v>
      </c>
      <c r="Z12" s="172">
        <f t="shared" ref="Z12:Z44" si="3">X12+Y12</f>
        <v>15473</v>
      </c>
      <c r="AA12" s="177">
        <f t="shared" ref="AA12:AC44" si="4">U12/R12%</f>
        <v>0.26954004709722396</v>
      </c>
      <c r="AB12" s="177">
        <f t="shared" si="4"/>
        <v>0.24691358024691357</v>
      </c>
      <c r="AC12" s="177">
        <f t="shared" si="4"/>
        <v>0.25859595170442762</v>
      </c>
      <c r="AD12" s="178">
        <f t="shared" ref="AD12:AF44" si="5">X12/R12%</f>
        <v>3.2653218578023653</v>
      </c>
      <c r="AE12" s="178">
        <f t="shared" si="5"/>
        <v>1.8206447187928669</v>
      </c>
      <c r="AF12" s="178">
        <f t="shared" si="5"/>
        <v>2.5665523801941044</v>
      </c>
    </row>
    <row r="13" spans="1:32" ht="28.5">
      <c r="A13" s="166">
        <v>4</v>
      </c>
      <c r="B13" s="45" t="s">
        <v>91</v>
      </c>
      <c r="C13" s="170">
        <v>283777</v>
      </c>
      <c r="D13" s="170">
        <v>271487</v>
      </c>
      <c r="E13" s="170">
        <v>555264</v>
      </c>
      <c r="F13" s="170">
        <v>230427</v>
      </c>
      <c r="G13" s="170">
        <v>228516</v>
      </c>
      <c r="H13" s="170">
        <v>458943</v>
      </c>
      <c r="I13" s="170">
        <v>31897</v>
      </c>
      <c r="J13" s="170">
        <v>26843</v>
      </c>
      <c r="K13" s="170">
        <v>58740</v>
      </c>
      <c r="L13" s="167">
        <v>262324</v>
      </c>
      <c r="M13" s="167">
        <v>255359</v>
      </c>
      <c r="N13" s="170">
        <v>517683</v>
      </c>
      <c r="O13" s="171">
        <v>92.440190713130377</v>
      </c>
      <c r="P13" s="171">
        <v>94.059384058905209</v>
      </c>
      <c r="Q13" s="171">
        <v>93.231868084370674</v>
      </c>
      <c r="R13" s="172">
        <f t="shared" ref="R13:T14" si="6">L13</f>
        <v>262324</v>
      </c>
      <c r="S13" s="172">
        <f t="shared" si="6"/>
        <v>255359</v>
      </c>
      <c r="T13" s="172">
        <f t="shared" si="6"/>
        <v>517683</v>
      </c>
      <c r="U13" s="180">
        <v>416</v>
      </c>
      <c r="V13" s="180">
        <v>297</v>
      </c>
      <c r="W13" s="172">
        <f>U13+V13</f>
        <v>713</v>
      </c>
      <c r="X13" s="172">
        <v>954</v>
      </c>
      <c r="Y13" s="172">
        <v>800</v>
      </c>
      <c r="Z13" s="172">
        <f>X13+Y13</f>
        <v>1754</v>
      </c>
      <c r="AA13" s="177">
        <f t="shared" ref="AA13:AC14" si="7">U13/R13%</f>
        <v>0.15858251627758041</v>
      </c>
      <c r="AB13" s="177">
        <f t="shared" si="7"/>
        <v>0.1163068464397182</v>
      </c>
      <c r="AC13" s="177">
        <f t="shared" si="7"/>
        <v>0.13772907358364095</v>
      </c>
      <c r="AD13" s="178">
        <f t="shared" ref="AD13:AF14" si="8">X13/R13%</f>
        <v>0.36367240511733584</v>
      </c>
      <c r="AE13" s="178">
        <f t="shared" si="8"/>
        <v>0.31328443485445978</v>
      </c>
      <c r="AF13" s="178">
        <f t="shared" si="8"/>
        <v>0.33881738438387971</v>
      </c>
    </row>
    <row r="14" spans="1:32" ht="28.5">
      <c r="A14" s="166">
        <v>5</v>
      </c>
      <c r="B14" s="43" t="s">
        <v>233</v>
      </c>
      <c r="C14" s="170">
        <v>189117</v>
      </c>
      <c r="D14" s="170">
        <v>202587</v>
      </c>
      <c r="E14" s="170">
        <v>391704</v>
      </c>
      <c r="F14" s="170">
        <v>121735</v>
      </c>
      <c r="G14" s="170">
        <v>125262</v>
      </c>
      <c r="H14" s="170">
        <v>246997</v>
      </c>
      <c r="I14" s="176"/>
      <c r="J14" s="176"/>
      <c r="K14" s="176"/>
      <c r="L14" s="167">
        <v>121735</v>
      </c>
      <c r="M14" s="167">
        <v>125262</v>
      </c>
      <c r="N14" s="170">
        <v>246997</v>
      </c>
      <c r="O14" s="171">
        <v>64.370204688103129</v>
      </c>
      <c r="P14" s="171">
        <v>61.83121325652683</v>
      </c>
      <c r="Q14" s="171">
        <v>63.057053285133669</v>
      </c>
      <c r="R14" s="172">
        <f t="shared" si="6"/>
        <v>121735</v>
      </c>
      <c r="S14" s="172">
        <f t="shared" si="6"/>
        <v>125262</v>
      </c>
      <c r="T14" s="172">
        <f t="shared" si="6"/>
        <v>246997</v>
      </c>
      <c r="U14" s="180">
        <v>9361</v>
      </c>
      <c r="V14" s="180">
        <v>7945</v>
      </c>
      <c r="W14" s="172">
        <f>U14+V14</f>
        <v>17306</v>
      </c>
      <c r="X14" s="172">
        <v>28970</v>
      </c>
      <c r="Y14" s="172">
        <v>26275</v>
      </c>
      <c r="Z14" s="172">
        <f>X14+Y14</f>
        <v>55245</v>
      </c>
      <c r="AA14" s="177">
        <f t="shared" si="7"/>
        <v>7.6896537561095828</v>
      </c>
      <c r="AB14" s="177">
        <f t="shared" si="7"/>
        <v>6.3427056888761166</v>
      </c>
      <c r="AC14" s="177">
        <f t="shared" si="7"/>
        <v>7.0065628327469573</v>
      </c>
      <c r="AD14" s="178">
        <f t="shared" si="8"/>
        <v>23.797593132624144</v>
      </c>
      <c r="AE14" s="178">
        <f t="shared" si="8"/>
        <v>20.976034232249209</v>
      </c>
      <c r="AF14" s="178">
        <f t="shared" si="8"/>
        <v>22.366668421073943</v>
      </c>
    </row>
    <row r="15" spans="1:32">
      <c r="A15" s="166">
        <v>6</v>
      </c>
      <c r="B15" s="43" t="s">
        <v>135</v>
      </c>
      <c r="C15" s="170">
        <v>12640</v>
      </c>
      <c r="D15" s="170">
        <v>8030</v>
      </c>
      <c r="E15" s="170">
        <v>20670</v>
      </c>
      <c r="F15" s="170">
        <v>8000</v>
      </c>
      <c r="G15" s="170">
        <v>5064</v>
      </c>
      <c r="H15" s="170">
        <v>13064</v>
      </c>
      <c r="I15" s="176"/>
      <c r="J15" s="176"/>
      <c r="K15" s="176"/>
      <c r="L15" s="167">
        <v>8000</v>
      </c>
      <c r="M15" s="167">
        <v>5064</v>
      </c>
      <c r="N15" s="170">
        <v>13064</v>
      </c>
      <c r="O15" s="171">
        <v>63.291139240506332</v>
      </c>
      <c r="P15" s="171">
        <v>63.063511830635122</v>
      </c>
      <c r="Q15" s="171">
        <v>63.202709240445088</v>
      </c>
      <c r="R15" s="172">
        <f t="shared" si="1"/>
        <v>8000</v>
      </c>
      <c r="S15" s="172">
        <f t="shared" si="1"/>
        <v>5064</v>
      </c>
      <c r="T15" s="172">
        <f t="shared" si="1"/>
        <v>13064</v>
      </c>
      <c r="U15" s="168">
        <v>5</v>
      </c>
      <c r="V15" s="168">
        <v>5</v>
      </c>
      <c r="W15" s="172">
        <f>U15+V15</f>
        <v>10</v>
      </c>
      <c r="X15" s="172">
        <v>724</v>
      </c>
      <c r="Y15" s="172">
        <v>519</v>
      </c>
      <c r="Z15" s="172">
        <f>X15+Y15</f>
        <v>1243</v>
      </c>
      <c r="AA15" s="177">
        <f t="shared" si="4"/>
        <v>6.25E-2</v>
      </c>
      <c r="AB15" s="177">
        <f t="shared" si="4"/>
        <v>9.873617693522907E-2</v>
      </c>
      <c r="AC15" s="177">
        <f t="shared" si="4"/>
        <v>7.6546233925290877E-2</v>
      </c>
      <c r="AD15" s="178">
        <f t="shared" si="5"/>
        <v>9.0500000000000007</v>
      </c>
      <c r="AE15" s="178">
        <f t="shared" si="5"/>
        <v>10.248815165876778</v>
      </c>
      <c r="AF15" s="178">
        <f t="shared" si="5"/>
        <v>9.5146968769136571</v>
      </c>
    </row>
    <row r="16" spans="1:32">
      <c r="A16" s="166">
        <v>7</v>
      </c>
      <c r="B16" s="43" t="s">
        <v>234</v>
      </c>
      <c r="C16" s="170">
        <v>23</v>
      </c>
      <c r="D16" s="170">
        <v>260</v>
      </c>
      <c r="E16" s="170">
        <v>283</v>
      </c>
      <c r="F16" s="170">
        <v>23</v>
      </c>
      <c r="G16" s="170">
        <v>259</v>
      </c>
      <c r="H16" s="170">
        <v>282</v>
      </c>
      <c r="I16" s="170">
        <v>0</v>
      </c>
      <c r="J16" s="170">
        <v>1</v>
      </c>
      <c r="K16" s="170">
        <v>1</v>
      </c>
      <c r="L16" s="167">
        <v>23</v>
      </c>
      <c r="M16" s="167">
        <v>260</v>
      </c>
      <c r="N16" s="170">
        <v>283</v>
      </c>
      <c r="O16" s="171">
        <v>100</v>
      </c>
      <c r="P16" s="171">
        <v>100</v>
      </c>
      <c r="Q16" s="171">
        <v>100</v>
      </c>
      <c r="R16" s="172">
        <f t="shared" ref="R16:T44" si="9">L16</f>
        <v>23</v>
      </c>
      <c r="S16" s="172">
        <f t="shared" si="9"/>
        <v>260</v>
      </c>
      <c r="T16" s="172">
        <f t="shared" si="9"/>
        <v>283</v>
      </c>
      <c r="U16" s="180">
        <v>10</v>
      </c>
      <c r="V16" s="180">
        <v>103</v>
      </c>
      <c r="W16" s="172">
        <f t="shared" si="2"/>
        <v>113</v>
      </c>
      <c r="X16" s="172">
        <v>11</v>
      </c>
      <c r="Y16" s="172">
        <v>104</v>
      </c>
      <c r="Z16" s="172">
        <f t="shared" si="3"/>
        <v>115</v>
      </c>
      <c r="AA16" s="177">
        <f t="shared" si="4"/>
        <v>43.478260869565219</v>
      </c>
      <c r="AB16" s="177">
        <f t="shared" si="4"/>
        <v>39.615384615384613</v>
      </c>
      <c r="AC16" s="177">
        <f t="shared" si="4"/>
        <v>39.929328621908127</v>
      </c>
      <c r="AD16" s="178">
        <f t="shared" si="5"/>
        <v>47.826086956521735</v>
      </c>
      <c r="AE16" s="178">
        <f t="shared" si="5"/>
        <v>40</v>
      </c>
      <c r="AF16" s="178">
        <f t="shared" si="5"/>
        <v>40.636042402826853</v>
      </c>
    </row>
    <row r="17" spans="1:32">
      <c r="A17" s="166">
        <v>8</v>
      </c>
      <c r="B17" s="45" t="s">
        <v>54</v>
      </c>
      <c r="C17" s="170">
        <v>769257</v>
      </c>
      <c r="D17" s="170">
        <v>661562</v>
      </c>
      <c r="E17" s="170">
        <v>1430819</v>
      </c>
      <c r="F17" s="170">
        <v>432513</v>
      </c>
      <c r="G17" s="170">
        <v>266483</v>
      </c>
      <c r="H17" s="170">
        <v>698996</v>
      </c>
      <c r="I17" s="170">
        <v>15845</v>
      </c>
      <c r="J17" s="170">
        <v>24949</v>
      </c>
      <c r="K17" s="170">
        <v>40794</v>
      </c>
      <c r="L17" s="167">
        <v>448358</v>
      </c>
      <c r="M17" s="167">
        <v>291432</v>
      </c>
      <c r="N17" s="170">
        <v>739790</v>
      </c>
      <c r="O17" s="171">
        <v>58.284552496759858</v>
      </c>
      <c r="P17" s="171">
        <v>44.052106983170134</v>
      </c>
      <c r="Q17" s="171">
        <v>51.703954168906066</v>
      </c>
      <c r="R17" s="172">
        <f t="shared" si="9"/>
        <v>448358</v>
      </c>
      <c r="S17" s="172">
        <f t="shared" si="9"/>
        <v>291432</v>
      </c>
      <c r="T17" s="172">
        <f t="shared" si="9"/>
        <v>739790</v>
      </c>
      <c r="U17" s="180">
        <v>9448</v>
      </c>
      <c r="V17" s="180">
        <v>3695</v>
      </c>
      <c r="W17" s="172">
        <f t="shared" si="2"/>
        <v>13143</v>
      </c>
      <c r="X17" s="172">
        <v>108910</v>
      </c>
      <c r="Y17" s="172">
        <v>48505</v>
      </c>
      <c r="Z17" s="172">
        <f t="shared" si="3"/>
        <v>157415</v>
      </c>
      <c r="AA17" s="177">
        <f t="shared" si="4"/>
        <v>2.1072446571712784</v>
      </c>
      <c r="AB17" s="177">
        <f t="shared" si="4"/>
        <v>1.2678772406599137</v>
      </c>
      <c r="AC17" s="177">
        <f t="shared" si="4"/>
        <v>1.7765852471647361</v>
      </c>
      <c r="AD17" s="178">
        <f t="shared" si="5"/>
        <v>24.290856859919977</v>
      </c>
      <c r="AE17" s="178">
        <f t="shared" si="5"/>
        <v>16.643676741057948</v>
      </c>
      <c r="AF17" s="178">
        <f t="shared" si="5"/>
        <v>21.278335743927332</v>
      </c>
    </row>
    <row r="18" spans="1:32" ht="28.5">
      <c r="A18" s="166">
        <v>9</v>
      </c>
      <c r="B18" s="45" t="s">
        <v>235</v>
      </c>
      <c r="C18" s="170">
        <v>26709</v>
      </c>
      <c r="D18" s="170">
        <v>50259</v>
      </c>
      <c r="E18" s="170">
        <v>76968</v>
      </c>
      <c r="F18" s="170">
        <v>25955</v>
      </c>
      <c r="G18" s="170">
        <v>49041</v>
      </c>
      <c r="H18" s="170">
        <v>74996</v>
      </c>
      <c r="I18" s="176"/>
      <c r="J18" s="176"/>
      <c r="K18" s="176"/>
      <c r="L18" s="167">
        <v>25955</v>
      </c>
      <c r="M18" s="167">
        <v>49041</v>
      </c>
      <c r="N18" s="170">
        <v>74996</v>
      </c>
      <c r="O18" s="171">
        <v>97.176981541802391</v>
      </c>
      <c r="P18" s="171">
        <v>97.576553453112879</v>
      </c>
      <c r="Q18" s="171">
        <v>97.437896268579152</v>
      </c>
      <c r="R18" s="172">
        <f t="shared" si="9"/>
        <v>25955</v>
      </c>
      <c r="S18" s="172">
        <f t="shared" si="9"/>
        <v>49041</v>
      </c>
      <c r="T18" s="172">
        <f t="shared" si="9"/>
        <v>74996</v>
      </c>
      <c r="U18" s="173"/>
      <c r="V18" s="173"/>
      <c r="W18" s="173"/>
      <c r="X18" s="172">
        <v>5156</v>
      </c>
      <c r="Y18" s="172">
        <v>8346</v>
      </c>
      <c r="Z18" s="172">
        <f t="shared" si="3"/>
        <v>13502</v>
      </c>
      <c r="AA18" s="174"/>
      <c r="AB18" s="174"/>
      <c r="AC18" s="174"/>
      <c r="AD18" s="178">
        <f t="shared" si="5"/>
        <v>19.865151223271045</v>
      </c>
      <c r="AE18" s="178">
        <f t="shared" si="5"/>
        <v>17.018413164495012</v>
      </c>
      <c r="AF18" s="178">
        <f t="shared" si="5"/>
        <v>18.003626860099203</v>
      </c>
    </row>
    <row r="19" spans="1:32" ht="28.5">
      <c r="A19" s="166">
        <v>10</v>
      </c>
      <c r="B19" s="45" t="s">
        <v>56</v>
      </c>
      <c r="C19" s="170">
        <v>204541</v>
      </c>
      <c r="D19" s="170">
        <v>230003</v>
      </c>
      <c r="E19" s="170">
        <v>434544</v>
      </c>
      <c r="F19" s="170">
        <v>110530</v>
      </c>
      <c r="G19" s="170">
        <v>127571</v>
      </c>
      <c r="H19" s="170">
        <v>238101</v>
      </c>
      <c r="I19" s="170">
        <v>3800</v>
      </c>
      <c r="J19" s="170">
        <v>4477</v>
      </c>
      <c r="K19" s="170">
        <v>8277</v>
      </c>
      <c r="L19" s="168">
        <v>114330</v>
      </c>
      <c r="M19" s="168">
        <v>132048</v>
      </c>
      <c r="N19" s="170">
        <v>246378</v>
      </c>
      <c r="O19" s="171">
        <v>55.895883954806123</v>
      </c>
      <c r="P19" s="171">
        <v>57.411425068368672</v>
      </c>
      <c r="Q19" s="171">
        <v>56.69805589307412</v>
      </c>
      <c r="R19" s="172">
        <f t="shared" si="9"/>
        <v>114330</v>
      </c>
      <c r="S19" s="172">
        <f t="shared" si="9"/>
        <v>132048</v>
      </c>
      <c r="T19" s="172">
        <f t="shared" si="9"/>
        <v>246378</v>
      </c>
      <c r="U19" s="180">
        <v>7762</v>
      </c>
      <c r="V19" s="180">
        <v>7765</v>
      </c>
      <c r="W19" s="172">
        <f t="shared" si="2"/>
        <v>15527</v>
      </c>
      <c r="X19" s="172">
        <v>16505</v>
      </c>
      <c r="Y19" s="172">
        <v>18569</v>
      </c>
      <c r="Z19" s="172">
        <f t="shared" si="3"/>
        <v>35074</v>
      </c>
      <c r="AA19" s="177">
        <f t="shared" ref="AA19:AC20" si="10">U19/R19%</f>
        <v>6.7891192163036829</v>
      </c>
      <c r="AB19" s="177">
        <f t="shared" si="10"/>
        <v>5.8804374166969584</v>
      </c>
      <c r="AC19" s="177">
        <f t="shared" si="10"/>
        <v>6.3021048957293262</v>
      </c>
      <c r="AD19" s="178">
        <f t="shared" si="5"/>
        <v>14.43628094113531</v>
      </c>
      <c r="AE19" s="178">
        <f t="shared" si="5"/>
        <v>14.062310674906094</v>
      </c>
      <c r="AF19" s="178">
        <f t="shared" si="5"/>
        <v>14.235848980022565</v>
      </c>
    </row>
    <row r="20" spans="1:32">
      <c r="A20" s="166">
        <v>11</v>
      </c>
      <c r="B20" s="45" t="s">
        <v>93</v>
      </c>
      <c r="C20" s="170">
        <v>55</v>
      </c>
      <c r="D20" s="170">
        <v>54</v>
      </c>
      <c r="E20" s="170">
        <v>109</v>
      </c>
      <c r="F20" s="170">
        <v>20</v>
      </c>
      <c r="G20" s="170">
        <v>48</v>
      </c>
      <c r="H20" s="170">
        <v>68</v>
      </c>
      <c r="I20" s="176">
        <v>0</v>
      </c>
      <c r="J20" s="176">
        <v>0</v>
      </c>
      <c r="K20" s="176">
        <v>0</v>
      </c>
      <c r="L20" s="168">
        <v>20</v>
      </c>
      <c r="M20" s="168">
        <v>48</v>
      </c>
      <c r="N20" s="170">
        <v>68</v>
      </c>
      <c r="O20" s="171">
        <v>36.363636363636367</v>
      </c>
      <c r="P20" s="171">
        <v>88.888888888888886</v>
      </c>
      <c r="Q20" s="171">
        <v>62.385321100917437</v>
      </c>
      <c r="R20" s="172">
        <f t="shared" si="9"/>
        <v>20</v>
      </c>
      <c r="S20" s="172">
        <f t="shared" si="9"/>
        <v>48</v>
      </c>
      <c r="T20" s="172">
        <f t="shared" si="9"/>
        <v>68</v>
      </c>
      <c r="U20" s="180">
        <v>0</v>
      </c>
      <c r="V20" s="180">
        <v>0</v>
      </c>
      <c r="W20" s="172">
        <v>0</v>
      </c>
      <c r="X20" s="172">
        <v>2</v>
      </c>
      <c r="Y20" s="172">
        <v>6</v>
      </c>
      <c r="Z20" s="172">
        <f t="shared" si="3"/>
        <v>8</v>
      </c>
      <c r="AA20" s="177">
        <f t="shared" si="10"/>
        <v>0</v>
      </c>
      <c r="AB20" s="177">
        <f t="shared" si="10"/>
        <v>0</v>
      </c>
      <c r="AC20" s="177">
        <f t="shared" si="10"/>
        <v>0</v>
      </c>
      <c r="AD20" s="178">
        <f t="shared" si="5"/>
        <v>10</v>
      </c>
      <c r="AE20" s="178">
        <f t="shared" si="5"/>
        <v>12.5</v>
      </c>
      <c r="AF20" s="178">
        <f t="shared" si="5"/>
        <v>11.76470588235294</v>
      </c>
    </row>
    <row r="21" spans="1:32" ht="28.5">
      <c r="A21" s="166">
        <v>12</v>
      </c>
      <c r="B21" s="45" t="s">
        <v>58</v>
      </c>
      <c r="C21" s="170">
        <v>426</v>
      </c>
      <c r="D21" s="170">
        <v>395</v>
      </c>
      <c r="E21" s="170">
        <v>821</v>
      </c>
      <c r="F21" s="170">
        <v>398</v>
      </c>
      <c r="G21" s="170">
        <v>389</v>
      </c>
      <c r="H21" s="170">
        <v>787</v>
      </c>
      <c r="I21" s="170">
        <v>7</v>
      </c>
      <c r="J21" s="170">
        <v>3</v>
      </c>
      <c r="K21" s="170">
        <v>10</v>
      </c>
      <c r="L21" s="167">
        <v>405</v>
      </c>
      <c r="M21" s="167">
        <v>392</v>
      </c>
      <c r="N21" s="170">
        <v>797</v>
      </c>
      <c r="O21" s="171">
        <v>95.070422535211264</v>
      </c>
      <c r="P21" s="171">
        <v>99.240506329113913</v>
      </c>
      <c r="Q21" s="171">
        <v>97.076735688185138</v>
      </c>
      <c r="R21" s="172">
        <f t="shared" si="9"/>
        <v>405</v>
      </c>
      <c r="S21" s="172">
        <f t="shared" si="9"/>
        <v>392</v>
      </c>
      <c r="T21" s="172">
        <f t="shared" si="9"/>
        <v>797</v>
      </c>
      <c r="U21" s="180">
        <v>1</v>
      </c>
      <c r="V21" s="180">
        <v>1</v>
      </c>
      <c r="W21" s="172">
        <f t="shared" si="2"/>
        <v>2</v>
      </c>
      <c r="X21" s="172">
        <v>116</v>
      </c>
      <c r="Y21" s="172">
        <v>129</v>
      </c>
      <c r="Z21" s="172">
        <f t="shared" si="3"/>
        <v>245</v>
      </c>
      <c r="AA21" s="177">
        <f t="shared" si="4"/>
        <v>0.24691358024691359</v>
      </c>
      <c r="AB21" s="177">
        <f t="shared" si="4"/>
        <v>0.25510204081632654</v>
      </c>
      <c r="AC21" s="177">
        <f t="shared" si="4"/>
        <v>0.25094102885821834</v>
      </c>
      <c r="AD21" s="178">
        <f t="shared" si="5"/>
        <v>28.641975308641978</v>
      </c>
      <c r="AE21" s="178">
        <f t="shared" si="5"/>
        <v>32.908163265306122</v>
      </c>
      <c r="AF21" s="178">
        <f t="shared" si="5"/>
        <v>30.740276035131746</v>
      </c>
    </row>
    <row r="22" spans="1:32" ht="28.5">
      <c r="A22" s="166">
        <v>13</v>
      </c>
      <c r="B22" s="45" t="s">
        <v>60</v>
      </c>
      <c r="C22" s="170">
        <v>10419</v>
      </c>
      <c r="D22" s="170">
        <v>10387</v>
      </c>
      <c r="E22" s="170">
        <v>20806</v>
      </c>
      <c r="F22" s="170">
        <v>9095</v>
      </c>
      <c r="G22" s="170">
        <v>9328</v>
      </c>
      <c r="H22" s="170">
        <v>18423</v>
      </c>
      <c r="I22" s="170">
        <v>289</v>
      </c>
      <c r="J22" s="170">
        <v>259</v>
      </c>
      <c r="K22" s="170">
        <v>548</v>
      </c>
      <c r="L22" s="167">
        <v>9384</v>
      </c>
      <c r="M22" s="167">
        <v>9587</v>
      </c>
      <c r="N22" s="170">
        <v>18971</v>
      </c>
      <c r="O22" s="171">
        <v>90.066225165562912</v>
      </c>
      <c r="P22" s="171">
        <v>92.29806488880331</v>
      </c>
      <c r="Q22" s="171">
        <v>91.180428722483896</v>
      </c>
      <c r="R22" s="172">
        <f t="shared" si="9"/>
        <v>9384</v>
      </c>
      <c r="S22" s="172">
        <f t="shared" si="9"/>
        <v>9587</v>
      </c>
      <c r="T22" s="172">
        <f t="shared" si="9"/>
        <v>18971</v>
      </c>
      <c r="U22" s="180">
        <v>1664</v>
      </c>
      <c r="V22" s="180">
        <v>2602</v>
      </c>
      <c r="W22" s="172">
        <f t="shared" si="2"/>
        <v>4266</v>
      </c>
      <c r="X22" s="172">
        <v>2992</v>
      </c>
      <c r="Y22" s="172">
        <v>3450</v>
      </c>
      <c r="Z22" s="172">
        <f t="shared" si="3"/>
        <v>6442</v>
      </c>
      <c r="AA22" s="177">
        <f t="shared" si="4"/>
        <v>17.732310315430521</v>
      </c>
      <c r="AB22" s="177">
        <f t="shared" si="4"/>
        <v>27.140919995827684</v>
      </c>
      <c r="AC22" s="177">
        <f t="shared" si="4"/>
        <v>22.486953771546045</v>
      </c>
      <c r="AD22" s="178">
        <f t="shared" si="5"/>
        <v>31.884057971014492</v>
      </c>
      <c r="AE22" s="178">
        <f t="shared" si="5"/>
        <v>35.986231354959841</v>
      </c>
      <c r="AF22" s="178">
        <f t="shared" si="5"/>
        <v>33.957092404195876</v>
      </c>
    </row>
    <row r="23" spans="1:32" ht="28.5">
      <c r="A23" s="166">
        <v>14</v>
      </c>
      <c r="B23" s="45" t="s">
        <v>62</v>
      </c>
      <c r="C23" s="170">
        <v>487286</v>
      </c>
      <c r="D23" s="170">
        <v>326286</v>
      </c>
      <c r="E23" s="170">
        <v>813572</v>
      </c>
      <c r="F23" s="170">
        <v>297936</v>
      </c>
      <c r="G23" s="170">
        <v>230513</v>
      </c>
      <c r="H23" s="170">
        <v>528449</v>
      </c>
      <c r="I23" s="170">
        <v>692</v>
      </c>
      <c r="J23" s="170">
        <v>485</v>
      </c>
      <c r="K23" s="170">
        <v>1177</v>
      </c>
      <c r="L23" s="167">
        <v>298628</v>
      </c>
      <c r="M23" s="167">
        <v>230998</v>
      </c>
      <c r="N23" s="170">
        <v>529626</v>
      </c>
      <c r="O23" s="171">
        <v>61.283927713909279</v>
      </c>
      <c r="P23" s="171">
        <v>70.796172682861041</v>
      </c>
      <c r="Q23" s="171">
        <v>65.098848042951332</v>
      </c>
      <c r="R23" s="172">
        <f t="shared" si="9"/>
        <v>298628</v>
      </c>
      <c r="S23" s="172">
        <f t="shared" si="9"/>
        <v>230998</v>
      </c>
      <c r="T23" s="172">
        <f t="shared" si="9"/>
        <v>529626</v>
      </c>
      <c r="U23" s="180">
        <v>30634</v>
      </c>
      <c r="V23" s="180">
        <v>24683</v>
      </c>
      <c r="W23" s="172">
        <f t="shared" si="2"/>
        <v>55317</v>
      </c>
      <c r="X23" s="172">
        <v>79612</v>
      </c>
      <c r="Y23" s="172">
        <v>67624</v>
      </c>
      <c r="Z23" s="172">
        <f t="shared" si="3"/>
        <v>147236</v>
      </c>
      <c r="AA23" s="177">
        <f t="shared" si="4"/>
        <v>10.258247719570837</v>
      </c>
      <c r="AB23" s="177">
        <f t="shared" si="4"/>
        <v>10.685373899341119</v>
      </c>
      <c r="AC23" s="177">
        <f t="shared" si="4"/>
        <v>10.444540109435714</v>
      </c>
      <c r="AD23" s="178">
        <f t="shared" si="5"/>
        <v>26.65925499283389</v>
      </c>
      <c r="AE23" s="178">
        <f t="shared" si="5"/>
        <v>29.274712335171731</v>
      </c>
      <c r="AF23" s="178">
        <f t="shared" si="5"/>
        <v>27.799994713250481</v>
      </c>
    </row>
    <row r="24" spans="1:32">
      <c r="A24" s="166">
        <v>15</v>
      </c>
      <c r="B24" s="43" t="s">
        <v>64</v>
      </c>
      <c r="C24" s="170">
        <v>244135</v>
      </c>
      <c r="D24" s="170">
        <v>155760</v>
      </c>
      <c r="E24" s="170">
        <v>399895</v>
      </c>
      <c r="F24" s="170">
        <v>108046</v>
      </c>
      <c r="G24" s="170">
        <v>79227</v>
      </c>
      <c r="H24" s="170">
        <v>187273</v>
      </c>
      <c r="I24" s="170">
        <v>23822</v>
      </c>
      <c r="J24" s="170">
        <v>13706</v>
      </c>
      <c r="K24" s="170">
        <v>37528</v>
      </c>
      <c r="L24" s="167">
        <v>131868</v>
      </c>
      <c r="M24" s="167">
        <v>92933</v>
      </c>
      <c r="N24" s="170">
        <v>224801</v>
      </c>
      <c r="O24" s="171">
        <v>54.014377291252792</v>
      </c>
      <c r="P24" s="171">
        <v>59.664227015921931</v>
      </c>
      <c r="Q24" s="171">
        <v>56.215006439190283</v>
      </c>
      <c r="R24" s="172">
        <f t="shared" si="9"/>
        <v>131868</v>
      </c>
      <c r="S24" s="172">
        <f t="shared" si="9"/>
        <v>92933</v>
      </c>
      <c r="T24" s="172">
        <f t="shared" si="9"/>
        <v>224801</v>
      </c>
      <c r="U24" s="180">
        <v>1917</v>
      </c>
      <c r="V24" s="180">
        <v>3707</v>
      </c>
      <c r="W24" s="172">
        <f t="shared" si="2"/>
        <v>5624</v>
      </c>
      <c r="X24" s="172">
        <v>29687</v>
      </c>
      <c r="Y24" s="172">
        <v>36264</v>
      </c>
      <c r="Z24" s="172">
        <f t="shared" si="3"/>
        <v>65951</v>
      </c>
      <c r="AA24" s="177">
        <f t="shared" si="4"/>
        <v>1.4537264537264536</v>
      </c>
      <c r="AB24" s="177">
        <f t="shared" si="4"/>
        <v>3.9888952255926311</v>
      </c>
      <c r="AC24" s="177">
        <f t="shared" si="4"/>
        <v>2.5017682305683691</v>
      </c>
      <c r="AD24" s="178">
        <f t="shared" si="5"/>
        <v>22.512664179330844</v>
      </c>
      <c r="AE24" s="178">
        <f t="shared" si="5"/>
        <v>39.021660766358558</v>
      </c>
      <c r="AF24" s="178">
        <f t="shared" si="5"/>
        <v>29.337502947050943</v>
      </c>
    </row>
    <row r="25" spans="1:32">
      <c r="A25" s="166">
        <v>16</v>
      </c>
      <c r="B25" s="45" t="s">
        <v>65</v>
      </c>
      <c r="C25" s="170">
        <v>65752</v>
      </c>
      <c r="D25" s="170">
        <v>56863</v>
      </c>
      <c r="E25" s="170">
        <v>122615</v>
      </c>
      <c r="F25" s="170">
        <v>42420</v>
      </c>
      <c r="G25" s="170">
        <v>39491</v>
      </c>
      <c r="H25" s="170">
        <v>81911</v>
      </c>
      <c r="I25" s="170">
        <v>6513</v>
      </c>
      <c r="J25" s="170">
        <v>5097</v>
      </c>
      <c r="K25" s="170">
        <v>11610</v>
      </c>
      <c r="L25" s="167">
        <v>48933</v>
      </c>
      <c r="M25" s="167">
        <v>44588</v>
      </c>
      <c r="N25" s="170">
        <v>93521</v>
      </c>
      <c r="O25" s="171">
        <v>74.420549945248808</v>
      </c>
      <c r="P25" s="171">
        <v>78.41302780366847</v>
      </c>
      <c r="Q25" s="171">
        <v>76.272071116910652</v>
      </c>
      <c r="R25" s="172">
        <f t="shared" si="9"/>
        <v>48933</v>
      </c>
      <c r="S25" s="172">
        <f t="shared" si="9"/>
        <v>44588</v>
      </c>
      <c r="T25" s="172">
        <f t="shared" si="9"/>
        <v>93521</v>
      </c>
      <c r="U25" s="180">
        <v>9526</v>
      </c>
      <c r="V25" s="180">
        <v>12137</v>
      </c>
      <c r="W25" s="172">
        <f t="shared" si="2"/>
        <v>21663</v>
      </c>
      <c r="X25" s="172">
        <v>18343</v>
      </c>
      <c r="Y25" s="172">
        <v>17513</v>
      </c>
      <c r="Z25" s="172">
        <f t="shared" si="3"/>
        <v>35856</v>
      </c>
      <c r="AA25" s="177">
        <f t="shared" si="4"/>
        <v>19.467435064271555</v>
      </c>
      <c r="AB25" s="177">
        <f t="shared" si="4"/>
        <v>27.220328339463531</v>
      </c>
      <c r="AC25" s="177">
        <f t="shared" si="4"/>
        <v>23.16378139669165</v>
      </c>
      <c r="AD25" s="178">
        <f t="shared" si="5"/>
        <v>37.48595017677232</v>
      </c>
      <c r="AE25" s="178">
        <f t="shared" si="5"/>
        <v>39.277384049520052</v>
      </c>
      <c r="AF25" s="178">
        <f t="shared" si="5"/>
        <v>38.340051966937907</v>
      </c>
    </row>
    <row r="26" spans="1:32">
      <c r="A26" s="166">
        <v>17</v>
      </c>
      <c r="B26" s="45" t="s">
        <v>97</v>
      </c>
      <c r="C26" s="170">
        <v>178202</v>
      </c>
      <c r="D26" s="170">
        <v>136754</v>
      </c>
      <c r="E26" s="170">
        <v>314956</v>
      </c>
      <c r="F26" s="170">
        <v>94017</v>
      </c>
      <c r="G26" s="170">
        <v>76503</v>
      </c>
      <c r="H26" s="170">
        <v>170520</v>
      </c>
      <c r="I26" s="176"/>
      <c r="J26" s="176"/>
      <c r="K26" s="176"/>
      <c r="L26" s="167">
        <v>94017</v>
      </c>
      <c r="M26" s="167">
        <v>76503</v>
      </c>
      <c r="N26" s="170">
        <v>170520</v>
      </c>
      <c r="O26" s="171">
        <v>52.758667130559701</v>
      </c>
      <c r="P26" s="171">
        <v>55.942056539479644</v>
      </c>
      <c r="Q26" s="171">
        <v>54.140895871169306</v>
      </c>
      <c r="R26" s="172">
        <f t="shared" si="9"/>
        <v>94017</v>
      </c>
      <c r="S26" s="172">
        <f t="shared" si="9"/>
        <v>76503</v>
      </c>
      <c r="T26" s="172">
        <f t="shared" si="9"/>
        <v>170520</v>
      </c>
      <c r="U26" s="173"/>
      <c r="V26" s="173"/>
      <c r="W26" s="173"/>
      <c r="X26" s="173"/>
      <c r="Y26" s="173"/>
      <c r="Z26" s="173"/>
      <c r="AA26" s="174"/>
      <c r="AB26" s="174"/>
      <c r="AC26" s="174"/>
      <c r="AD26" s="175"/>
      <c r="AE26" s="175"/>
      <c r="AF26" s="175"/>
    </row>
    <row r="27" spans="1:32" ht="28.5">
      <c r="A27" s="166">
        <v>18</v>
      </c>
      <c r="B27" s="45" t="s">
        <v>95</v>
      </c>
      <c r="C27" s="170">
        <v>235292</v>
      </c>
      <c r="D27" s="170">
        <v>234161</v>
      </c>
      <c r="E27" s="170">
        <v>469453</v>
      </c>
      <c r="F27" s="170">
        <v>164932</v>
      </c>
      <c r="G27" s="170">
        <v>152466</v>
      </c>
      <c r="H27" s="170">
        <v>317398</v>
      </c>
      <c r="I27" s="176">
        <v>0</v>
      </c>
      <c r="J27" s="176">
        <v>0</v>
      </c>
      <c r="K27" s="176">
        <v>0</v>
      </c>
      <c r="L27" s="167">
        <v>164932</v>
      </c>
      <c r="M27" s="167">
        <v>152466</v>
      </c>
      <c r="N27" s="170">
        <v>317398</v>
      </c>
      <c r="O27" s="171">
        <v>70.096730870577844</v>
      </c>
      <c r="P27" s="171">
        <v>65.111611241837892</v>
      </c>
      <c r="Q27" s="171">
        <v>67.610176098565773</v>
      </c>
      <c r="R27" s="172">
        <f t="shared" si="9"/>
        <v>164932</v>
      </c>
      <c r="S27" s="172">
        <f t="shared" si="9"/>
        <v>152466</v>
      </c>
      <c r="T27" s="172">
        <f t="shared" si="9"/>
        <v>317398</v>
      </c>
      <c r="U27" s="180">
        <v>10443</v>
      </c>
      <c r="V27" s="180">
        <v>7991</v>
      </c>
      <c r="W27" s="172">
        <f t="shared" si="2"/>
        <v>18434</v>
      </c>
      <c r="X27" s="172">
        <v>41410</v>
      </c>
      <c r="Y27" s="172">
        <v>35741</v>
      </c>
      <c r="Z27" s="172">
        <f t="shared" si="3"/>
        <v>77151</v>
      </c>
      <c r="AA27" s="177">
        <f t="shared" si="4"/>
        <v>6.3317003371086269</v>
      </c>
      <c r="AB27" s="177">
        <f t="shared" si="4"/>
        <v>5.2411685228182021</v>
      </c>
      <c r="AC27" s="177">
        <f t="shared" si="4"/>
        <v>5.8078500809708942</v>
      </c>
      <c r="AD27" s="178">
        <f t="shared" si="5"/>
        <v>25.107316954866249</v>
      </c>
      <c r="AE27" s="178">
        <f t="shared" si="5"/>
        <v>23.44194771293272</v>
      </c>
      <c r="AF27" s="178">
        <f t="shared" si="5"/>
        <v>24.307336530160871</v>
      </c>
    </row>
    <row r="28" spans="1:32" ht="28.5">
      <c r="A28" s="166">
        <v>19</v>
      </c>
      <c r="B28" s="45" t="s">
        <v>236</v>
      </c>
      <c r="C28" s="170">
        <v>415507</v>
      </c>
      <c r="D28" s="170">
        <v>383866</v>
      </c>
      <c r="E28" s="170">
        <v>799373</v>
      </c>
      <c r="F28" s="170">
        <v>303929</v>
      </c>
      <c r="G28" s="170">
        <v>314594</v>
      </c>
      <c r="H28" s="170">
        <v>618523</v>
      </c>
      <c r="I28" s="170">
        <v>27715</v>
      </c>
      <c r="J28" s="170">
        <v>18304</v>
      </c>
      <c r="K28" s="170">
        <v>46019</v>
      </c>
      <c r="L28" s="167">
        <v>331644</v>
      </c>
      <c r="M28" s="167">
        <v>332898</v>
      </c>
      <c r="N28" s="170">
        <v>664542</v>
      </c>
      <c r="O28" s="171">
        <v>79.816705855737695</v>
      </c>
      <c r="P28" s="171">
        <v>86.722450021622137</v>
      </c>
      <c r="Q28" s="171">
        <v>83.132905414618705</v>
      </c>
      <c r="R28" s="172">
        <f t="shared" si="9"/>
        <v>331644</v>
      </c>
      <c r="S28" s="172">
        <f t="shared" si="9"/>
        <v>332898</v>
      </c>
      <c r="T28" s="172">
        <f t="shared" si="9"/>
        <v>664542</v>
      </c>
      <c r="U28" s="180">
        <v>86569</v>
      </c>
      <c r="V28" s="180">
        <v>119610</v>
      </c>
      <c r="W28" s="172">
        <f t="shared" si="2"/>
        <v>206179</v>
      </c>
      <c r="X28" s="172">
        <v>113490</v>
      </c>
      <c r="Y28" s="172">
        <v>119946</v>
      </c>
      <c r="Z28" s="172">
        <f t="shared" si="3"/>
        <v>233436</v>
      </c>
      <c r="AA28" s="177">
        <f t="shared" si="4"/>
        <v>26.102989953082222</v>
      </c>
      <c r="AB28" s="177">
        <f t="shared" si="4"/>
        <v>35.929924481372673</v>
      </c>
      <c r="AC28" s="177">
        <f t="shared" si="4"/>
        <v>31.025728998317639</v>
      </c>
      <c r="AD28" s="178">
        <f t="shared" si="5"/>
        <v>34.220429134855443</v>
      </c>
      <c r="AE28" s="178">
        <f t="shared" si="5"/>
        <v>36.03085629832561</v>
      </c>
      <c r="AF28" s="178">
        <f t="shared" si="5"/>
        <v>35.127350867213814</v>
      </c>
    </row>
    <row r="29" spans="1:32">
      <c r="A29" s="166">
        <v>20</v>
      </c>
      <c r="B29" s="45" t="s">
        <v>237</v>
      </c>
      <c r="C29" s="170">
        <v>240796</v>
      </c>
      <c r="D29" s="170">
        <v>233007</v>
      </c>
      <c r="E29" s="170">
        <v>473803</v>
      </c>
      <c r="F29" s="170">
        <v>230531</v>
      </c>
      <c r="G29" s="170">
        <v>227548</v>
      </c>
      <c r="H29" s="170">
        <v>458079</v>
      </c>
      <c r="I29" s="170">
        <v>6381</v>
      </c>
      <c r="J29" s="170">
        <v>3750</v>
      </c>
      <c r="K29" s="170">
        <v>10131</v>
      </c>
      <c r="L29" s="167">
        <v>236912</v>
      </c>
      <c r="M29" s="167">
        <v>231298</v>
      </c>
      <c r="N29" s="170">
        <v>468210</v>
      </c>
      <c r="O29" s="171">
        <v>98.387016395621188</v>
      </c>
      <c r="P29" s="171">
        <v>99.266545640259736</v>
      </c>
      <c r="Q29" s="171">
        <v>98.819551585785661</v>
      </c>
      <c r="R29" s="172">
        <f t="shared" si="9"/>
        <v>236912</v>
      </c>
      <c r="S29" s="172">
        <f t="shared" si="9"/>
        <v>231298</v>
      </c>
      <c r="T29" s="172">
        <f t="shared" si="9"/>
        <v>468210</v>
      </c>
      <c r="U29" s="173"/>
      <c r="V29" s="173"/>
      <c r="W29" s="173"/>
      <c r="X29" s="173"/>
      <c r="Y29" s="173"/>
      <c r="Z29" s="173"/>
      <c r="AA29" s="174"/>
      <c r="AB29" s="174"/>
      <c r="AC29" s="174"/>
      <c r="AD29" s="175"/>
      <c r="AE29" s="175"/>
      <c r="AF29" s="175"/>
    </row>
    <row r="30" spans="1:32" ht="42.75">
      <c r="A30" s="166">
        <v>21</v>
      </c>
      <c r="B30" s="45" t="s">
        <v>238</v>
      </c>
      <c r="C30" s="170">
        <v>950264</v>
      </c>
      <c r="D30" s="170">
        <v>768935</v>
      </c>
      <c r="E30" s="170">
        <v>1719199</v>
      </c>
      <c r="F30" s="170">
        <v>797466</v>
      </c>
      <c r="G30" s="170">
        <v>688034</v>
      </c>
      <c r="H30" s="170">
        <v>1485500</v>
      </c>
      <c r="I30" s="170">
        <v>22399</v>
      </c>
      <c r="J30" s="170">
        <v>12305</v>
      </c>
      <c r="K30" s="170">
        <v>34704</v>
      </c>
      <c r="L30" s="167">
        <v>819865</v>
      </c>
      <c r="M30" s="167">
        <v>700339</v>
      </c>
      <c r="N30" s="170">
        <v>1520204</v>
      </c>
      <c r="O30" s="171">
        <v>86.277602855627492</v>
      </c>
      <c r="P30" s="171">
        <v>91.079089910070422</v>
      </c>
      <c r="Q30" s="171">
        <v>88.425132867108459</v>
      </c>
      <c r="R30" s="172">
        <f t="shared" si="9"/>
        <v>819865</v>
      </c>
      <c r="S30" s="172">
        <f t="shared" si="9"/>
        <v>700339</v>
      </c>
      <c r="T30" s="172">
        <f t="shared" si="9"/>
        <v>1520204</v>
      </c>
      <c r="U30" s="180">
        <v>185628</v>
      </c>
      <c r="V30" s="180">
        <v>218825</v>
      </c>
      <c r="W30" s="172">
        <f t="shared" si="2"/>
        <v>404453</v>
      </c>
      <c r="X30" s="172">
        <v>295225</v>
      </c>
      <c r="Y30" s="172">
        <v>271336</v>
      </c>
      <c r="Z30" s="172">
        <f t="shared" si="3"/>
        <v>566561</v>
      </c>
      <c r="AA30" s="177">
        <f t="shared" si="4"/>
        <v>22.641288504814817</v>
      </c>
      <c r="AB30" s="177">
        <f t="shared" si="4"/>
        <v>31.245582496476704</v>
      </c>
      <c r="AC30" s="177">
        <f t="shared" si="4"/>
        <v>26.605179304882764</v>
      </c>
      <c r="AD30" s="178">
        <f t="shared" si="5"/>
        <v>36.008977087691271</v>
      </c>
      <c r="AE30" s="178">
        <f t="shared" si="5"/>
        <v>38.743522779682408</v>
      </c>
      <c r="AF30" s="178">
        <f t="shared" si="5"/>
        <v>37.268748141696769</v>
      </c>
    </row>
    <row r="31" spans="1:32" ht="28.5">
      <c r="A31" s="166">
        <v>22</v>
      </c>
      <c r="B31" s="43" t="s">
        <v>239</v>
      </c>
      <c r="C31" s="170">
        <v>656780</v>
      </c>
      <c r="D31" s="170">
        <v>521996</v>
      </c>
      <c r="E31" s="170">
        <v>1178776</v>
      </c>
      <c r="F31" s="170">
        <v>265451</v>
      </c>
      <c r="G31" s="170">
        <v>238457</v>
      </c>
      <c r="H31" s="170">
        <v>503908</v>
      </c>
      <c r="I31" s="170">
        <v>60841</v>
      </c>
      <c r="J31" s="170">
        <v>54205</v>
      </c>
      <c r="K31" s="170">
        <v>115046</v>
      </c>
      <c r="L31" s="167">
        <v>326292</v>
      </c>
      <c r="M31" s="167">
        <v>292662</v>
      </c>
      <c r="N31" s="170">
        <v>618954</v>
      </c>
      <c r="O31" s="171">
        <v>49.680562745516006</v>
      </c>
      <c r="P31" s="171">
        <v>56.065946865493224</v>
      </c>
      <c r="Q31" s="171">
        <v>52.508194941193246</v>
      </c>
      <c r="R31" s="172">
        <f t="shared" si="9"/>
        <v>326292</v>
      </c>
      <c r="S31" s="172">
        <f t="shared" si="9"/>
        <v>292662</v>
      </c>
      <c r="T31" s="172">
        <f t="shared" si="9"/>
        <v>618954</v>
      </c>
      <c r="U31" s="180">
        <v>35224</v>
      </c>
      <c r="V31" s="180">
        <v>35123</v>
      </c>
      <c r="W31" s="172">
        <f t="shared" si="2"/>
        <v>70347</v>
      </c>
      <c r="X31" s="172">
        <v>75043</v>
      </c>
      <c r="Y31" s="172">
        <v>70814</v>
      </c>
      <c r="Z31" s="172">
        <f t="shared" si="3"/>
        <v>145857</v>
      </c>
      <c r="AA31" s="177">
        <f t="shared" si="4"/>
        <v>10.795238620622019</v>
      </c>
      <c r="AB31" s="177">
        <f t="shared" si="4"/>
        <v>12.001216420307387</v>
      </c>
      <c r="AC31" s="177">
        <f t="shared" si="4"/>
        <v>11.365464961855</v>
      </c>
      <c r="AD31" s="178">
        <f t="shared" si="5"/>
        <v>22.998725068343692</v>
      </c>
      <c r="AE31" s="178">
        <f t="shared" si="5"/>
        <v>24.196513384040294</v>
      </c>
      <c r="AF31" s="178">
        <f t="shared" si="5"/>
        <v>23.565079149662171</v>
      </c>
    </row>
    <row r="32" spans="1:32" ht="28.5">
      <c r="A32" s="166">
        <v>23</v>
      </c>
      <c r="B32" s="43" t="s">
        <v>121</v>
      </c>
      <c r="C32" s="170">
        <v>16227</v>
      </c>
      <c r="D32" s="170">
        <v>15726</v>
      </c>
      <c r="E32" s="170">
        <v>31953</v>
      </c>
      <c r="F32" s="170">
        <v>11077</v>
      </c>
      <c r="G32" s="170">
        <v>9705</v>
      </c>
      <c r="H32" s="170">
        <v>20782</v>
      </c>
      <c r="I32" s="170">
        <v>2149</v>
      </c>
      <c r="J32" s="170">
        <v>2335</v>
      </c>
      <c r="K32" s="170">
        <v>4484</v>
      </c>
      <c r="L32" s="167">
        <v>13226</v>
      </c>
      <c r="M32" s="167">
        <v>12040</v>
      </c>
      <c r="N32" s="170">
        <v>25266</v>
      </c>
      <c r="O32" s="171">
        <v>81.506131755715785</v>
      </c>
      <c r="P32" s="171">
        <v>76.561108991479074</v>
      </c>
      <c r="Q32" s="171">
        <v>79.072387569242323</v>
      </c>
      <c r="R32" s="172">
        <f t="shared" si="9"/>
        <v>13226</v>
      </c>
      <c r="S32" s="172">
        <f t="shared" si="9"/>
        <v>12040</v>
      </c>
      <c r="T32" s="172">
        <f t="shared" si="9"/>
        <v>25266</v>
      </c>
      <c r="U32" s="180">
        <v>502</v>
      </c>
      <c r="V32" s="180">
        <v>417</v>
      </c>
      <c r="W32" s="172">
        <f t="shared" si="2"/>
        <v>919</v>
      </c>
      <c r="X32" s="172">
        <v>3200</v>
      </c>
      <c r="Y32" s="172">
        <v>2710</v>
      </c>
      <c r="Z32" s="172">
        <f t="shared" si="3"/>
        <v>5910</v>
      </c>
      <c r="AA32" s="177">
        <f t="shared" si="4"/>
        <v>3.7955542114017846</v>
      </c>
      <c r="AB32" s="177">
        <f t="shared" si="4"/>
        <v>3.463455149501661</v>
      </c>
      <c r="AC32" s="177">
        <f t="shared" si="4"/>
        <v>3.6372991371804004</v>
      </c>
      <c r="AD32" s="178">
        <f t="shared" si="5"/>
        <v>24.194767881445639</v>
      </c>
      <c r="AE32" s="178">
        <f t="shared" si="5"/>
        <v>22.50830564784053</v>
      </c>
      <c r="AF32" s="178">
        <f t="shared" si="5"/>
        <v>23.391118499168844</v>
      </c>
    </row>
    <row r="33" spans="1:32" ht="28.5">
      <c r="A33" s="166">
        <v>24</v>
      </c>
      <c r="B33" s="67" t="s">
        <v>106</v>
      </c>
      <c r="C33" s="186">
        <v>23417</v>
      </c>
      <c r="D33" s="186">
        <v>26709</v>
      </c>
      <c r="E33" s="186">
        <v>50126</v>
      </c>
      <c r="F33" s="186">
        <v>12488</v>
      </c>
      <c r="G33" s="186">
        <v>14655</v>
      </c>
      <c r="H33" s="186">
        <v>27143</v>
      </c>
      <c r="I33" s="185">
        <v>0</v>
      </c>
      <c r="J33" s="185">
        <v>0</v>
      </c>
      <c r="K33" s="185">
        <v>0</v>
      </c>
      <c r="L33" s="182">
        <v>12488</v>
      </c>
      <c r="M33" s="182">
        <v>14655</v>
      </c>
      <c r="N33" s="186">
        <v>27143</v>
      </c>
      <c r="O33" s="184">
        <v>53.328778238032207</v>
      </c>
      <c r="P33" s="184">
        <v>54.86914523194428</v>
      </c>
      <c r="Q33" s="184">
        <v>54.149543151258825</v>
      </c>
      <c r="R33" s="183">
        <f t="shared" si="9"/>
        <v>12488</v>
      </c>
      <c r="S33" s="183">
        <f t="shared" si="9"/>
        <v>14655</v>
      </c>
      <c r="T33" s="183">
        <f t="shared" si="9"/>
        <v>27143</v>
      </c>
      <c r="U33" s="183">
        <v>619</v>
      </c>
      <c r="V33" s="183">
        <v>694</v>
      </c>
      <c r="W33" s="183">
        <f t="shared" si="2"/>
        <v>1313</v>
      </c>
      <c r="X33" s="183">
        <v>2042</v>
      </c>
      <c r="Y33" s="183">
        <v>2292</v>
      </c>
      <c r="Z33" s="183">
        <f t="shared" si="3"/>
        <v>4334</v>
      </c>
      <c r="AA33" s="184">
        <f t="shared" si="4"/>
        <v>4.9567584881486226</v>
      </c>
      <c r="AB33" s="184">
        <f t="shared" si="4"/>
        <v>4.7355851245308767</v>
      </c>
      <c r="AC33" s="184">
        <f t="shared" si="4"/>
        <v>4.8373429613528351</v>
      </c>
      <c r="AD33" s="187">
        <f t="shared" si="5"/>
        <v>16.351697629724537</v>
      </c>
      <c r="AE33" s="187">
        <f t="shared" si="5"/>
        <v>15.639713408393039</v>
      </c>
      <c r="AF33" s="187">
        <f t="shared" si="5"/>
        <v>15.967284382713775</v>
      </c>
    </row>
    <row r="34" spans="1:32">
      <c r="A34" s="166">
        <v>25</v>
      </c>
      <c r="B34" s="45" t="s">
        <v>240</v>
      </c>
      <c r="C34" s="170">
        <v>8919</v>
      </c>
      <c r="D34" s="170">
        <v>9139</v>
      </c>
      <c r="E34" s="170">
        <v>18058</v>
      </c>
      <c r="F34" s="170">
        <v>6187</v>
      </c>
      <c r="G34" s="170">
        <v>6240</v>
      </c>
      <c r="H34" s="170">
        <v>12427</v>
      </c>
      <c r="I34" s="170">
        <v>198</v>
      </c>
      <c r="J34" s="170">
        <v>207</v>
      </c>
      <c r="K34" s="170">
        <v>405</v>
      </c>
      <c r="L34" s="167">
        <v>6385</v>
      </c>
      <c r="M34" s="167">
        <v>6447</v>
      </c>
      <c r="N34" s="170">
        <v>12832</v>
      </c>
      <c r="O34" s="171">
        <v>71.588743132638186</v>
      </c>
      <c r="P34" s="171">
        <v>70.543823175402125</v>
      </c>
      <c r="Q34" s="171">
        <v>71.059918041865103</v>
      </c>
      <c r="R34" s="172">
        <f t="shared" si="9"/>
        <v>6385</v>
      </c>
      <c r="S34" s="172">
        <f t="shared" si="9"/>
        <v>6447</v>
      </c>
      <c r="T34" s="172">
        <f t="shared" si="9"/>
        <v>12832</v>
      </c>
      <c r="U34" s="180">
        <v>303</v>
      </c>
      <c r="V34" s="180">
        <v>308</v>
      </c>
      <c r="W34" s="172">
        <f t="shared" si="2"/>
        <v>611</v>
      </c>
      <c r="X34" s="172">
        <v>968</v>
      </c>
      <c r="Y34" s="172">
        <v>1022</v>
      </c>
      <c r="Z34" s="172">
        <f t="shared" si="3"/>
        <v>1990</v>
      </c>
      <c r="AA34" s="177">
        <f t="shared" si="4"/>
        <v>4.7454972592012528</v>
      </c>
      <c r="AB34" s="177">
        <f t="shared" si="4"/>
        <v>4.7774158523344195</v>
      </c>
      <c r="AC34" s="177">
        <f t="shared" si="4"/>
        <v>4.7615336658354117</v>
      </c>
      <c r="AD34" s="178">
        <f t="shared" si="5"/>
        <v>15.160532498042286</v>
      </c>
      <c r="AE34" s="178">
        <f t="shared" si="5"/>
        <v>15.852334419109663</v>
      </c>
      <c r="AF34" s="178">
        <f t="shared" si="5"/>
        <v>15.508104738154614</v>
      </c>
    </row>
    <row r="35" spans="1:32" ht="28.5">
      <c r="A35" s="166">
        <v>26</v>
      </c>
      <c r="B35" s="45" t="s">
        <v>241</v>
      </c>
      <c r="C35" s="170">
        <v>11071</v>
      </c>
      <c r="D35" s="170">
        <v>11899</v>
      </c>
      <c r="E35" s="170">
        <v>22970</v>
      </c>
      <c r="F35" s="170">
        <v>7377</v>
      </c>
      <c r="G35" s="170">
        <v>7650</v>
      </c>
      <c r="H35" s="170">
        <v>15027</v>
      </c>
      <c r="I35" s="170">
        <v>220</v>
      </c>
      <c r="J35" s="170">
        <v>233</v>
      </c>
      <c r="K35" s="170">
        <v>453</v>
      </c>
      <c r="L35" s="167">
        <v>7597</v>
      </c>
      <c r="M35" s="167">
        <v>7883</v>
      </c>
      <c r="N35" s="170">
        <v>15480</v>
      </c>
      <c r="O35" s="171">
        <v>68.620720802095576</v>
      </c>
      <c r="P35" s="171">
        <v>66.249264644087731</v>
      </c>
      <c r="Q35" s="171">
        <v>67.392250761863309</v>
      </c>
      <c r="R35" s="172">
        <f t="shared" si="9"/>
        <v>7597</v>
      </c>
      <c r="S35" s="172">
        <f t="shared" si="9"/>
        <v>7883</v>
      </c>
      <c r="T35" s="172">
        <f t="shared" si="9"/>
        <v>15480</v>
      </c>
      <c r="U35" s="180">
        <v>694</v>
      </c>
      <c r="V35" s="180">
        <v>966</v>
      </c>
      <c r="W35" s="172">
        <f t="shared" si="2"/>
        <v>1660</v>
      </c>
      <c r="X35" s="172">
        <v>2064</v>
      </c>
      <c r="Y35" s="172">
        <v>2425</v>
      </c>
      <c r="Z35" s="172">
        <f t="shared" si="3"/>
        <v>4489</v>
      </c>
      <c r="AA35" s="177">
        <f t="shared" si="4"/>
        <v>9.1351849414242459</v>
      </c>
      <c r="AB35" s="177">
        <f t="shared" si="4"/>
        <v>12.254217937333502</v>
      </c>
      <c r="AC35" s="177">
        <f t="shared" si="4"/>
        <v>10.723514211886304</v>
      </c>
      <c r="AD35" s="178">
        <f t="shared" si="5"/>
        <v>27.168619191786231</v>
      </c>
      <c r="AE35" s="178">
        <f t="shared" si="5"/>
        <v>30.762400101484207</v>
      </c>
      <c r="AF35" s="178">
        <f t="shared" si="5"/>
        <v>28.998708010335914</v>
      </c>
    </row>
    <row r="36" spans="1:32" ht="28.5">
      <c r="A36" s="166">
        <v>27</v>
      </c>
      <c r="B36" s="43" t="s">
        <v>242</v>
      </c>
      <c r="C36" s="170">
        <v>284290</v>
      </c>
      <c r="D36" s="170">
        <v>286490</v>
      </c>
      <c r="E36" s="170">
        <v>570780</v>
      </c>
      <c r="F36" s="170">
        <v>234992</v>
      </c>
      <c r="G36" s="170">
        <v>239920</v>
      </c>
      <c r="H36" s="170">
        <v>474912</v>
      </c>
      <c r="I36" s="170">
        <v>2311</v>
      </c>
      <c r="J36" s="170">
        <v>1992</v>
      </c>
      <c r="K36" s="170">
        <v>4303</v>
      </c>
      <c r="L36" s="167">
        <v>237303</v>
      </c>
      <c r="M36" s="167">
        <v>241912</v>
      </c>
      <c r="N36" s="170">
        <v>479215</v>
      </c>
      <c r="O36" s="171">
        <v>83.472158711175197</v>
      </c>
      <c r="P36" s="171">
        <v>84.439945547837624</v>
      </c>
      <c r="Q36" s="171">
        <v>83.957917236062926</v>
      </c>
      <c r="R36" s="172">
        <f t="shared" si="9"/>
        <v>237303</v>
      </c>
      <c r="S36" s="172">
        <f t="shared" si="9"/>
        <v>241912</v>
      </c>
      <c r="T36" s="172">
        <f t="shared" si="9"/>
        <v>479215</v>
      </c>
      <c r="U36" s="173"/>
      <c r="V36" s="173"/>
      <c r="W36" s="173"/>
      <c r="X36" s="173"/>
      <c r="Y36" s="173"/>
      <c r="Z36" s="173"/>
      <c r="AA36" s="174"/>
      <c r="AB36" s="174"/>
      <c r="AC36" s="174"/>
      <c r="AD36" s="175"/>
      <c r="AE36" s="175"/>
      <c r="AF36" s="175"/>
    </row>
    <row r="37" spans="1:32">
      <c r="A37" s="166">
        <v>28</v>
      </c>
      <c r="B37" s="45" t="s">
        <v>70</v>
      </c>
      <c r="C37" s="170">
        <v>190512</v>
      </c>
      <c r="D37" s="170">
        <v>151817</v>
      </c>
      <c r="E37" s="170">
        <v>342329</v>
      </c>
      <c r="F37" s="170">
        <v>128466</v>
      </c>
      <c r="G37" s="170">
        <v>118874</v>
      </c>
      <c r="H37" s="170">
        <v>247340</v>
      </c>
      <c r="I37" s="174"/>
      <c r="J37" s="174"/>
      <c r="K37" s="174"/>
      <c r="L37" s="167">
        <v>128466</v>
      </c>
      <c r="M37" s="167">
        <v>118874</v>
      </c>
      <c r="N37" s="170">
        <v>247340</v>
      </c>
      <c r="O37" s="171">
        <v>67.431972789115648</v>
      </c>
      <c r="P37" s="171">
        <v>78.300849048525521</v>
      </c>
      <c r="Q37" s="171">
        <v>72.252131721238925</v>
      </c>
      <c r="R37" s="172">
        <f t="shared" si="9"/>
        <v>128466</v>
      </c>
      <c r="S37" s="172">
        <f t="shared" si="9"/>
        <v>118874</v>
      </c>
      <c r="T37" s="172">
        <f t="shared" si="9"/>
        <v>247340</v>
      </c>
      <c r="U37" s="173"/>
      <c r="V37" s="173"/>
      <c r="W37" s="173"/>
      <c r="X37" s="173"/>
      <c r="Y37" s="173"/>
      <c r="Z37" s="173"/>
      <c r="AA37" s="174"/>
      <c r="AB37" s="174"/>
      <c r="AC37" s="174"/>
      <c r="AD37" s="175"/>
      <c r="AE37" s="175"/>
      <c r="AF37" s="175"/>
    </row>
    <row r="38" spans="1:32" ht="28.5">
      <c r="A38" s="166">
        <v>29</v>
      </c>
      <c r="B38" s="43" t="s">
        <v>243</v>
      </c>
      <c r="C38" s="170">
        <v>632924</v>
      </c>
      <c r="D38" s="170">
        <v>448800</v>
      </c>
      <c r="E38" s="170">
        <v>1081724</v>
      </c>
      <c r="F38" s="170">
        <v>465062</v>
      </c>
      <c r="G38" s="170">
        <v>333802</v>
      </c>
      <c r="H38" s="170">
        <v>798864</v>
      </c>
      <c r="I38" s="170">
        <v>8154</v>
      </c>
      <c r="J38" s="170">
        <v>7827</v>
      </c>
      <c r="K38" s="170">
        <v>15981</v>
      </c>
      <c r="L38" s="167">
        <v>473216</v>
      </c>
      <c r="M38" s="167">
        <v>341629</v>
      </c>
      <c r="N38" s="170">
        <v>814845</v>
      </c>
      <c r="O38" s="171">
        <v>74.766638648558128</v>
      </c>
      <c r="P38" s="171">
        <v>76.120543672014264</v>
      </c>
      <c r="Q38" s="171">
        <v>75.328364721500122</v>
      </c>
      <c r="R38" s="172">
        <f>L38</f>
        <v>473216</v>
      </c>
      <c r="S38" s="172">
        <f>M38</f>
        <v>341629</v>
      </c>
      <c r="T38" s="172">
        <f>N38</f>
        <v>814845</v>
      </c>
      <c r="U38" s="180">
        <v>49698</v>
      </c>
      <c r="V38" s="180">
        <v>33887</v>
      </c>
      <c r="W38" s="172">
        <f t="shared" si="2"/>
        <v>83585</v>
      </c>
      <c r="X38" s="172">
        <v>120699</v>
      </c>
      <c r="Y38" s="172">
        <v>89864</v>
      </c>
      <c r="Z38" s="172">
        <f t="shared" si="3"/>
        <v>210563</v>
      </c>
      <c r="AA38" s="177">
        <f>U38/R38%</f>
        <v>10.502180822288341</v>
      </c>
      <c r="AB38" s="177">
        <f>V38/S38%</f>
        <v>9.9192398771767039</v>
      </c>
      <c r="AC38" s="177">
        <f>W38/T38%</f>
        <v>10.257779086820193</v>
      </c>
      <c r="AD38" s="178">
        <f>X38/R38%</f>
        <v>25.506111374087098</v>
      </c>
      <c r="AE38" s="178">
        <f>Y38/S38%</f>
        <v>26.304558453761246</v>
      </c>
      <c r="AF38" s="178">
        <f>Z38/T38%</f>
        <v>25.840865440666629</v>
      </c>
    </row>
    <row r="39" spans="1:32" ht="28.5">
      <c r="A39" s="166">
        <v>30</v>
      </c>
      <c r="B39" s="45" t="s">
        <v>244</v>
      </c>
      <c r="C39" s="170">
        <v>543993</v>
      </c>
      <c r="D39" s="170">
        <v>516436</v>
      </c>
      <c r="E39" s="170">
        <v>1060429</v>
      </c>
      <c r="F39" s="170">
        <v>470720</v>
      </c>
      <c r="G39" s="170">
        <v>487868</v>
      </c>
      <c r="H39" s="170">
        <v>958588</v>
      </c>
      <c r="I39" s="170">
        <v>3274</v>
      </c>
      <c r="J39" s="170">
        <v>1419</v>
      </c>
      <c r="K39" s="170">
        <v>4693</v>
      </c>
      <c r="L39" s="167">
        <v>473994</v>
      </c>
      <c r="M39" s="167">
        <v>489287</v>
      </c>
      <c r="N39" s="170">
        <v>963281</v>
      </c>
      <c r="O39" s="171">
        <v>87.132371188599862</v>
      </c>
      <c r="P39" s="171">
        <v>94.743007846083543</v>
      </c>
      <c r="Q39" s="171">
        <v>90.838802032007806</v>
      </c>
      <c r="R39" s="172">
        <f t="shared" si="9"/>
        <v>473994</v>
      </c>
      <c r="S39" s="172">
        <f t="shared" si="9"/>
        <v>489287</v>
      </c>
      <c r="T39" s="172">
        <f t="shared" si="9"/>
        <v>963281</v>
      </c>
      <c r="U39" s="180">
        <v>191678</v>
      </c>
      <c r="V39" s="180">
        <v>261716</v>
      </c>
      <c r="W39" s="172">
        <f t="shared" si="2"/>
        <v>453394</v>
      </c>
      <c r="X39" s="172">
        <v>144320</v>
      </c>
      <c r="Y39" s="172">
        <v>135923</v>
      </c>
      <c r="Z39" s="172">
        <f t="shared" si="3"/>
        <v>280243</v>
      </c>
      <c r="AA39" s="177">
        <f t="shared" si="4"/>
        <v>40.438908509390416</v>
      </c>
      <c r="AB39" s="177">
        <f t="shared" si="4"/>
        <v>53.489260904131932</v>
      </c>
      <c r="AC39" s="177">
        <f t="shared" si="4"/>
        <v>47.067678071092445</v>
      </c>
      <c r="AD39" s="178">
        <f t="shared" si="5"/>
        <v>30.44764279716621</v>
      </c>
      <c r="AE39" s="178">
        <f t="shared" si="5"/>
        <v>27.779810213637397</v>
      </c>
      <c r="AF39" s="178">
        <f t="shared" si="5"/>
        <v>29.092549318423181</v>
      </c>
    </row>
    <row r="40" spans="1:32" ht="28.5">
      <c r="A40" s="166">
        <v>31</v>
      </c>
      <c r="B40" s="45" t="s">
        <v>102</v>
      </c>
      <c r="C40" s="170">
        <v>23051</v>
      </c>
      <c r="D40" s="170">
        <v>22484</v>
      </c>
      <c r="E40" s="170">
        <v>45535</v>
      </c>
      <c r="F40" s="170">
        <v>13093</v>
      </c>
      <c r="G40" s="170">
        <v>12123</v>
      </c>
      <c r="H40" s="170">
        <v>25216</v>
      </c>
      <c r="I40" s="170">
        <v>0</v>
      </c>
      <c r="J40" s="170">
        <v>0</v>
      </c>
      <c r="K40" s="170">
        <v>0</v>
      </c>
      <c r="L40" s="167">
        <v>13093</v>
      </c>
      <c r="M40" s="167">
        <v>12123</v>
      </c>
      <c r="N40" s="170">
        <v>25216</v>
      </c>
      <c r="O40" s="171">
        <v>56.800138822610734</v>
      </c>
      <c r="P40" s="171">
        <v>53.918341932040562</v>
      </c>
      <c r="Q40" s="171">
        <v>55.377182387174706</v>
      </c>
      <c r="R40" s="172">
        <f t="shared" si="9"/>
        <v>13093</v>
      </c>
      <c r="S40" s="172">
        <f t="shared" si="9"/>
        <v>12123</v>
      </c>
      <c r="T40" s="172">
        <f t="shared" si="9"/>
        <v>25216</v>
      </c>
      <c r="U40" s="180">
        <v>416</v>
      </c>
      <c r="V40" s="180">
        <v>297</v>
      </c>
      <c r="W40" s="172">
        <f t="shared" si="2"/>
        <v>713</v>
      </c>
      <c r="X40" s="172">
        <v>954</v>
      </c>
      <c r="Y40" s="172">
        <v>800</v>
      </c>
      <c r="Z40" s="172">
        <f t="shared" si="3"/>
        <v>1754</v>
      </c>
      <c r="AA40" s="177">
        <f t="shared" si="4"/>
        <v>3.1772702971053235</v>
      </c>
      <c r="AB40" s="177">
        <f t="shared" si="4"/>
        <v>2.4498886414253898</v>
      </c>
      <c r="AC40" s="177">
        <f t="shared" si="4"/>
        <v>2.8275697969543145</v>
      </c>
      <c r="AD40" s="178">
        <f t="shared" si="5"/>
        <v>7.28633621018865</v>
      </c>
      <c r="AE40" s="178">
        <f t="shared" si="5"/>
        <v>6.5990266435700731</v>
      </c>
      <c r="AF40" s="178">
        <f t="shared" si="5"/>
        <v>6.9559010152284264</v>
      </c>
    </row>
    <row r="41" spans="1:32" ht="28.5">
      <c r="A41" s="166">
        <v>32</v>
      </c>
      <c r="B41" s="45" t="s">
        <v>245</v>
      </c>
      <c r="C41" s="170">
        <v>1781384</v>
      </c>
      <c r="D41" s="170">
        <v>1464164</v>
      </c>
      <c r="E41" s="170">
        <v>3245548</v>
      </c>
      <c r="F41" s="170">
        <v>1513421</v>
      </c>
      <c r="G41" s="170">
        <v>1336836</v>
      </c>
      <c r="H41" s="170">
        <v>2850257</v>
      </c>
      <c r="I41" s="176">
        <v>0</v>
      </c>
      <c r="J41" s="176">
        <v>0</v>
      </c>
      <c r="K41" s="176">
        <v>0</v>
      </c>
      <c r="L41" s="167">
        <v>1513421</v>
      </c>
      <c r="M41" s="167">
        <v>1336836</v>
      </c>
      <c r="N41" s="170">
        <v>2850257</v>
      </c>
      <c r="O41" s="171">
        <v>84.957594769011052</v>
      </c>
      <c r="P41" s="171">
        <v>91.30370641540155</v>
      </c>
      <c r="Q41" s="171">
        <v>87.820515980660275</v>
      </c>
      <c r="R41" s="172">
        <f t="shared" si="9"/>
        <v>1513421</v>
      </c>
      <c r="S41" s="172">
        <f t="shared" si="9"/>
        <v>1336836</v>
      </c>
      <c r="T41" s="172">
        <f t="shared" si="9"/>
        <v>2850257</v>
      </c>
      <c r="U41" s="180">
        <v>356073</v>
      </c>
      <c r="V41" s="180">
        <v>389932</v>
      </c>
      <c r="W41" s="172">
        <f t="shared" si="2"/>
        <v>746005</v>
      </c>
      <c r="X41" s="172">
        <v>795954</v>
      </c>
      <c r="Y41" s="172">
        <v>723765</v>
      </c>
      <c r="Z41" s="172">
        <f t="shared" si="3"/>
        <v>1519719</v>
      </c>
      <c r="AA41" s="177">
        <f t="shared" si="4"/>
        <v>23.527689915760387</v>
      </c>
      <c r="AB41" s="177">
        <f t="shared" si="4"/>
        <v>29.168274941728079</v>
      </c>
      <c r="AC41" s="177">
        <f t="shared" si="4"/>
        <v>26.173253850442258</v>
      </c>
      <c r="AD41" s="178">
        <f t="shared" si="5"/>
        <v>52.59303260626092</v>
      </c>
      <c r="AE41" s="178">
        <f t="shared" si="5"/>
        <v>54.140148829026145</v>
      </c>
      <c r="AF41" s="178">
        <f t="shared" si="5"/>
        <v>53.318665650150145</v>
      </c>
    </row>
    <row r="42" spans="1:32" ht="28.5">
      <c r="A42" s="166">
        <v>33</v>
      </c>
      <c r="B42" s="45" t="s">
        <v>247</v>
      </c>
      <c r="C42" s="170">
        <v>82434</v>
      </c>
      <c r="D42" s="170">
        <v>80431</v>
      </c>
      <c r="E42" s="170">
        <v>162865</v>
      </c>
      <c r="F42" s="170">
        <v>58104</v>
      </c>
      <c r="G42" s="170">
        <v>61563</v>
      </c>
      <c r="H42" s="170">
        <v>119667</v>
      </c>
      <c r="I42" s="176"/>
      <c r="J42" s="176"/>
      <c r="K42" s="176"/>
      <c r="L42" s="167">
        <v>58104</v>
      </c>
      <c r="M42" s="167">
        <v>61563</v>
      </c>
      <c r="N42" s="170">
        <v>119667</v>
      </c>
      <c r="O42" s="171">
        <v>70.485479292524928</v>
      </c>
      <c r="P42" s="171">
        <v>76.541383297484799</v>
      </c>
      <c r="Q42" s="171">
        <v>73.476191938108244</v>
      </c>
      <c r="R42" s="172">
        <f t="shared" si="9"/>
        <v>58104</v>
      </c>
      <c r="S42" s="172">
        <f t="shared" si="9"/>
        <v>61563</v>
      </c>
      <c r="T42" s="172">
        <f t="shared" si="9"/>
        <v>119667</v>
      </c>
      <c r="U42" s="180">
        <v>2454</v>
      </c>
      <c r="V42" s="180">
        <v>2454</v>
      </c>
      <c r="W42" s="172">
        <f t="shared" si="2"/>
        <v>4908</v>
      </c>
      <c r="X42" s="172">
        <v>9728</v>
      </c>
      <c r="Y42" s="172">
        <v>14624</v>
      </c>
      <c r="Z42" s="172">
        <f t="shared" si="3"/>
        <v>24352</v>
      </c>
      <c r="AA42" s="177">
        <f t="shared" si="4"/>
        <v>4.223461379595209</v>
      </c>
      <c r="AB42" s="177">
        <f t="shared" si="4"/>
        <v>3.9861605184932509</v>
      </c>
      <c r="AC42" s="177">
        <f t="shared" si="4"/>
        <v>4.1013813331996287</v>
      </c>
      <c r="AD42" s="178">
        <f t="shared" si="5"/>
        <v>16.742392950571389</v>
      </c>
      <c r="AE42" s="178">
        <f t="shared" si="5"/>
        <v>23.75452788200705</v>
      </c>
      <c r="AF42" s="178">
        <f t="shared" si="5"/>
        <v>20.349804039543063</v>
      </c>
    </row>
    <row r="43" spans="1:32" ht="28.5">
      <c r="A43" s="166">
        <v>34</v>
      </c>
      <c r="B43" s="45" t="s">
        <v>104</v>
      </c>
      <c r="C43" s="170">
        <v>519790</v>
      </c>
      <c r="D43" s="170">
        <v>624307</v>
      </c>
      <c r="E43" s="170">
        <v>1144097</v>
      </c>
      <c r="F43" s="170">
        <v>442461</v>
      </c>
      <c r="G43" s="170">
        <v>485594</v>
      </c>
      <c r="H43" s="170">
        <v>928055</v>
      </c>
      <c r="I43" s="176"/>
      <c r="J43" s="176"/>
      <c r="K43" s="176"/>
      <c r="L43" s="167">
        <v>442461</v>
      </c>
      <c r="M43" s="167">
        <v>485594</v>
      </c>
      <c r="N43" s="170">
        <v>928055</v>
      </c>
      <c r="O43" s="171">
        <v>85.123030454606663</v>
      </c>
      <c r="P43" s="171">
        <v>77.781283887574531</v>
      </c>
      <c r="Q43" s="171">
        <v>81.116810899775103</v>
      </c>
      <c r="R43" s="172">
        <f t="shared" si="9"/>
        <v>442461</v>
      </c>
      <c r="S43" s="172">
        <f t="shared" si="9"/>
        <v>485594</v>
      </c>
      <c r="T43" s="172">
        <f t="shared" si="9"/>
        <v>928055</v>
      </c>
      <c r="U43" s="180">
        <v>28169</v>
      </c>
      <c r="V43" s="180">
        <v>20060</v>
      </c>
      <c r="W43" s="172">
        <f t="shared" si="2"/>
        <v>48229</v>
      </c>
      <c r="X43" s="172">
        <v>37555</v>
      </c>
      <c r="Y43" s="172">
        <v>33938</v>
      </c>
      <c r="Z43" s="172">
        <f t="shared" si="3"/>
        <v>71493</v>
      </c>
      <c r="AA43" s="177">
        <f t="shared" si="4"/>
        <v>6.3664368159001592</v>
      </c>
      <c r="AB43" s="177">
        <f t="shared" si="4"/>
        <v>4.1310230357047253</v>
      </c>
      <c r="AC43" s="177">
        <f t="shared" si="4"/>
        <v>5.1967825182774732</v>
      </c>
      <c r="AD43" s="178">
        <f t="shared" si="5"/>
        <v>8.4877537229269926</v>
      </c>
      <c r="AE43" s="178">
        <f t="shared" si="5"/>
        <v>6.988966091014305</v>
      </c>
      <c r="AF43" s="178">
        <f t="shared" si="5"/>
        <v>7.703530501963785</v>
      </c>
    </row>
    <row r="44" spans="1:32" ht="28.5">
      <c r="A44" s="166">
        <v>35</v>
      </c>
      <c r="B44" s="43" t="s">
        <v>309</v>
      </c>
      <c r="C44" s="189">
        <v>15550</v>
      </c>
      <c r="D44" s="189">
        <v>36128</v>
      </c>
      <c r="E44" s="189">
        <v>51678</v>
      </c>
      <c r="F44" s="189">
        <v>12800</v>
      </c>
      <c r="G44" s="189">
        <v>27042</v>
      </c>
      <c r="H44" s="189">
        <v>39842</v>
      </c>
      <c r="I44" s="191"/>
      <c r="J44" s="191"/>
      <c r="K44" s="191"/>
      <c r="L44" s="188">
        <v>12800</v>
      </c>
      <c r="M44" s="188">
        <v>27042</v>
      </c>
      <c r="N44" s="189">
        <v>39842</v>
      </c>
      <c r="O44" s="190">
        <v>82.315112540192928</v>
      </c>
      <c r="P44" s="190">
        <v>74.850531443755543</v>
      </c>
      <c r="Q44" s="190">
        <v>77.096636866751808</v>
      </c>
      <c r="R44" s="193">
        <f t="shared" si="9"/>
        <v>12800</v>
      </c>
      <c r="S44" s="193">
        <f t="shared" si="9"/>
        <v>27042</v>
      </c>
      <c r="T44" s="193">
        <f t="shared" si="9"/>
        <v>39842</v>
      </c>
      <c r="U44" s="194">
        <v>294</v>
      </c>
      <c r="V44" s="194">
        <v>360</v>
      </c>
      <c r="W44" s="193">
        <f t="shared" si="2"/>
        <v>654</v>
      </c>
      <c r="X44" s="193">
        <v>1073</v>
      </c>
      <c r="Y44" s="193">
        <v>1369</v>
      </c>
      <c r="Z44" s="193">
        <f t="shared" si="3"/>
        <v>2442</v>
      </c>
      <c r="AA44" s="177">
        <f t="shared" si="4"/>
        <v>2.296875</v>
      </c>
      <c r="AB44" s="177">
        <f t="shared" si="4"/>
        <v>1.3312624805857554</v>
      </c>
      <c r="AC44" s="177">
        <f t="shared" si="4"/>
        <v>1.6414838612519451</v>
      </c>
      <c r="AD44" s="178">
        <f t="shared" si="5"/>
        <v>8.3828125</v>
      </c>
      <c r="AE44" s="178">
        <f t="shared" si="5"/>
        <v>5.0624953775608308</v>
      </c>
      <c r="AF44" s="178">
        <f t="shared" si="5"/>
        <v>6.1292103810049694</v>
      </c>
    </row>
    <row r="45" spans="1:32" ht="28.5">
      <c r="A45" s="166">
        <v>36</v>
      </c>
      <c r="B45" s="43" t="s">
        <v>163</v>
      </c>
      <c r="C45" s="170">
        <v>1363</v>
      </c>
      <c r="D45" s="170">
        <v>610</v>
      </c>
      <c r="E45" s="170">
        <v>1973</v>
      </c>
      <c r="F45" s="170">
        <v>1286</v>
      </c>
      <c r="G45" s="170">
        <v>589</v>
      </c>
      <c r="H45" s="170">
        <v>1875</v>
      </c>
      <c r="I45" s="176"/>
      <c r="J45" s="176"/>
      <c r="K45" s="176"/>
      <c r="L45" s="167">
        <v>1286</v>
      </c>
      <c r="M45" s="167">
        <v>589</v>
      </c>
      <c r="N45" s="170">
        <v>1875</v>
      </c>
      <c r="O45" s="171">
        <v>94.350696991929567</v>
      </c>
      <c r="P45" s="171">
        <v>96.557377049180332</v>
      </c>
      <c r="Q45" s="181">
        <v>95.032944754181443</v>
      </c>
      <c r="R45" s="172">
        <f t="shared" ref="R45:T51" si="11">L45</f>
        <v>1286</v>
      </c>
      <c r="S45" s="172">
        <f t="shared" si="11"/>
        <v>589</v>
      </c>
      <c r="T45" s="172">
        <f t="shared" si="11"/>
        <v>1875</v>
      </c>
      <c r="U45" s="180">
        <v>16</v>
      </c>
      <c r="V45" s="180">
        <v>0</v>
      </c>
      <c r="W45" s="172">
        <f>U45+V45</f>
        <v>16</v>
      </c>
      <c r="X45" s="172">
        <v>356</v>
      </c>
      <c r="Y45" s="172">
        <v>122</v>
      </c>
      <c r="Z45" s="172">
        <f>X45+Y45</f>
        <v>478</v>
      </c>
      <c r="AA45" s="177">
        <f>U45/R45%</f>
        <v>1.2441679626749611</v>
      </c>
      <c r="AB45" s="177">
        <f>V45/S45%</f>
        <v>0</v>
      </c>
      <c r="AC45" s="177">
        <f>W45/T45%</f>
        <v>0.85333333333333339</v>
      </c>
      <c r="AD45" s="178">
        <f>X45/R45%</f>
        <v>27.682737169517885</v>
      </c>
      <c r="AE45" s="178">
        <f>Y45/S45%</f>
        <v>20.713073005093381</v>
      </c>
      <c r="AF45" s="178">
        <f>Z45/T45%</f>
        <v>25.493333333333332</v>
      </c>
    </row>
    <row r="46" spans="1:32" ht="42.75">
      <c r="A46" s="166">
        <v>37</v>
      </c>
      <c r="B46" s="43" t="s">
        <v>88</v>
      </c>
      <c r="C46" s="170">
        <v>872</v>
      </c>
      <c r="D46" s="170">
        <v>778</v>
      </c>
      <c r="E46" s="170">
        <v>1650</v>
      </c>
      <c r="F46" s="170">
        <v>850</v>
      </c>
      <c r="G46" s="170">
        <v>742</v>
      </c>
      <c r="H46" s="170">
        <v>1592</v>
      </c>
      <c r="I46" s="170">
        <v>10</v>
      </c>
      <c r="J46" s="170">
        <v>10</v>
      </c>
      <c r="K46" s="170">
        <v>20</v>
      </c>
      <c r="L46" s="167">
        <v>860</v>
      </c>
      <c r="M46" s="167">
        <v>752</v>
      </c>
      <c r="N46" s="170">
        <v>1612</v>
      </c>
      <c r="O46" s="171">
        <v>98.623853211009177</v>
      </c>
      <c r="P46" s="171">
        <v>96.658097686375328</v>
      </c>
      <c r="Q46" s="171">
        <v>97.696969696969688</v>
      </c>
      <c r="R46" s="193">
        <f t="shared" si="11"/>
        <v>860</v>
      </c>
      <c r="S46" s="193">
        <f t="shared" si="11"/>
        <v>752</v>
      </c>
      <c r="T46" s="193">
        <f t="shared" si="11"/>
        <v>1612</v>
      </c>
      <c r="U46" s="173"/>
      <c r="V46" s="173"/>
      <c r="W46" s="173"/>
      <c r="X46" s="173"/>
      <c r="Y46" s="173"/>
      <c r="Z46" s="173"/>
      <c r="AA46" s="174"/>
      <c r="AB46" s="174"/>
      <c r="AC46" s="174"/>
      <c r="AD46" s="175"/>
      <c r="AE46" s="175"/>
      <c r="AF46" s="175"/>
    </row>
    <row r="47" spans="1:32" ht="28.5">
      <c r="A47" s="166">
        <v>38</v>
      </c>
      <c r="B47" s="43" t="s">
        <v>50</v>
      </c>
      <c r="C47" s="170">
        <v>508</v>
      </c>
      <c r="D47" s="170">
        <v>280</v>
      </c>
      <c r="E47" s="170">
        <v>788</v>
      </c>
      <c r="F47" s="170">
        <v>467</v>
      </c>
      <c r="G47" s="170">
        <v>259</v>
      </c>
      <c r="H47" s="170">
        <v>726</v>
      </c>
      <c r="I47" s="176"/>
      <c r="J47" s="176"/>
      <c r="K47" s="176"/>
      <c r="L47" s="167">
        <v>467</v>
      </c>
      <c r="M47" s="167">
        <v>259</v>
      </c>
      <c r="N47" s="170">
        <v>726</v>
      </c>
      <c r="O47" s="171">
        <v>91.929133858267718</v>
      </c>
      <c r="P47" s="171">
        <v>92.5</v>
      </c>
      <c r="Q47" s="171">
        <v>92.131979695431482</v>
      </c>
      <c r="R47" s="172">
        <f t="shared" si="11"/>
        <v>467</v>
      </c>
      <c r="S47" s="172">
        <f t="shared" si="11"/>
        <v>259</v>
      </c>
      <c r="T47" s="172">
        <f t="shared" si="11"/>
        <v>726</v>
      </c>
      <c r="U47" s="168">
        <v>7</v>
      </c>
      <c r="V47" s="168">
        <v>0</v>
      </c>
      <c r="W47" s="172">
        <f>U47+V47</f>
        <v>7</v>
      </c>
      <c r="X47" s="172">
        <v>147</v>
      </c>
      <c r="Y47" s="172">
        <v>79</v>
      </c>
      <c r="Z47" s="172">
        <f>X47+Y47</f>
        <v>226</v>
      </c>
      <c r="AA47" s="177">
        <f>U47/R47%</f>
        <v>1.4989293361884368</v>
      </c>
      <c r="AB47" s="177">
        <f>V47/S47%</f>
        <v>0</v>
      </c>
      <c r="AC47" s="177">
        <f>W47/T47%</f>
        <v>0.96418732782369154</v>
      </c>
      <c r="AD47" s="178">
        <f>X47/R47%</f>
        <v>31.477516059957175</v>
      </c>
      <c r="AE47" s="178">
        <f>Y47/S47%</f>
        <v>30.501930501930502</v>
      </c>
      <c r="AF47" s="178">
        <f>Z47/T47%</f>
        <v>31.12947658402204</v>
      </c>
    </row>
    <row r="48" spans="1:32" ht="28.5">
      <c r="A48" s="166">
        <v>39</v>
      </c>
      <c r="B48" s="43" t="s">
        <v>67</v>
      </c>
      <c r="C48" s="170">
        <v>1036</v>
      </c>
      <c r="D48" s="170">
        <v>235</v>
      </c>
      <c r="E48" s="170">
        <v>1271</v>
      </c>
      <c r="F48" s="170">
        <v>400</v>
      </c>
      <c r="G48" s="170">
        <v>37</v>
      </c>
      <c r="H48" s="170">
        <v>437</v>
      </c>
      <c r="I48" s="170">
        <v>176</v>
      </c>
      <c r="J48" s="170">
        <v>21</v>
      </c>
      <c r="K48" s="170">
        <v>197</v>
      </c>
      <c r="L48" s="167">
        <v>576</v>
      </c>
      <c r="M48" s="167">
        <v>58</v>
      </c>
      <c r="N48" s="170">
        <v>634</v>
      </c>
      <c r="O48" s="171">
        <v>55.598455598455601</v>
      </c>
      <c r="P48" s="171">
        <v>24.680851063829788</v>
      </c>
      <c r="Q48" s="171">
        <v>49.881982690794651</v>
      </c>
      <c r="R48" s="172">
        <f t="shared" si="11"/>
        <v>576</v>
      </c>
      <c r="S48" s="172">
        <f t="shared" si="11"/>
        <v>58</v>
      </c>
      <c r="T48" s="172">
        <f t="shared" si="11"/>
        <v>634</v>
      </c>
      <c r="U48" s="173"/>
      <c r="V48" s="173"/>
      <c r="W48" s="172">
        <v>19</v>
      </c>
      <c r="X48" s="173"/>
      <c r="Y48" s="173"/>
      <c r="Z48" s="172">
        <v>55</v>
      </c>
      <c r="AA48" s="174"/>
      <c r="AB48" s="174"/>
      <c r="AC48" s="177">
        <f>W48/T48%</f>
        <v>2.9968454258675079</v>
      </c>
      <c r="AD48" s="175"/>
      <c r="AE48" s="175"/>
      <c r="AF48" s="178">
        <f>Z48/T48%</f>
        <v>8.6750788643533117</v>
      </c>
    </row>
    <row r="49" spans="1:32">
      <c r="A49" s="166">
        <v>40</v>
      </c>
      <c r="B49" s="45" t="s">
        <v>73</v>
      </c>
      <c r="C49" s="170">
        <v>108</v>
      </c>
      <c r="D49" s="170">
        <v>91</v>
      </c>
      <c r="E49" s="170">
        <v>199</v>
      </c>
      <c r="F49" s="170">
        <v>106</v>
      </c>
      <c r="G49" s="170">
        <v>89</v>
      </c>
      <c r="H49" s="170">
        <v>195</v>
      </c>
      <c r="I49" s="176">
        <v>2</v>
      </c>
      <c r="J49" s="176">
        <v>2</v>
      </c>
      <c r="K49" s="176">
        <v>4</v>
      </c>
      <c r="L49" s="167">
        <v>108</v>
      </c>
      <c r="M49" s="167">
        <v>91</v>
      </c>
      <c r="N49" s="170">
        <v>199</v>
      </c>
      <c r="O49" s="171">
        <v>100</v>
      </c>
      <c r="P49" s="171">
        <v>100</v>
      </c>
      <c r="Q49" s="171">
        <v>100</v>
      </c>
      <c r="R49" s="172">
        <f t="shared" si="11"/>
        <v>108</v>
      </c>
      <c r="S49" s="172">
        <f t="shared" si="11"/>
        <v>91</v>
      </c>
      <c r="T49" s="172">
        <f t="shared" si="11"/>
        <v>199</v>
      </c>
      <c r="U49" s="173"/>
      <c r="V49" s="173"/>
      <c r="W49" s="173"/>
      <c r="X49" s="173"/>
      <c r="Y49" s="173"/>
      <c r="Z49" s="173"/>
      <c r="AA49" s="174"/>
      <c r="AB49" s="174"/>
      <c r="AC49" s="174"/>
      <c r="AD49" s="175"/>
      <c r="AE49" s="175"/>
      <c r="AF49" s="175"/>
    </row>
    <row r="50" spans="1:32" ht="28.5">
      <c r="A50" s="166">
        <v>41</v>
      </c>
      <c r="B50" s="45" t="s">
        <v>246</v>
      </c>
      <c r="C50" s="170">
        <v>14106</v>
      </c>
      <c r="D50" s="170">
        <v>6393</v>
      </c>
      <c r="E50" s="170">
        <v>20499</v>
      </c>
      <c r="F50" s="170">
        <v>13454</v>
      </c>
      <c r="G50" s="170">
        <v>6317</v>
      </c>
      <c r="H50" s="170">
        <v>19771</v>
      </c>
      <c r="I50" s="176">
        <v>0</v>
      </c>
      <c r="J50" s="176">
        <v>0</v>
      </c>
      <c r="K50" s="176">
        <v>0</v>
      </c>
      <c r="L50" s="167">
        <v>13454</v>
      </c>
      <c r="M50" s="167">
        <v>6317</v>
      </c>
      <c r="N50" s="170">
        <v>19771</v>
      </c>
      <c r="O50" s="171">
        <v>95.377853395718134</v>
      </c>
      <c r="P50" s="171">
        <v>98.811199749726271</v>
      </c>
      <c r="Q50" s="171">
        <v>96.448607249134099</v>
      </c>
      <c r="R50" s="172">
        <f t="shared" si="11"/>
        <v>13454</v>
      </c>
      <c r="S50" s="172">
        <f t="shared" si="11"/>
        <v>6317</v>
      </c>
      <c r="T50" s="172">
        <f t="shared" si="11"/>
        <v>19771</v>
      </c>
      <c r="U50" s="180">
        <v>1217</v>
      </c>
      <c r="V50" s="180">
        <v>751</v>
      </c>
      <c r="W50" s="172">
        <f>U50+V50</f>
        <v>1968</v>
      </c>
      <c r="X50" s="172">
        <v>8048</v>
      </c>
      <c r="Y50" s="172">
        <v>3526</v>
      </c>
      <c r="Z50" s="172">
        <f>X50+Y50</f>
        <v>11574</v>
      </c>
      <c r="AA50" s="177">
        <f t="shared" ref="AA50:AC51" si="12">U50/R50%</f>
        <v>9.0456369852831884</v>
      </c>
      <c r="AB50" s="177">
        <f t="shared" si="12"/>
        <v>11.888554693683711</v>
      </c>
      <c r="AC50" s="177">
        <f t="shared" si="12"/>
        <v>9.9539729907440186</v>
      </c>
      <c r="AD50" s="178">
        <f t="shared" ref="AD50:AF51" si="13">X50/R50%</f>
        <v>59.818641296268773</v>
      </c>
      <c r="AE50" s="178">
        <f t="shared" si="13"/>
        <v>55.817634953300619</v>
      </c>
      <c r="AF50" s="178">
        <f t="shared" si="13"/>
        <v>58.540286277881741</v>
      </c>
    </row>
    <row r="51" spans="1:32" ht="28.5">
      <c r="A51" s="166">
        <v>42</v>
      </c>
      <c r="B51" s="45" t="s">
        <v>76</v>
      </c>
      <c r="C51" s="170">
        <v>935</v>
      </c>
      <c r="D51" s="170">
        <v>69</v>
      </c>
      <c r="E51" s="170">
        <v>1004</v>
      </c>
      <c r="F51" s="170">
        <v>848</v>
      </c>
      <c r="G51" s="170">
        <v>61</v>
      </c>
      <c r="H51" s="170">
        <v>909</v>
      </c>
      <c r="I51" s="176">
        <v>2</v>
      </c>
      <c r="J51" s="176">
        <v>2</v>
      </c>
      <c r="K51" s="176">
        <v>4</v>
      </c>
      <c r="L51" s="167">
        <v>850</v>
      </c>
      <c r="M51" s="167">
        <v>63</v>
      </c>
      <c r="N51" s="170">
        <v>913</v>
      </c>
      <c r="O51" s="171">
        <v>90.909090909090907</v>
      </c>
      <c r="P51" s="171">
        <v>91.304347826086953</v>
      </c>
      <c r="Q51" s="171">
        <v>90.936254980079681</v>
      </c>
      <c r="R51" s="172">
        <f t="shared" si="11"/>
        <v>850</v>
      </c>
      <c r="S51" s="172">
        <f t="shared" si="11"/>
        <v>63</v>
      </c>
      <c r="T51" s="172">
        <f t="shared" si="11"/>
        <v>913</v>
      </c>
      <c r="U51" s="180">
        <v>4</v>
      </c>
      <c r="V51" s="180">
        <v>1</v>
      </c>
      <c r="W51" s="172">
        <f>U51+V51</f>
        <v>5</v>
      </c>
      <c r="X51" s="172">
        <v>106</v>
      </c>
      <c r="Y51" s="172">
        <v>26</v>
      </c>
      <c r="Z51" s="172">
        <f>X51+Y51</f>
        <v>132</v>
      </c>
      <c r="AA51" s="177">
        <f t="shared" si="12"/>
        <v>0.47058823529411764</v>
      </c>
      <c r="AB51" s="177">
        <f t="shared" si="12"/>
        <v>1.5873015873015872</v>
      </c>
      <c r="AC51" s="177">
        <f t="shared" si="12"/>
        <v>0.54764512595837889</v>
      </c>
      <c r="AD51" s="178">
        <f t="shared" si="13"/>
        <v>12.470588235294118</v>
      </c>
      <c r="AE51" s="178">
        <f t="shared" si="13"/>
        <v>41.269841269841272</v>
      </c>
      <c r="AF51" s="178">
        <f t="shared" si="13"/>
        <v>14.457831325301203</v>
      </c>
    </row>
    <row r="52" spans="1:32">
      <c r="A52" s="483" t="s">
        <v>256</v>
      </c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3"/>
    </row>
    <row r="53" spans="1:32" ht="28.5">
      <c r="A53" s="166">
        <v>1</v>
      </c>
      <c r="B53" s="43" t="s">
        <v>249</v>
      </c>
      <c r="C53" s="167">
        <v>95403</v>
      </c>
      <c r="D53" s="167">
        <v>41897</v>
      </c>
      <c r="E53" s="168">
        <f t="shared" ref="E53:E59" si="14">C53+D53</f>
        <v>137300</v>
      </c>
      <c r="F53" s="167">
        <v>38844</v>
      </c>
      <c r="G53" s="167">
        <v>18651</v>
      </c>
      <c r="H53" s="168">
        <f t="shared" ref="H53:H59" si="15">F53+G53</f>
        <v>57495</v>
      </c>
      <c r="I53" s="167"/>
      <c r="J53" s="167"/>
      <c r="K53" s="168"/>
      <c r="L53" s="167">
        <v>38844</v>
      </c>
      <c r="M53" s="167">
        <v>18651</v>
      </c>
      <c r="N53" s="168">
        <f t="shared" ref="N53:N59" si="16">L53+M53</f>
        <v>57495</v>
      </c>
      <c r="O53" s="167">
        <f>+L53/C53%</f>
        <v>40.715700764126915</v>
      </c>
      <c r="P53" s="167">
        <f t="shared" ref="P53:Q53" si="17">+M53/D53%</f>
        <v>44.516313817218411</v>
      </c>
      <c r="Q53" s="167">
        <f t="shared" si="17"/>
        <v>41.875455207574653</v>
      </c>
      <c r="R53" s="172">
        <f t="shared" ref="R53:T57" si="18">F53</f>
        <v>38844</v>
      </c>
      <c r="S53" s="172">
        <f t="shared" si="18"/>
        <v>18651</v>
      </c>
      <c r="T53" s="172">
        <f t="shared" si="18"/>
        <v>57495</v>
      </c>
      <c r="U53" s="172">
        <v>1445</v>
      </c>
      <c r="V53" s="172">
        <v>881</v>
      </c>
      <c r="W53" s="172">
        <f t="shared" ref="W53:W58" si="19">U53+V53</f>
        <v>2326</v>
      </c>
      <c r="X53" s="172">
        <v>19766</v>
      </c>
      <c r="Y53" s="172">
        <v>79</v>
      </c>
      <c r="Z53" s="172">
        <f>X53+Y53</f>
        <v>19845</v>
      </c>
      <c r="AA53" s="177">
        <f>U53/R53%</f>
        <v>3.7200082380805273</v>
      </c>
      <c r="AB53" s="177">
        <f>V53/S53%</f>
        <v>4.7236073132807892</v>
      </c>
      <c r="AC53" s="177">
        <f>W53/T53%</f>
        <v>4.0455691799286893</v>
      </c>
      <c r="AD53" s="178">
        <f>X53/R53%</f>
        <v>50.885593656677997</v>
      </c>
      <c r="AE53" s="178">
        <f>Y53/S53%</f>
        <v>0.42356978178113774</v>
      </c>
      <c r="AF53" s="178">
        <f>Z53/T53%</f>
        <v>34.516044873467258</v>
      </c>
    </row>
    <row r="54" spans="1:32">
      <c r="A54" s="166">
        <v>2</v>
      </c>
      <c r="B54" s="205" t="s">
        <v>250</v>
      </c>
      <c r="C54" s="206">
        <v>34296</v>
      </c>
      <c r="D54" s="206">
        <v>15700</v>
      </c>
      <c r="E54" s="168">
        <f t="shared" si="14"/>
        <v>49996</v>
      </c>
      <c r="F54" s="206">
        <v>25217</v>
      </c>
      <c r="G54" s="206">
        <v>12478</v>
      </c>
      <c r="H54" s="168">
        <f t="shared" si="15"/>
        <v>37695</v>
      </c>
      <c r="I54" s="207"/>
      <c r="J54" s="207"/>
      <c r="K54" s="168"/>
      <c r="L54" s="206">
        <v>25217</v>
      </c>
      <c r="M54" s="206">
        <v>12478</v>
      </c>
      <c r="N54" s="168">
        <f t="shared" si="16"/>
        <v>37695</v>
      </c>
      <c r="O54" s="167">
        <f t="shared" ref="O54:O60" si="20">+L54/C54%</f>
        <v>73.527525075810601</v>
      </c>
      <c r="P54" s="167">
        <f t="shared" ref="P54:P60" si="21">+M54/D54%</f>
        <v>79.477707006369428</v>
      </c>
      <c r="Q54" s="167">
        <f t="shared" ref="Q54:Q60" si="22">+N54/E54%</f>
        <v>75.396031682534613</v>
      </c>
      <c r="R54" s="172">
        <f t="shared" si="18"/>
        <v>25217</v>
      </c>
      <c r="S54" s="172">
        <f t="shared" si="18"/>
        <v>12478</v>
      </c>
      <c r="T54" s="172">
        <f t="shared" si="18"/>
        <v>37695</v>
      </c>
      <c r="U54" s="173"/>
      <c r="V54" s="173"/>
      <c r="W54" s="173"/>
      <c r="X54" s="173"/>
      <c r="Y54" s="173"/>
      <c r="Z54" s="173"/>
      <c r="AA54" s="174"/>
      <c r="AB54" s="174"/>
      <c r="AC54" s="174"/>
      <c r="AD54" s="175"/>
      <c r="AE54" s="175"/>
      <c r="AF54" s="175"/>
    </row>
    <row r="55" spans="1:32">
      <c r="A55" s="166">
        <v>3</v>
      </c>
      <c r="B55" s="45" t="s">
        <v>251</v>
      </c>
      <c r="C55" s="167">
        <f>36799+8093</f>
        <v>44892</v>
      </c>
      <c r="D55" s="167">
        <f>34987+8950</f>
        <v>43937</v>
      </c>
      <c r="E55" s="168">
        <f t="shared" si="14"/>
        <v>88829</v>
      </c>
      <c r="F55" s="167">
        <f>21364+4522</f>
        <v>25886</v>
      </c>
      <c r="G55" s="167">
        <f>19719+4746</f>
        <v>24465</v>
      </c>
      <c r="H55" s="168">
        <f t="shared" si="15"/>
        <v>50351</v>
      </c>
      <c r="I55" s="167"/>
      <c r="J55" s="167"/>
      <c r="K55" s="168"/>
      <c r="L55" s="167">
        <f>21364+4522</f>
        <v>25886</v>
      </c>
      <c r="M55" s="167">
        <f>19719+4746</f>
        <v>24465</v>
      </c>
      <c r="N55" s="168">
        <f t="shared" si="16"/>
        <v>50351</v>
      </c>
      <c r="O55" s="167">
        <f t="shared" si="20"/>
        <v>57.662835249042146</v>
      </c>
      <c r="P55" s="167">
        <f t="shared" si="21"/>
        <v>55.681999226164734</v>
      </c>
      <c r="Q55" s="167">
        <f t="shared" si="22"/>
        <v>56.683065215188734</v>
      </c>
      <c r="R55" s="172">
        <f t="shared" si="18"/>
        <v>25886</v>
      </c>
      <c r="S55" s="172">
        <f t="shared" si="18"/>
        <v>24465</v>
      </c>
      <c r="T55" s="172">
        <f t="shared" si="18"/>
        <v>50351</v>
      </c>
      <c r="U55" s="172">
        <f>448+5</f>
        <v>453</v>
      </c>
      <c r="V55" s="172">
        <f>454+1</f>
        <v>455</v>
      </c>
      <c r="W55" s="172">
        <f>U55+V55</f>
        <v>908</v>
      </c>
      <c r="X55" s="172">
        <f>3851+139</f>
        <v>3990</v>
      </c>
      <c r="Y55" s="172">
        <f>3787+128</f>
        <v>3915</v>
      </c>
      <c r="Z55" s="172">
        <f>X55+Y55</f>
        <v>7905</v>
      </c>
      <c r="AA55" s="177">
        <f t="shared" ref="AA55:AC56" si="23">U55/R55%</f>
        <v>1.7499806845399057</v>
      </c>
      <c r="AB55" s="177">
        <f t="shared" si="23"/>
        <v>1.8597997138769671</v>
      </c>
      <c r="AC55" s="177">
        <f t="shared" si="23"/>
        <v>1.8033405493436079</v>
      </c>
      <c r="AD55" s="178">
        <f t="shared" ref="AD55:AF56" si="24">X55/R55%</f>
        <v>15.413737155219037</v>
      </c>
      <c r="AE55" s="178">
        <f t="shared" si="24"/>
        <v>16.002452483139177</v>
      </c>
      <c r="AF55" s="178">
        <f t="shared" si="24"/>
        <v>15.699787491807511</v>
      </c>
    </row>
    <row r="56" spans="1:32" ht="28.5">
      <c r="A56" s="166">
        <v>4</v>
      </c>
      <c r="B56" s="45" t="s">
        <v>252</v>
      </c>
      <c r="C56" s="167">
        <f>3819+56574+23205+14959</f>
        <v>98557</v>
      </c>
      <c r="D56" s="167">
        <f>2192+39732+15552+13103</f>
        <v>70579</v>
      </c>
      <c r="E56" s="168">
        <f t="shared" si="14"/>
        <v>169136</v>
      </c>
      <c r="F56" s="167">
        <f>1840+6425+8319+1277</f>
        <v>17861</v>
      </c>
      <c r="G56" s="167">
        <f>1099+5451+6189+1546</f>
        <v>14285</v>
      </c>
      <c r="H56" s="168">
        <f t="shared" si="15"/>
        <v>32146</v>
      </c>
      <c r="I56" s="167"/>
      <c r="J56" s="167"/>
      <c r="K56" s="168"/>
      <c r="L56" s="167">
        <f>1840+6425+8319+1277</f>
        <v>17861</v>
      </c>
      <c r="M56" s="167">
        <f>1099+5451+6189+1546</f>
        <v>14285</v>
      </c>
      <c r="N56" s="168">
        <f t="shared" si="16"/>
        <v>32146</v>
      </c>
      <c r="O56" s="167">
        <f t="shared" si="20"/>
        <v>18.122507787371774</v>
      </c>
      <c r="P56" s="167">
        <f t="shared" si="21"/>
        <v>20.239731364853569</v>
      </c>
      <c r="Q56" s="167">
        <f t="shared" si="22"/>
        <v>19.006007000283795</v>
      </c>
      <c r="R56" s="172">
        <f t="shared" si="18"/>
        <v>17861</v>
      </c>
      <c r="S56" s="172">
        <f t="shared" si="18"/>
        <v>14285</v>
      </c>
      <c r="T56" s="172">
        <f t="shared" si="18"/>
        <v>32146</v>
      </c>
      <c r="U56" s="172">
        <v>0</v>
      </c>
      <c r="V56" s="172">
        <v>2</v>
      </c>
      <c r="W56" s="172">
        <f t="shared" si="19"/>
        <v>2</v>
      </c>
      <c r="X56" s="172">
        <f>4+50+24+78</f>
        <v>156</v>
      </c>
      <c r="Y56" s="172">
        <f>4+12+43+43</f>
        <v>102</v>
      </c>
      <c r="Z56" s="172">
        <f>X56+Y56</f>
        <v>258</v>
      </c>
      <c r="AA56" s="177">
        <f t="shared" si="23"/>
        <v>0</v>
      </c>
      <c r="AB56" s="177">
        <f t="shared" si="23"/>
        <v>1.4000700035001751E-2</v>
      </c>
      <c r="AC56" s="177">
        <f t="shared" si="23"/>
        <v>6.2216138866421954E-3</v>
      </c>
      <c r="AD56" s="178">
        <f t="shared" si="24"/>
        <v>0.87341134314987956</v>
      </c>
      <c r="AE56" s="178">
        <f t="shared" si="24"/>
        <v>0.71403570178508924</v>
      </c>
      <c r="AF56" s="178">
        <f t="shared" si="24"/>
        <v>0.80258819137684323</v>
      </c>
    </row>
    <row r="57" spans="1:32" ht="28.5">
      <c r="A57" s="166">
        <v>5</v>
      </c>
      <c r="B57" s="43" t="s">
        <v>253</v>
      </c>
      <c r="C57" s="167">
        <v>32054</v>
      </c>
      <c r="D57" s="167">
        <v>29520</v>
      </c>
      <c r="E57" s="168">
        <f t="shared" si="14"/>
        <v>61574</v>
      </c>
      <c r="F57" s="167">
        <f>12912+5843</f>
        <v>18755</v>
      </c>
      <c r="G57" s="167">
        <f>15281+6821</f>
        <v>22102</v>
      </c>
      <c r="H57" s="168">
        <f t="shared" si="15"/>
        <v>40857</v>
      </c>
      <c r="I57" s="167"/>
      <c r="J57" s="167"/>
      <c r="K57" s="168"/>
      <c r="L57" s="167">
        <f>12912+5843</f>
        <v>18755</v>
      </c>
      <c r="M57" s="167">
        <f>15281+6821</f>
        <v>22102</v>
      </c>
      <c r="N57" s="168">
        <f t="shared" si="16"/>
        <v>40857</v>
      </c>
      <c r="O57" s="167">
        <f t="shared" si="20"/>
        <v>58.510638297872333</v>
      </c>
      <c r="P57" s="167">
        <f t="shared" si="21"/>
        <v>74.871273712737135</v>
      </c>
      <c r="Q57" s="167">
        <f t="shared" si="22"/>
        <v>66.354305388638068</v>
      </c>
      <c r="R57" s="172">
        <f t="shared" si="18"/>
        <v>18755</v>
      </c>
      <c r="S57" s="172">
        <f t="shared" si="18"/>
        <v>22102</v>
      </c>
      <c r="T57" s="172">
        <f t="shared" si="18"/>
        <v>40857</v>
      </c>
      <c r="U57" s="173"/>
      <c r="V57" s="173"/>
      <c r="W57" s="173"/>
      <c r="X57" s="173"/>
      <c r="Y57" s="173"/>
      <c r="Z57" s="173"/>
      <c r="AA57" s="174"/>
      <c r="AB57" s="174"/>
      <c r="AC57" s="174"/>
      <c r="AD57" s="175"/>
      <c r="AE57" s="175"/>
      <c r="AF57" s="175"/>
    </row>
    <row r="58" spans="1:32" ht="28.5">
      <c r="A58" s="166">
        <v>6</v>
      </c>
      <c r="B58" s="45" t="s">
        <v>254</v>
      </c>
      <c r="C58" s="208">
        <f>29742+8614+15314</f>
        <v>53670</v>
      </c>
      <c r="D58" s="208">
        <f>12242+3412+5345</f>
        <v>20999</v>
      </c>
      <c r="E58" s="168">
        <f t="shared" si="14"/>
        <v>74669</v>
      </c>
      <c r="F58" s="208">
        <f>11862+3210+3316</f>
        <v>18388</v>
      </c>
      <c r="G58" s="208">
        <f>5727+1449+1442</f>
        <v>8618</v>
      </c>
      <c r="H58" s="168">
        <f t="shared" si="15"/>
        <v>27006</v>
      </c>
      <c r="I58" s="208"/>
      <c r="J58" s="208"/>
      <c r="K58" s="168"/>
      <c r="L58" s="208">
        <f>11862+3210+3316</f>
        <v>18388</v>
      </c>
      <c r="M58" s="208">
        <f>5727+1449+1442</f>
        <v>8618</v>
      </c>
      <c r="N58" s="168">
        <f t="shared" si="16"/>
        <v>27006</v>
      </c>
      <c r="O58" s="167">
        <f t="shared" si="20"/>
        <v>34.26122601080678</v>
      </c>
      <c r="P58" s="167">
        <f t="shared" si="21"/>
        <v>41.040049526167913</v>
      </c>
      <c r="Q58" s="167">
        <f t="shared" si="22"/>
        <v>36.167619761882442</v>
      </c>
      <c r="R58" s="172">
        <f t="shared" ref="R58:T59" si="25">F58</f>
        <v>18388</v>
      </c>
      <c r="S58" s="172">
        <f t="shared" si="25"/>
        <v>8618</v>
      </c>
      <c r="T58" s="172">
        <f t="shared" si="25"/>
        <v>27006</v>
      </c>
      <c r="U58" s="193">
        <f>792+2</f>
        <v>794</v>
      </c>
      <c r="V58" s="193">
        <v>382</v>
      </c>
      <c r="W58" s="172">
        <f t="shared" si="19"/>
        <v>1176</v>
      </c>
      <c r="X58" s="193">
        <f>3865+119</f>
        <v>3984</v>
      </c>
      <c r="Y58" s="193">
        <f>1858+55</f>
        <v>1913</v>
      </c>
      <c r="Z58" s="172">
        <f>X58+Y58</f>
        <v>5897</v>
      </c>
      <c r="AA58" s="177">
        <f>U58/R58%</f>
        <v>4.3180335001087666</v>
      </c>
      <c r="AB58" s="177">
        <f>V58/S58%</f>
        <v>4.4325829658853557</v>
      </c>
      <c r="AC58" s="177">
        <f>W58/T58%</f>
        <v>4.3545878693623639</v>
      </c>
      <c r="AD58" s="178">
        <f t="shared" ref="AD58:AF60" si="26">X58/R58%</f>
        <v>21.666304111376984</v>
      </c>
      <c r="AE58" s="178">
        <f t="shared" si="26"/>
        <v>22.197725690415407</v>
      </c>
      <c r="AF58" s="178">
        <f t="shared" si="26"/>
        <v>21.835888321113828</v>
      </c>
    </row>
    <row r="59" spans="1:32" ht="28.5">
      <c r="A59" s="166">
        <v>7</v>
      </c>
      <c r="B59" s="210" t="s">
        <v>308</v>
      </c>
      <c r="C59" s="188">
        <f>6181+982+371+13+5865+894+311+17</f>
        <v>14634</v>
      </c>
      <c r="D59" s="188">
        <f>7168+1133+457+5+7591+1135+507+4</f>
        <v>18000</v>
      </c>
      <c r="E59" s="168">
        <f t="shared" si="14"/>
        <v>32634</v>
      </c>
      <c r="F59" s="188">
        <f>1159+192+42+3+1396+206+52+3</f>
        <v>3053</v>
      </c>
      <c r="G59" s="188">
        <f>1670+235+63+2107+328+111+3</f>
        <v>4517</v>
      </c>
      <c r="H59" s="168">
        <f t="shared" si="15"/>
        <v>7570</v>
      </c>
      <c r="I59" s="188"/>
      <c r="J59" s="188"/>
      <c r="K59" s="170"/>
      <c r="L59" s="188">
        <f>1159+192+42+3+1396+206+52+3</f>
        <v>3053</v>
      </c>
      <c r="M59" s="188">
        <f>1670+235+63+2107+328+111+3</f>
        <v>4517</v>
      </c>
      <c r="N59" s="168">
        <f t="shared" si="16"/>
        <v>7570</v>
      </c>
      <c r="O59" s="167">
        <f t="shared" si="20"/>
        <v>20.862375290419571</v>
      </c>
      <c r="P59" s="167">
        <f t="shared" si="21"/>
        <v>25.094444444444445</v>
      </c>
      <c r="Q59" s="167">
        <f t="shared" si="22"/>
        <v>23.196666053808912</v>
      </c>
      <c r="R59" s="172">
        <f t="shared" si="25"/>
        <v>3053</v>
      </c>
      <c r="S59" s="172">
        <f t="shared" si="25"/>
        <v>4517</v>
      </c>
      <c r="T59" s="172">
        <f t="shared" si="25"/>
        <v>7570</v>
      </c>
      <c r="U59" s="176"/>
      <c r="V59" s="176"/>
      <c r="W59" s="176"/>
      <c r="X59" s="213">
        <f>66+110</f>
        <v>176</v>
      </c>
      <c r="Y59" s="213">
        <f>91+87</f>
        <v>178</v>
      </c>
      <c r="Z59" s="172">
        <f>X59+Y59</f>
        <v>354</v>
      </c>
      <c r="AA59" s="215"/>
      <c r="AB59" s="215"/>
      <c r="AC59" s="215"/>
      <c r="AD59" s="178">
        <f t="shared" si="26"/>
        <v>5.7648214870619059</v>
      </c>
      <c r="AE59" s="178">
        <f t="shared" si="26"/>
        <v>3.9406685853442549</v>
      </c>
      <c r="AF59" s="178">
        <f t="shared" si="26"/>
        <v>4.6763540290620869</v>
      </c>
    </row>
    <row r="60" spans="1:32">
      <c r="A60" s="482" t="s">
        <v>3</v>
      </c>
      <c r="B60" s="482"/>
      <c r="C60" s="217">
        <f>SUM(C9:C59)</f>
        <v>10820446</v>
      </c>
      <c r="D60" s="217">
        <f t="shared" ref="D60:N60" si="27">SUM(D9:D59)</f>
        <v>9189510</v>
      </c>
      <c r="E60" s="217">
        <f t="shared" si="27"/>
        <v>20009956</v>
      </c>
      <c r="F60" s="217">
        <f t="shared" si="27"/>
        <v>8039440</v>
      </c>
      <c r="G60" s="217">
        <f t="shared" si="27"/>
        <v>7060624</v>
      </c>
      <c r="H60" s="217">
        <f t="shared" si="27"/>
        <v>15100064</v>
      </c>
      <c r="I60" s="217">
        <f t="shared" si="27"/>
        <v>227057</v>
      </c>
      <c r="J60" s="217">
        <f t="shared" si="27"/>
        <v>185047</v>
      </c>
      <c r="K60" s="217">
        <f t="shared" si="27"/>
        <v>412104</v>
      </c>
      <c r="L60" s="217">
        <f t="shared" si="27"/>
        <v>8266497</v>
      </c>
      <c r="M60" s="217">
        <f t="shared" si="27"/>
        <v>7245671</v>
      </c>
      <c r="N60" s="217">
        <f t="shared" si="27"/>
        <v>15512168</v>
      </c>
      <c r="O60" s="218">
        <f t="shared" si="20"/>
        <v>76.397008034604113</v>
      </c>
      <c r="P60" s="218">
        <f t="shared" si="21"/>
        <v>78.847196422877815</v>
      </c>
      <c r="Q60" s="218">
        <f t="shared" si="22"/>
        <v>77.52224942423662</v>
      </c>
      <c r="R60" s="217">
        <f t="shared" ref="R60" si="28">SUM(R9:R59)</f>
        <v>8266497</v>
      </c>
      <c r="S60" s="217">
        <f t="shared" ref="S60" si="29">SUM(S9:S59)</f>
        <v>7245671</v>
      </c>
      <c r="T60" s="217">
        <f t="shared" ref="T60" si="30">SUM(T9:T59)</f>
        <v>15512168</v>
      </c>
      <c r="U60" s="217">
        <f t="shared" ref="U60" si="31">SUM(U9:U59)</f>
        <v>1079324</v>
      </c>
      <c r="V60" s="217">
        <f t="shared" ref="V60" si="32">SUM(V9:V59)</f>
        <v>1210235</v>
      </c>
      <c r="W60" s="217">
        <f t="shared" ref="W60" si="33">SUM(W9:W59)</f>
        <v>2289578</v>
      </c>
      <c r="X60" s="217">
        <f t="shared" ref="X60" si="34">SUM(X9:X59)</f>
        <v>2009658</v>
      </c>
      <c r="Y60" s="217">
        <f t="shared" ref="Y60" si="35">SUM(Y9:Y59)</f>
        <v>1769047</v>
      </c>
      <c r="Z60" s="217">
        <f t="shared" ref="Z60" si="36">SUM(Z9:Z59)</f>
        <v>3778760</v>
      </c>
      <c r="AA60" s="219">
        <f>+U60/R60%</f>
        <v>13.056606686000128</v>
      </c>
      <c r="AB60" s="219">
        <f t="shared" ref="AB60:AC60" si="37">+V60/S60%</f>
        <v>16.702869892933311</v>
      </c>
      <c r="AC60" s="219">
        <f t="shared" si="37"/>
        <v>14.759883982690235</v>
      </c>
      <c r="AD60" s="219">
        <f t="shared" si="26"/>
        <v>24.310877993423333</v>
      </c>
      <c r="AE60" s="219">
        <f t="shared" si="26"/>
        <v>24.415226691910242</v>
      </c>
      <c r="AF60" s="219">
        <f t="shared" si="26"/>
        <v>24.359973409261684</v>
      </c>
    </row>
    <row r="61" spans="1:32">
      <c r="A61" s="198"/>
      <c r="B61" s="199"/>
      <c r="C61" s="484" t="s">
        <v>248</v>
      </c>
      <c r="D61" s="484"/>
      <c r="E61" s="484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 t="s">
        <v>248</v>
      </c>
      <c r="S61" s="484"/>
      <c r="T61" s="484"/>
      <c r="U61" s="484"/>
      <c r="V61" s="484"/>
      <c r="W61" s="484"/>
      <c r="X61" s="484"/>
      <c r="Y61" s="484"/>
      <c r="Z61" s="484"/>
      <c r="AA61" s="484"/>
      <c r="AB61" s="484"/>
      <c r="AC61" s="484"/>
      <c r="AD61" s="484"/>
      <c r="AE61" s="484"/>
      <c r="AF61" s="484"/>
    </row>
    <row r="62" spans="1:32">
      <c r="A62" s="202"/>
      <c r="B62" s="203"/>
      <c r="C62" s="484" t="s">
        <v>228</v>
      </c>
      <c r="D62" s="484"/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 t="s">
        <v>228</v>
      </c>
      <c r="S62" s="484"/>
      <c r="T62" s="484"/>
      <c r="U62" s="484"/>
      <c r="V62" s="484"/>
      <c r="W62" s="484"/>
      <c r="X62" s="484"/>
      <c r="Y62" s="484"/>
      <c r="Z62" s="484"/>
      <c r="AA62" s="484"/>
      <c r="AB62" s="484"/>
      <c r="AC62" s="484"/>
      <c r="AD62" s="484"/>
      <c r="AE62" s="484"/>
      <c r="AF62" s="484"/>
    </row>
    <row r="63" spans="1:32">
      <c r="C63" s="367" t="s">
        <v>332</v>
      </c>
      <c r="D63" s="367"/>
      <c r="E63" s="367"/>
      <c r="F63" s="369" t="s">
        <v>333</v>
      </c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 t="s">
        <v>332</v>
      </c>
    </row>
  </sheetData>
  <mergeCells count="44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K52:L52"/>
    <mergeCell ref="R62:AF62"/>
    <mergeCell ref="R61:AF61"/>
    <mergeCell ref="C62:Q62"/>
    <mergeCell ref="C61:Q61"/>
    <mergeCell ref="Y52:Z52"/>
    <mergeCell ref="AA52:AB52"/>
    <mergeCell ref="AC52:AD52"/>
    <mergeCell ref="AE52:AF52"/>
    <mergeCell ref="M52:N52"/>
    <mergeCell ref="O52:P52"/>
    <mergeCell ref="Q52:R52"/>
    <mergeCell ref="S52:T52"/>
    <mergeCell ref="U52:V52"/>
    <mergeCell ref="W52:X52"/>
    <mergeCell ref="A60:B60"/>
    <mergeCell ref="C52:D52"/>
    <mergeCell ref="E52:F52"/>
    <mergeCell ref="G52:H52"/>
    <mergeCell ref="I52:J52"/>
    <mergeCell ref="A52:B52"/>
  </mergeCells>
  <hyperlinks>
    <hyperlink ref="F63" r:id="rId1"/>
  </hyperlinks>
  <pageMargins left="0.70866141732283472" right="0.70866141732283472" top="0.74803149606299213" bottom="0.74803149606299213" header="0.31496062992125984" footer="0.31496062992125984"/>
  <pageSetup paperSize="9" scale="61" firstPageNumber="65" orientation="landscape" useFirstPageNumber="1" horizontalDpi="300" verticalDpi="300" r:id="rId2"/>
  <headerFooter>
    <oddFooter>Page &amp;P</oddFooter>
  </headerFooter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F88"/>
  <sheetViews>
    <sheetView view="pageBreakPreview" zoomScale="60" workbookViewId="0">
      <selection activeCell="B12" sqref="B12"/>
    </sheetView>
  </sheetViews>
  <sheetFormatPr defaultRowHeight="15"/>
  <cols>
    <col min="2" max="2" width="38" customWidth="1"/>
    <col min="3" max="3" width="12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1.42578125" customWidth="1"/>
    <col min="19" max="19" width="10.28515625" bestFit="1" customWidth="1"/>
    <col min="20" max="20" width="11.5703125" bestFit="1" customWidth="1"/>
    <col min="22" max="26" width="10.28515625" bestFit="1" customWidth="1"/>
  </cols>
  <sheetData>
    <row r="1" spans="1:32" ht="18" customHeight="1">
      <c r="A1" s="144"/>
      <c r="B1" s="163"/>
      <c r="C1" s="450" t="s">
        <v>257</v>
      </c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157" t="s">
        <v>257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>
      <c r="A2" s="164"/>
      <c r="B2" s="165"/>
      <c r="C2" s="452" t="s">
        <v>258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146" t="s">
        <v>336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>
      <c r="A3" s="458" t="s">
        <v>192</v>
      </c>
      <c r="B3" s="448" t="s">
        <v>260</v>
      </c>
      <c r="C3" s="448" t="s">
        <v>188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6" t="s">
        <v>189</v>
      </c>
      <c r="P3" s="446"/>
      <c r="Q3" s="446"/>
      <c r="R3" s="489" t="s">
        <v>193</v>
      </c>
      <c r="S3" s="490"/>
      <c r="T3" s="491"/>
      <c r="U3" s="489" t="s">
        <v>194</v>
      </c>
      <c r="V3" s="490"/>
      <c r="W3" s="490"/>
      <c r="X3" s="490"/>
      <c r="Y3" s="490"/>
      <c r="Z3" s="491"/>
      <c r="AA3" s="489" t="s">
        <v>261</v>
      </c>
      <c r="AB3" s="490"/>
      <c r="AC3" s="490"/>
      <c r="AD3" s="490"/>
      <c r="AE3" s="490"/>
      <c r="AF3" s="491"/>
    </row>
    <row r="4" spans="1:32">
      <c r="A4" s="458"/>
      <c r="B4" s="448"/>
      <c r="C4" s="448" t="s">
        <v>5</v>
      </c>
      <c r="D4" s="448"/>
      <c r="E4" s="448"/>
      <c r="F4" s="448" t="s">
        <v>6</v>
      </c>
      <c r="G4" s="448"/>
      <c r="H4" s="448"/>
      <c r="I4" s="448"/>
      <c r="J4" s="448"/>
      <c r="K4" s="448"/>
      <c r="L4" s="448"/>
      <c r="M4" s="448"/>
      <c r="N4" s="448"/>
      <c r="O4" s="446"/>
      <c r="P4" s="446"/>
      <c r="Q4" s="446"/>
      <c r="R4" s="492"/>
      <c r="S4" s="493"/>
      <c r="T4" s="494"/>
      <c r="U4" s="495"/>
      <c r="V4" s="496"/>
      <c r="W4" s="496"/>
      <c r="X4" s="496"/>
      <c r="Y4" s="496"/>
      <c r="Z4" s="497"/>
      <c r="AA4" s="495"/>
      <c r="AB4" s="496"/>
      <c r="AC4" s="496"/>
      <c r="AD4" s="496"/>
      <c r="AE4" s="496"/>
      <c r="AF4" s="497"/>
    </row>
    <row r="5" spans="1:32" ht="15" customHeight="1">
      <c r="A5" s="458"/>
      <c r="B5" s="448"/>
      <c r="C5" s="448"/>
      <c r="D5" s="448"/>
      <c r="E5" s="448"/>
      <c r="F5" s="448" t="s">
        <v>51</v>
      </c>
      <c r="G5" s="448"/>
      <c r="H5" s="448"/>
      <c r="I5" s="448" t="s">
        <v>190</v>
      </c>
      <c r="J5" s="448"/>
      <c r="K5" s="448"/>
      <c r="L5" s="448" t="s">
        <v>262</v>
      </c>
      <c r="M5" s="448"/>
      <c r="N5" s="448"/>
      <c r="O5" s="446"/>
      <c r="P5" s="446"/>
      <c r="Q5" s="446"/>
      <c r="R5" s="495"/>
      <c r="S5" s="496"/>
      <c r="T5" s="497"/>
      <c r="U5" s="498" t="s">
        <v>229</v>
      </c>
      <c r="V5" s="499"/>
      <c r="W5" s="500"/>
      <c r="X5" s="498" t="s">
        <v>230</v>
      </c>
      <c r="Y5" s="499"/>
      <c r="Z5" s="500"/>
      <c r="AA5" s="498" t="s">
        <v>229</v>
      </c>
      <c r="AB5" s="499"/>
      <c r="AC5" s="500"/>
      <c r="AD5" s="498" t="s">
        <v>230</v>
      </c>
      <c r="AE5" s="499"/>
      <c r="AF5" s="500"/>
    </row>
    <row r="6" spans="1:32">
      <c r="A6" s="458"/>
      <c r="B6" s="448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>
      <c r="A8" s="457" t="s">
        <v>216</v>
      </c>
      <c r="B8" s="457"/>
      <c r="C8" s="488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5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7"/>
    </row>
    <row r="9" spans="1:32" ht="28.5">
      <c r="A9" s="220">
        <v>1</v>
      </c>
      <c r="B9" s="221" t="s">
        <v>143</v>
      </c>
      <c r="C9" s="170">
        <v>815106</v>
      </c>
      <c r="D9" s="170">
        <v>554364</v>
      </c>
      <c r="E9" s="170">
        <v>1369470</v>
      </c>
      <c r="F9" s="170">
        <v>788283</v>
      </c>
      <c r="G9" s="170">
        <v>540652</v>
      </c>
      <c r="H9" s="170">
        <v>1328935</v>
      </c>
      <c r="I9" s="170">
        <v>14078</v>
      </c>
      <c r="J9" s="170">
        <v>6629</v>
      </c>
      <c r="K9" s="170">
        <v>20707</v>
      </c>
      <c r="L9" s="169">
        <v>802361</v>
      </c>
      <c r="M9" s="169">
        <v>547281</v>
      </c>
      <c r="N9" s="169">
        <v>1349642</v>
      </c>
      <c r="O9" s="222">
        <v>98.436399682986021</v>
      </c>
      <c r="P9" s="222">
        <v>98.722319631144885</v>
      </c>
      <c r="Q9" s="222">
        <v>98.552140609140764</v>
      </c>
      <c r="R9" s="172">
        <f>L9</f>
        <v>802361</v>
      </c>
      <c r="S9" s="172">
        <f t="shared" ref="S9:T9" si="0">M9</f>
        <v>547281</v>
      </c>
      <c r="T9" s="172">
        <f t="shared" si="0"/>
        <v>1349642</v>
      </c>
      <c r="U9" s="223"/>
      <c r="V9" s="223"/>
      <c r="W9" s="223"/>
      <c r="X9" s="223"/>
      <c r="Y9" s="223"/>
      <c r="Z9" s="223"/>
      <c r="AA9" s="224"/>
      <c r="AB9" s="224"/>
      <c r="AC9" s="224"/>
      <c r="AD9" s="224"/>
      <c r="AE9" s="224"/>
      <c r="AF9" s="224"/>
    </row>
    <row r="10" spans="1:32" ht="28.5">
      <c r="A10" s="220">
        <v>2</v>
      </c>
      <c r="B10" s="221" t="s">
        <v>231</v>
      </c>
      <c r="C10" s="170">
        <v>88205</v>
      </c>
      <c r="D10" s="170">
        <v>70632</v>
      </c>
      <c r="E10" s="170">
        <v>158837</v>
      </c>
      <c r="F10" s="170">
        <v>86551</v>
      </c>
      <c r="G10" s="170">
        <v>69893</v>
      </c>
      <c r="H10" s="170">
        <v>156444</v>
      </c>
      <c r="I10" s="212"/>
      <c r="J10" s="212"/>
      <c r="K10" s="212"/>
      <c r="L10" s="169">
        <v>86551</v>
      </c>
      <c r="M10" s="169">
        <v>69893</v>
      </c>
      <c r="N10" s="169">
        <v>156444</v>
      </c>
      <c r="O10" s="222">
        <v>98.124822855847171</v>
      </c>
      <c r="P10" s="222">
        <v>98.953732019481251</v>
      </c>
      <c r="Q10" s="222">
        <v>98.493424076254271</v>
      </c>
      <c r="R10" s="172">
        <f t="shared" ref="R10:T10" si="1">L10</f>
        <v>86551</v>
      </c>
      <c r="S10" s="172">
        <f t="shared" si="1"/>
        <v>69893</v>
      </c>
      <c r="T10" s="172">
        <f t="shared" si="1"/>
        <v>156444</v>
      </c>
      <c r="U10" s="172">
        <v>49566</v>
      </c>
      <c r="V10" s="172">
        <v>45068</v>
      </c>
      <c r="W10" s="172">
        <f>U10+V10</f>
        <v>94634</v>
      </c>
      <c r="X10" s="172">
        <v>26820</v>
      </c>
      <c r="Y10" s="172">
        <v>19729</v>
      </c>
      <c r="Z10" s="172">
        <f>X10+Y10</f>
        <v>46549</v>
      </c>
      <c r="AA10" s="177">
        <f t="shared" ref="AA10:AC10" si="2">U10/R10%</f>
        <v>57.267969174244087</v>
      </c>
      <c r="AB10" s="177">
        <f t="shared" si="2"/>
        <v>64.481421601591009</v>
      </c>
      <c r="AC10" s="177">
        <f t="shared" si="2"/>
        <v>60.490654802996595</v>
      </c>
      <c r="AD10" s="177">
        <f t="shared" ref="AD10:AF10" si="3">X10/R10%</f>
        <v>30.987510254069853</v>
      </c>
      <c r="AE10" s="177">
        <f t="shared" si="3"/>
        <v>28.227433362425423</v>
      </c>
      <c r="AF10" s="177">
        <f t="shared" si="3"/>
        <v>29.754416915957147</v>
      </c>
    </row>
    <row r="11" spans="1:32">
      <c r="A11" s="501" t="s">
        <v>217</v>
      </c>
      <c r="B11" s="502"/>
      <c r="C11" s="503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5"/>
      <c r="R11" s="160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</row>
    <row r="12" spans="1:32" ht="28.5">
      <c r="A12" s="220">
        <v>3</v>
      </c>
      <c r="B12" s="221" t="s">
        <v>263</v>
      </c>
      <c r="C12" s="170">
        <v>336801</v>
      </c>
      <c r="D12" s="170">
        <v>308160</v>
      </c>
      <c r="E12" s="170">
        <v>644961</v>
      </c>
      <c r="F12" s="170">
        <v>297806</v>
      </c>
      <c r="G12" s="170">
        <v>279213</v>
      </c>
      <c r="H12" s="170">
        <v>577019</v>
      </c>
      <c r="I12" s="212"/>
      <c r="J12" s="212"/>
      <c r="K12" s="212"/>
      <c r="L12" s="169">
        <v>297806</v>
      </c>
      <c r="M12" s="169">
        <v>279213</v>
      </c>
      <c r="N12" s="170">
        <v>577019</v>
      </c>
      <c r="O12" s="222">
        <v>88.421946490657689</v>
      </c>
      <c r="P12" s="222">
        <v>90.6065031152648</v>
      </c>
      <c r="Q12" s="222">
        <v>89.465719632659955</v>
      </c>
      <c r="R12" s="172">
        <v>297806</v>
      </c>
      <c r="S12" s="172">
        <v>279213</v>
      </c>
      <c r="T12" s="172">
        <v>577019</v>
      </c>
      <c r="U12" s="168">
        <v>1168</v>
      </c>
      <c r="V12" s="168">
        <v>1135</v>
      </c>
      <c r="W12" s="172">
        <v>2303</v>
      </c>
      <c r="X12" s="172">
        <v>10575</v>
      </c>
      <c r="Y12" s="172">
        <v>5104</v>
      </c>
      <c r="Z12" s="172">
        <v>15679</v>
      </c>
      <c r="AA12" s="177">
        <v>0.39220163462119634</v>
      </c>
      <c r="AB12" s="177">
        <v>0.40649969736366143</v>
      </c>
      <c r="AC12" s="177">
        <v>0.39912030626374523</v>
      </c>
      <c r="AD12" s="177">
        <v>3.5509694230472189</v>
      </c>
      <c r="AE12" s="177">
        <v>1.8279951148406413</v>
      </c>
      <c r="AF12" s="177">
        <v>2.7172415466388458</v>
      </c>
    </row>
    <row r="13" spans="1:32" ht="28.5">
      <c r="A13" s="220">
        <v>4</v>
      </c>
      <c r="B13" s="221" t="s">
        <v>213</v>
      </c>
      <c r="C13" s="170">
        <v>291663</v>
      </c>
      <c r="D13" s="170">
        <v>271129</v>
      </c>
      <c r="E13" s="170">
        <v>562792</v>
      </c>
      <c r="F13" s="170">
        <v>209437</v>
      </c>
      <c r="G13" s="170">
        <v>208728</v>
      </c>
      <c r="H13" s="170">
        <v>418165</v>
      </c>
      <c r="I13" s="212"/>
      <c r="J13" s="212"/>
      <c r="K13" s="212"/>
      <c r="L13" s="169">
        <v>209437</v>
      </c>
      <c r="M13" s="169">
        <v>208728</v>
      </c>
      <c r="N13" s="170">
        <v>418165</v>
      </c>
      <c r="O13" s="222">
        <v>71.807874156132243</v>
      </c>
      <c r="P13" s="222">
        <v>76.984756333700929</v>
      </c>
      <c r="Q13" s="222">
        <v>74.301873516325742</v>
      </c>
      <c r="R13" s="172">
        <v>209437</v>
      </c>
      <c r="S13" s="172">
        <v>208728</v>
      </c>
      <c r="T13" s="172">
        <v>418165</v>
      </c>
      <c r="U13" s="223"/>
      <c r="V13" s="223"/>
      <c r="W13" s="223"/>
      <c r="X13" s="223"/>
      <c r="Y13" s="223"/>
      <c r="Z13" s="223"/>
      <c r="AA13" s="224"/>
      <c r="AB13" s="224"/>
      <c r="AC13" s="224"/>
      <c r="AD13" s="224"/>
      <c r="AE13" s="224"/>
      <c r="AF13" s="224"/>
    </row>
    <row r="14" spans="1:32" ht="27.75" customHeight="1">
      <c r="A14" s="220">
        <v>5</v>
      </c>
      <c r="B14" s="221" t="s">
        <v>264</v>
      </c>
      <c r="C14" s="227">
        <v>191440</v>
      </c>
      <c r="D14" s="227">
        <v>205571</v>
      </c>
      <c r="E14" s="227">
        <v>397011</v>
      </c>
      <c r="F14" s="227">
        <v>127677</v>
      </c>
      <c r="G14" s="227">
        <v>120005</v>
      </c>
      <c r="H14" s="227">
        <v>247682</v>
      </c>
      <c r="I14" s="212"/>
      <c r="J14" s="212"/>
      <c r="K14" s="212"/>
      <c r="L14" s="31">
        <v>127677</v>
      </c>
      <c r="M14" s="31">
        <v>120005</v>
      </c>
      <c r="N14" s="227">
        <v>247682</v>
      </c>
      <c r="O14" s="222">
        <v>66.692958629335564</v>
      </c>
      <c r="P14" s="222">
        <v>58.376424690253003</v>
      </c>
      <c r="Q14" s="222">
        <v>62.386684499925693</v>
      </c>
      <c r="R14" s="32">
        <v>127677</v>
      </c>
      <c r="S14" s="32">
        <v>120005</v>
      </c>
      <c r="T14" s="32">
        <v>247682</v>
      </c>
      <c r="U14" s="32">
        <v>8558</v>
      </c>
      <c r="V14" s="32">
        <v>7912</v>
      </c>
      <c r="W14" s="32">
        <v>16470</v>
      </c>
      <c r="X14" s="32">
        <v>28294</v>
      </c>
      <c r="Y14" s="32">
        <v>23501</v>
      </c>
      <c r="Z14" s="32">
        <v>51795</v>
      </c>
      <c r="AA14" s="181">
        <v>6.7028517274058759</v>
      </c>
      <c r="AB14" s="181">
        <v>6.5930586225573933</v>
      </c>
      <c r="AC14" s="181">
        <v>6.6496556067861201</v>
      </c>
      <c r="AD14" s="181">
        <v>22.160608410285331</v>
      </c>
      <c r="AE14" s="181">
        <v>19.583350693721094</v>
      </c>
      <c r="AF14" s="181">
        <v>20.911895091286407</v>
      </c>
    </row>
    <row r="15" spans="1:32">
      <c r="A15" s="220">
        <v>6</v>
      </c>
      <c r="B15" s="221" t="s">
        <v>265</v>
      </c>
      <c r="C15" s="170">
        <v>8200</v>
      </c>
      <c r="D15" s="170">
        <v>4200</v>
      </c>
      <c r="E15" s="170">
        <v>12400</v>
      </c>
      <c r="F15" s="170">
        <v>6000</v>
      </c>
      <c r="G15" s="170">
        <v>3400</v>
      </c>
      <c r="H15" s="170">
        <v>9400</v>
      </c>
      <c r="I15" s="212"/>
      <c r="J15" s="212"/>
      <c r="K15" s="212"/>
      <c r="L15" s="169">
        <v>6000</v>
      </c>
      <c r="M15" s="169">
        <v>3400</v>
      </c>
      <c r="N15" s="170">
        <v>9400</v>
      </c>
      <c r="O15" s="222">
        <v>73.170731707317074</v>
      </c>
      <c r="P15" s="222">
        <v>80.952380952380949</v>
      </c>
      <c r="Q15" s="222">
        <v>75.806451612903231</v>
      </c>
      <c r="R15" s="172">
        <v>6000</v>
      </c>
      <c r="S15" s="172">
        <v>3400</v>
      </c>
      <c r="T15" s="172">
        <v>9400</v>
      </c>
      <c r="U15" s="223"/>
      <c r="V15" s="223"/>
      <c r="W15" s="223"/>
      <c r="X15" s="223"/>
      <c r="Y15" s="223"/>
      <c r="Z15" s="223"/>
      <c r="AA15" s="224"/>
      <c r="AB15" s="224"/>
      <c r="AC15" s="224"/>
      <c r="AD15" s="224"/>
      <c r="AE15" s="224"/>
      <c r="AF15" s="224"/>
    </row>
    <row r="16" spans="1:32">
      <c r="A16" s="220">
        <v>7</v>
      </c>
      <c r="B16" s="221" t="s">
        <v>266</v>
      </c>
      <c r="C16" s="170">
        <v>23</v>
      </c>
      <c r="D16" s="170">
        <v>212</v>
      </c>
      <c r="E16" s="170">
        <v>235</v>
      </c>
      <c r="F16" s="170">
        <v>22</v>
      </c>
      <c r="G16" s="170">
        <v>206</v>
      </c>
      <c r="H16" s="170">
        <v>228</v>
      </c>
      <c r="I16" s="170">
        <v>1</v>
      </c>
      <c r="J16" s="170">
        <v>6</v>
      </c>
      <c r="K16" s="170">
        <v>7</v>
      </c>
      <c r="L16" s="169">
        <v>23</v>
      </c>
      <c r="M16" s="169">
        <v>212</v>
      </c>
      <c r="N16" s="170">
        <v>235</v>
      </c>
      <c r="O16" s="222">
        <v>100</v>
      </c>
      <c r="P16" s="222">
        <v>100</v>
      </c>
      <c r="Q16" s="222">
        <v>100</v>
      </c>
      <c r="R16" s="172">
        <v>23</v>
      </c>
      <c r="S16" s="172">
        <v>212</v>
      </c>
      <c r="T16" s="172">
        <v>235</v>
      </c>
      <c r="U16" s="180">
        <v>5</v>
      </c>
      <c r="V16" s="180">
        <v>70</v>
      </c>
      <c r="W16" s="172">
        <v>75</v>
      </c>
      <c r="X16" s="172">
        <v>10</v>
      </c>
      <c r="Y16" s="172">
        <v>96</v>
      </c>
      <c r="Z16" s="172">
        <v>106</v>
      </c>
      <c r="AA16" s="177">
        <v>21.739130434782609</v>
      </c>
      <c r="AB16" s="177">
        <v>33.018867924528301</v>
      </c>
      <c r="AC16" s="177">
        <v>31.914893617021274</v>
      </c>
      <c r="AD16" s="177">
        <v>43.478260869565219</v>
      </c>
      <c r="AE16" s="177">
        <v>45.283018867924525</v>
      </c>
      <c r="AF16" s="177">
        <v>45.106382978723403</v>
      </c>
    </row>
    <row r="17" spans="1:32">
      <c r="A17" s="220">
        <v>8</v>
      </c>
      <c r="B17" s="221" t="s">
        <v>138</v>
      </c>
      <c r="C17" s="170">
        <v>691074</v>
      </c>
      <c r="D17" s="170">
        <v>592982</v>
      </c>
      <c r="E17" s="170">
        <v>1284056</v>
      </c>
      <c r="F17" s="170">
        <v>544118</v>
      </c>
      <c r="G17" s="170">
        <v>435608</v>
      </c>
      <c r="H17" s="170">
        <v>979726</v>
      </c>
      <c r="I17" s="170">
        <v>20716</v>
      </c>
      <c r="J17" s="170">
        <v>30775</v>
      </c>
      <c r="K17" s="170">
        <v>51491</v>
      </c>
      <c r="L17" s="169">
        <v>564834</v>
      </c>
      <c r="M17" s="169">
        <v>466383</v>
      </c>
      <c r="N17" s="170">
        <v>1031217</v>
      </c>
      <c r="O17" s="222">
        <v>81.732781149341463</v>
      </c>
      <c r="P17" s="222">
        <v>78.650448074309168</v>
      </c>
      <c r="Q17" s="222">
        <v>80.30934787890871</v>
      </c>
      <c r="R17" s="172">
        <v>564834</v>
      </c>
      <c r="S17" s="172">
        <v>466383</v>
      </c>
      <c r="T17" s="172">
        <v>1031217</v>
      </c>
      <c r="U17" s="180">
        <v>11947</v>
      </c>
      <c r="V17" s="180">
        <v>6070</v>
      </c>
      <c r="W17" s="172">
        <v>18017</v>
      </c>
      <c r="X17" s="172">
        <v>174254</v>
      </c>
      <c r="Y17" s="172">
        <v>113983</v>
      </c>
      <c r="Z17" s="172">
        <v>288237</v>
      </c>
      <c r="AA17" s="177">
        <v>2.1151347121455153</v>
      </c>
      <c r="AB17" s="177">
        <v>1.3015054150773078</v>
      </c>
      <c r="AC17" s="177">
        <v>1.7471589393890907</v>
      </c>
      <c r="AD17" s="177">
        <v>30.850479964024828</v>
      </c>
      <c r="AE17" s="177">
        <v>24.439784468987934</v>
      </c>
      <c r="AF17" s="177">
        <v>27.951148982221977</v>
      </c>
    </row>
    <row r="18" spans="1:32">
      <c r="A18" s="220">
        <v>9</v>
      </c>
      <c r="B18" s="221" t="s">
        <v>267</v>
      </c>
      <c r="C18" s="170">
        <v>32267</v>
      </c>
      <c r="D18" s="170">
        <v>53525</v>
      </c>
      <c r="E18" s="170">
        <v>85792</v>
      </c>
      <c r="F18" s="170">
        <v>24273</v>
      </c>
      <c r="G18" s="170">
        <v>47923</v>
      </c>
      <c r="H18" s="170">
        <v>72196</v>
      </c>
      <c r="I18" s="212"/>
      <c r="J18" s="212"/>
      <c r="K18" s="212"/>
      <c r="L18" s="169">
        <v>24273</v>
      </c>
      <c r="M18" s="169">
        <v>47923</v>
      </c>
      <c r="N18" s="170">
        <v>72196</v>
      </c>
      <c r="O18" s="222">
        <v>75.22546254687451</v>
      </c>
      <c r="P18" s="222">
        <v>89.533862680990197</v>
      </c>
      <c r="Q18" s="222">
        <v>84.152368519209247</v>
      </c>
      <c r="R18" s="172">
        <v>24273</v>
      </c>
      <c r="S18" s="172">
        <v>47923</v>
      </c>
      <c r="T18" s="172">
        <v>72196</v>
      </c>
      <c r="U18" s="180">
        <v>1665</v>
      </c>
      <c r="V18" s="180">
        <v>2613</v>
      </c>
      <c r="W18" s="172">
        <v>4278</v>
      </c>
      <c r="X18" s="172">
        <v>14985</v>
      </c>
      <c r="Y18" s="172">
        <v>23525</v>
      </c>
      <c r="Z18" s="172">
        <v>38510</v>
      </c>
      <c r="AA18" s="177">
        <v>6.8594734890619211</v>
      </c>
      <c r="AB18" s="177">
        <v>5.4524967134778706</v>
      </c>
      <c r="AC18" s="177">
        <v>5.9255360407778825</v>
      </c>
      <c r="AD18" s="177">
        <v>61.735261401557288</v>
      </c>
      <c r="AE18" s="177">
        <v>49.089163867036703</v>
      </c>
      <c r="AF18" s="177">
        <v>53.340905313313755</v>
      </c>
    </row>
    <row r="19" spans="1:32" ht="28.5">
      <c r="A19" s="220">
        <v>10</v>
      </c>
      <c r="B19" s="221" t="s">
        <v>145</v>
      </c>
      <c r="C19" s="170">
        <v>204857</v>
      </c>
      <c r="D19" s="170">
        <v>221798</v>
      </c>
      <c r="E19" s="170">
        <v>426655</v>
      </c>
      <c r="F19" s="170">
        <v>109569</v>
      </c>
      <c r="G19" s="170">
        <v>120890</v>
      </c>
      <c r="H19" s="170">
        <v>230459</v>
      </c>
      <c r="I19" s="170">
        <v>4297</v>
      </c>
      <c r="J19" s="170">
        <v>5269</v>
      </c>
      <c r="K19" s="170">
        <v>9566</v>
      </c>
      <c r="L19" s="170">
        <v>113866</v>
      </c>
      <c r="M19" s="170">
        <v>126159</v>
      </c>
      <c r="N19" s="170">
        <v>240025</v>
      </c>
      <c r="O19" s="222">
        <v>55.583162889234927</v>
      </c>
      <c r="P19" s="222">
        <v>56.880134176142263</v>
      </c>
      <c r="Q19" s="222">
        <v>56.257397663217354</v>
      </c>
      <c r="R19" s="172">
        <v>113866</v>
      </c>
      <c r="S19" s="172">
        <v>126159</v>
      </c>
      <c r="T19" s="172">
        <v>240025</v>
      </c>
      <c r="U19" s="180">
        <v>6698</v>
      </c>
      <c r="V19" s="180">
        <v>6499</v>
      </c>
      <c r="W19" s="172">
        <v>13197</v>
      </c>
      <c r="X19" s="172">
        <v>14826</v>
      </c>
      <c r="Y19" s="172">
        <v>16087</v>
      </c>
      <c r="Z19" s="172">
        <v>30913</v>
      </c>
      <c r="AA19" s="177">
        <v>5.8823529411764701</v>
      </c>
      <c r="AB19" s="177">
        <v>5.1514358864607361</v>
      </c>
      <c r="AC19" s="177">
        <v>5.4981772732007084</v>
      </c>
      <c r="AD19" s="177">
        <v>13.020568036112623</v>
      </c>
      <c r="AE19" s="177">
        <v>12.751369303815029</v>
      </c>
      <c r="AF19" s="177">
        <v>12.879075096344131</v>
      </c>
    </row>
    <row r="20" spans="1:32">
      <c r="A20" s="220">
        <v>11</v>
      </c>
      <c r="B20" s="221" t="s">
        <v>268</v>
      </c>
      <c r="C20" s="170">
        <v>53</v>
      </c>
      <c r="D20" s="170">
        <v>23</v>
      </c>
      <c r="E20" s="170">
        <v>76</v>
      </c>
      <c r="F20" s="170">
        <v>12</v>
      </c>
      <c r="G20" s="170">
        <v>9</v>
      </c>
      <c r="H20" s="170">
        <v>21</v>
      </c>
      <c r="I20" s="212"/>
      <c r="J20" s="212"/>
      <c r="K20" s="212"/>
      <c r="L20" s="170">
        <v>12</v>
      </c>
      <c r="M20" s="170">
        <v>9</v>
      </c>
      <c r="N20" s="170">
        <v>21</v>
      </c>
      <c r="O20" s="222">
        <v>22.641509433962266</v>
      </c>
      <c r="P20" s="222">
        <v>39.130434782608695</v>
      </c>
      <c r="Q20" s="222">
        <v>27.631578947368425</v>
      </c>
      <c r="R20" s="172">
        <v>12</v>
      </c>
      <c r="S20" s="172">
        <v>9</v>
      </c>
      <c r="T20" s="172">
        <v>21</v>
      </c>
      <c r="U20" s="223"/>
      <c r="V20" s="223"/>
      <c r="W20" s="223"/>
      <c r="X20" s="172">
        <v>0</v>
      </c>
      <c r="Y20" s="172">
        <v>1</v>
      </c>
      <c r="Z20" s="172">
        <v>1</v>
      </c>
      <c r="AA20" s="224"/>
      <c r="AB20" s="224"/>
      <c r="AC20" s="224"/>
      <c r="AD20" s="177">
        <v>0</v>
      </c>
      <c r="AE20" s="177">
        <v>11.111111111111111</v>
      </c>
      <c r="AF20" s="177">
        <v>4.7619047619047619</v>
      </c>
    </row>
    <row r="21" spans="1:32">
      <c r="A21" s="220">
        <v>12</v>
      </c>
      <c r="B21" s="221" t="s">
        <v>144</v>
      </c>
      <c r="C21" s="170">
        <v>316</v>
      </c>
      <c r="D21" s="170">
        <v>256</v>
      </c>
      <c r="E21" s="170">
        <v>572</v>
      </c>
      <c r="F21" s="170">
        <v>311</v>
      </c>
      <c r="G21" s="170">
        <v>252</v>
      </c>
      <c r="H21" s="170">
        <v>563</v>
      </c>
      <c r="I21" s="212"/>
      <c r="J21" s="212"/>
      <c r="K21" s="212"/>
      <c r="L21" s="169">
        <v>311</v>
      </c>
      <c r="M21" s="169">
        <v>252</v>
      </c>
      <c r="N21" s="170">
        <v>563</v>
      </c>
      <c r="O21" s="222">
        <v>98.417721518987349</v>
      </c>
      <c r="P21" s="222">
        <v>98.4375</v>
      </c>
      <c r="Q21" s="222">
        <v>98.426573426573427</v>
      </c>
      <c r="R21" s="172">
        <v>311</v>
      </c>
      <c r="S21" s="172">
        <v>252</v>
      </c>
      <c r="T21" s="172">
        <v>563</v>
      </c>
      <c r="U21" s="223"/>
      <c r="V21" s="223"/>
      <c r="W21" s="223"/>
      <c r="X21" s="223"/>
      <c r="Y21" s="223"/>
      <c r="Z21" s="223"/>
      <c r="AA21" s="224"/>
      <c r="AB21" s="224"/>
      <c r="AC21" s="224"/>
      <c r="AD21" s="224"/>
      <c r="AE21" s="224"/>
      <c r="AF21" s="224"/>
    </row>
    <row r="22" spans="1:32" ht="28.5">
      <c r="A22" s="220">
        <v>13</v>
      </c>
      <c r="B22" s="221" t="s">
        <v>148</v>
      </c>
      <c r="C22" s="230">
        <v>10742</v>
      </c>
      <c r="D22" s="230">
        <v>10444</v>
      </c>
      <c r="E22" s="230">
        <v>21186</v>
      </c>
      <c r="F22" s="230">
        <v>8599</v>
      </c>
      <c r="G22" s="230">
        <v>8603</v>
      </c>
      <c r="H22" s="230">
        <v>17202</v>
      </c>
      <c r="I22" s="230">
        <v>604</v>
      </c>
      <c r="J22" s="230">
        <v>621</v>
      </c>
      <c r="K22" s="230">
        <v>1225</v>
      </c>
      <c r="L22" s="229">
        <v>9203</v>
      </c>
      <c r="M22" s="229">
        <v>9224</v>
      </c>
      <c r="N22" s="230">
        <v>18427</v>
      </c>
      <c r="O22" s="231">
        <v>85.673059020666543</v>
      </c>
      <c r="P22" s="231">
        <v>88.31865185752585</v>
      </c>
      <c r="Q22" s="231">
        <v>86.977249126781842</v>
      </c>
      <c r="R22" s="232">
        <v>9203</v>
      </c>
      <c r="S22" s="232">
        <v>9224</v>
      </c>
      <c r="T22" s="232">
        <v>18427</v>
      </c>
      <c r="U22" s="233">
        <v>1491</v>
      </c>
      <c r="V22" s="233">
        <v>2189</v>
      </c>
      <c r="W22" s="232">
        <v>3680</v>
      </c>
      <c r="X22" s="232">
        <v>2782</v>
      </c>
      <c r="Y22" s="232">
        <v>3438</v>
      </c>
      <c r="Z22" s="232">
        <v>6220</v>
      </c>
      <c r="AA22" s="177">
        <v>16.201238726502229</v>
      </c>
      <c r="AB22" s="177">
        <v>23.731569817866436</v>
      </c>
      <c r="AC22" s="177">
        <v>19.970695175557605</v>
      </c>
      <c r="AD22" s="226">
        <v>30.229273063131586</v>
      </c>
      <c r="AE22" s="226">
        <v>37.27233304423244</v>
      </c>
      <c r="AF22" s="226">
        <v>33.754816302165302</v>
      </c>
    </row>
    <row r="23" spans="1:32" ht="28.5">
      <c r="A23" s="220">
        <v>14</v>
      </c>
      <c r="B23" s="221" t="s">
        <v>149</v>
      </c>
      <c r="C23" s="170">
        <v>508027</v>
      </c>
      <c r="D23" s="170">
        <v>345322</v>
      </c>
      <c r="E23" s="170">
        <v>853349</v>
      </c>
      <c r="F23" s="170">
        <v>283935</v>
      </c>
      <c r="G23" s="170">
        <v>222092</v>
      </c>
      <c r="H23" s="170">
        <v>506027</v>
      </c>
      <c r="I23" s="170">
        <v>1728</v>
      </c>
      <c r="J23" s="170">
        <v>1380</v>
      </c>
      <c r="K23" s="170">
        <v>3108</v>
      </c>
      <c r="L23" s="169">
        <v>285663</v>
      </c>
      <c r="M23" s="169">
        <v>223472</v>
      </c>
      <c r="N23" s="170">
        <v>509135</v>
      </c>
      <c r="O23" s="222">
        <v>56.229885419475735</v>
      </c>
      <c r="P23" s="222">
        <v>64.714092933551868</v>
      </c>
      <c r="Q23" s="222">
        <v>59.66316243412718</v>
      </c>
      <c r="R23" s="172">
        <v>285663</v>
      </c>
      <c r="S23" s="172">
        <v>223472</v>
      </c>
      <c r="T23" s="172">
        <v>509135</v>
      </c>
      <c r="U23" s="180">
        <v>25633</v>
      </c>
      <c r="V23" s="180">
        <v>21076</v>
      </c>
      <c r="W23" s="172">
        <v>46709</v>
      </c>
      <c r="X23" s="172">
        <v>78003</v>
      </c>
      <c r="Y23" s="172">
        <v>66880</v>
      </c>
      <c r="Z23" s="172">
        <v>144883</v>
      </c>
      <c r="AA23" s="177">
        <v>8.9731606823424794</v>
      </c>
      <c r="AB23" s="177">
        <v>9.4311591608792167</v>
      </c>
      <c r="AC23" s="177">
        <v>9.1741875926817045</v>
      </c>
      <c r="AD23" s="177">
        <v>27.30595141827958</v>
      </c>
      <c r="AE23" s="177">
        <v>29.927686690055133</v>
      </c>
      <c r="AF23" s="177">
        <v>28.456696161136044</v>
      </c>
    </row>
    <row r="24" spans="1:32">
      <c r="A24" s="220">
        <v>15</v>
      </c>
      <c r="B24" s="221" t="s">
        <v>140</v>
      </c>
      <c r="C24" s="170">
        <v>217556</v>
      </c>
      <c r="D24" s="170">
        <v>172038</v>
      </c>
      <c r="E24" s="170">
        <v>389594</v>
      </c>
      <c r="F24" s="170">
        <v>85536</v>
      </c>
      <c r="G24" s="170">
        <v>77772</v>
      </c>
      <c r="H24" s="170">
        <v>163308</v>
      </c>
      <c r="I24" s="170">
        <v>21630</v>
      </c>
      <c r="J24" s="170">
        <v>15486</v>
      </c>
      <c r="K24" s="170">
        <v>37116</v>
      </c>
      <c r="L24" s="169">
        <v>107166</v>
      </c>
      <c r="M24" s="169">
        <v>93258</v>
      </c>
      <c r="N24" s="170">
        <v>200424</v>
      </c>
      <c r="O24" s="222">
        <v>49.25904135027303</v>
      </c>
      <c r="P24" s="222">
        <v>54.207791301921674</v>
      </c>
      <c r="Q24" s="222">
        <v>51.44432409123344</v>
      </c>
      <c r="R24" s="172">
        <v>107166</v>
      </c>
      <c r="S24" s="172">
        <v>93258</v>
      </c>
      <c r="T24" s="172">
        <v>200424</v>
      </c>
      <c r="U24" s="180">
        <v>1788</v>
      </c>
      <c r="V24" s="180">
        <v>3260</v>
      </c>
      <c r="W24" s="172">
        <v>5048</v>
      </c>
      <c r="X24" s="172">
        <v>29054</v>
      </c>
      <c r="Y24" s="172">
        <v>34496</v>
      </c>
      <c r="Z24" s="172">
        <v>63550</v>
      </c>
      <c r="AA24" s="177">
        <v>1.6684396170427187</v>
      </c>
      <c r="AB24" s="177">
        <v>3.4956786549143235</v>
      </c>
      <c r="AC24" s="177">
        <v>2.5186604398674808</v>
      </c>
      <c r="AD24" s="177">
        <v>27.111210645167308</v>
      </c>
      <c r="AE24" s="177">
        <v>36.98985609813635</v>
      </c>
      <c r="AF24" s="177">
        <v>31.707779507444219</v>
      </c>
    </row>
    <row r="25" spans="1:32">
      <c r="A25" s="220">
        <v>16</v>
      </c>
      <c r="B25" s="221" t="s">
        <v>150</v>
      </c>
      <c r="C25" s="170">
        <v>71170</v>
      </c>
      <c r="D25" s="170">
        <v>62721</v>
      </c>
      <c r="E25" s="170">
        <v>133891</v>
      </c>
      <c r="F25" s="170">
        <v>45465</v>
      </c>
      <c r="G25" s="170">
        <v>42725</v>
      </c>
      <c r="H25" s="170">
        <v>88190</v>
      </c>
      <c r="I25" s="170">
        <v>6492</v>
      </c>
      <c r="J25" s="170">
        <v>5398</v>
      </c>
      <c r="K25" s="170">
        <v>11890</v>
      </c>
      <c r="L25" s="169">
        <v>51957</v>
      </c>
      <c r="M25" s="169">
        <v>48123</v>
      </c>
      <c r="N25" s="170">
        <v>100080</v>
      </c>
      <c r="O25" s="222">
        <v>73.004074750597155</v>
      </c>
      <c r="P25" s="222">
        <v>76.725498636820205</v>
      </c>
      <c r="Q25" s="222">
        <v>74.747369128619539</v>
      </c>
      <c r="R25" s="172">
        <v>51957</v>
      </c>
      <c r="S25" s="172">
        <v>48123</v>
      </c>
      <c r="T25" s="172">
        <v>100080</v>
      </c>
      <c r="U25" s="180">
        <v>7164</v>
      </c>
      <c r="V25" s="180">
        <v>9804</v>
      </c>
      <c r="W25" s="172">
        <v>16968</v>
      </c>
      <c r="X25" s="172">
        <v>17885</v>
      </c>
      <c r="Y25" s="172">
        <v>18430</v>
      </c>
      <c r="Z25" s="172">
        <v>36315</v>
      </c>
      <c r="AA25" s="177">
        <v>13.788324961025461</v>
      </c>
      <c r="AB25" s="177">
        <v>20.372794713546536</v>
      </c>
      <c r="AC25" s="177">
        <v>16.954436450839328</v>
      </c>
      <c r="AD25" s="177">
        <v>34.422695690667283</v>
      </c>
      <c r="AE25" s="177">
        <v>38.297695488643683</v>
      </c>
      <c r="AF25" s="177">
        <v>36.285971223021583</v>
      </c>
    </row>
    <row r="26" spans="1:32">
      <c r="A26" s="220">
        <v>17</v>
      </c>
      <c r="B26" s="221" t="s">
        <v>151</v>
      </c>
      <c r="C26" s="170">
        <v>110502</v>
      </c>
      <c r="D26" s="170">
        <v>91212</v>
      </c>
      <c r="E26" s="170">
        <v>201714</v>
      </c>
      <c r="F26" s="170">
        <v>56137</v>
      </c>
      <c r="G26" s="170">
        <v>47460</v>
      </c>
      <c r="H26" s="170">
        <v>103597</v>
      </c>
      <c r="I26" s="170">
        <v>6456</v>
      </c>
      <c r="J26" s="170">
        <v>5832</v>
      </c>
      <c r="K26" s="170">
        <v>12288</v>
      </c>
      <c r="L26" s="169">
        <v>62593</v>
      </c>
      <c r="M26" s="169">
        <v>53292</v>
      </c>
      <c r="N26" s="170">
        <v>115885</v>
      </c>
      <c r="O26" s="222">
        <v>56.644223633961374</v>
      </c>
      <c r="P26" s="222">
        <v>58.426522825943948</v>
      </c>
      <c r="Q26" s="222">
        <v>57.450152195683003</v>
      </c>
      <c r="R26" s="172">
        <v>62593</v>
      </c>
      <c r="S26" s="172">
        <v>53292</v>
      </c>
      <c r="T26" s="172">
        <v>115885</v>
      </c>
      <c r="U26" s="223"/>
      <c r="V26" s="223"/>
      <c r="W26" s="223"/>
      <c r="X26" s="223"/>
      <c r="Y26" s="223"/>
      <c r="Z26" s="223"/>
      <c r="AA26" s="224"/>
      <c r="AB26" s="224"/>
      <c r="AC26" s="224"/>
      <c r="AD26" s="224"/>
      <c r="AE26" s="224"/>
      <c r="AF26" s="224"/>
    </row>
    <row r="27" spans="1:32">
      <c r="A27" s="220">
        <v>18</v>
      </c>
      <c r="B27" s="221" t="s">
        <v>152</v>
      </c>
      <c r="C27" s="170">
        <v>229066</v>
      </c>
      <c r="D27" s="170">
        <v>226115</v>
      </c>
      <c r="E27" s="170">
        <v>455181</v>
      </c>
      <c r="F27" s="170">
        <v>169392</v>
      </c>
      <c r="G27" s="170">
        <v>154945</v>
      </c>
      <c r="H27" s="170">
        <v>324337</v>
      </c>
      <c r="I27" s="212"/>
      <c r="J27" s="212"/>
      <c r="K27" s="212"/>
      <c r="L27" s="169">
        <v>169392</v>
      </c>
      <c r="M27" s="169">
        <v>154945</v>
      </c>
      <c r="N27" s="170">
        <v>324337</v>
      </c>
      <c r="O27" s="222">
        <v>73.948992866684719</v>
      </c>
      <c r="P27" s="222">
        <v>68.524865665701086</v>
      </c>
      <c r="Q27" s="222">
        <v>71.254511941403536</v>
      </c>
      <c r="R27" s="172">
        <v>169392</v>
      </c>
      <c r="S27" s="172">
        <v>154945</v>
      </c>
      <c r="T27" s="172">
        <v>324337</v>
      </c>
      <c r="U27" s="32">
        <v>9787</v>
      </c>
      <c r="V27" s="32">
        <v>7406</v>
      </c>
      <c r="W27" s="172">
        <v>17193</v>
      </c>
      <c r="X27" s="32">
        <v>42142</v>
      </c>
      <c r="Y27" s="32">
        <v>35327</v>
      </c>
      <c r="Z27" s="172">
        <v>77469</v>
      </c>
      <c r="AA27" s="177">
        <v>5.777722678756966</v>
      </c>
      <c r="AB27" s="177">
        <v>4.7797605601987803</v>
      </c>
      <c r="AC27" s="177">
        <v>5.3009678205076822</v>
      </c>
      <c r="AD27" s="177">
        <v>24.878388589779917</v>
      </c>
      <c r="AE27" s="177">
        <v>22.799703120462098</v>
      </c>
      <c r="AF27" s="177">
        <v>23.885341481237109</v>
      </c>
    </row>
    <row r="28" spans="1:32" ht="28.5">
      <c r="A28" s="220">
        <v>19</v>
      </c>
      <c r="B28" s="221" t="s">
        <v>269</v>
      </c>
      <c r="C28" s="170">
        <v>439695</v>
      </c>
      <c r="D28" s="170">
        <v>396905</v>
      </c>
      <c r="E28" s="170">
        <v>836600</v>
      </c>
      <c r="F28" s="170">
        <v>342882</v>
      </c>
      <c r="G28" s="170">
        <v>342673</v>
      </c>
      <c r="H28" s="170">
        <v>685555</v>
      </c>
      <c r="I28" s="170">
        <v>30630</v>
      </c>
      <c r="J28" s="170">
        <v>17930</v>
      </c>
      <c r="K28" s="170">
        <v>48560</v>
      </c>
      <c r="L28" s="169">
        <v>373512</v>
      </c>
      <c r="M28" s="169">
        <v>360603</v>
      </c>
      <c r="N28" s="170">
        <v>734115</v>
      </c>
      <c r="O28" s="222">
        <v>84.947975301060964</v>
      </c>
      <c r="P28" s="222">
        <v>90.853730741613234</v>
      </c>
      <c r="Q28" s="222">
        <v>87.749820702844843</v>
      </c>
      <c r="R28" s="172">
        <f t="shared" ref="R28:T28" si="4">L28</f>
        <v>373512</v>
      </c>
      <c r="S28" s="172">
        <f t="shared" si="4"/>
        <v>360603</v>
      </c>
      <c r="T28" s="172">
        <f t="shared" si="4"/>
        <v>734115</v>
      </c>
      <c r="U28" s="32">
        <v>66525</v>
      </c>
      <c r="V28" s="32">
        <v>94453</v>
      </c>
      <c r="W28" s="32">
        <f t="shared" ref="W28" si="5">U28+V28</f>
        <v>160978</v>
      </c>
      <c r="X28" s="32">
        <v>110076</v>
      </c>
      <c r="Y28" s="32">
        <v>123793</v>
      </c>
      <c r="Z28" s="172">
        <f t="shared" ref="Z28" si="6">X28+Y28</f>
        <v>233869</v>
      </c>
      <c r="AA28" s="181">
        <f t="shared" ref="AA28:AC28" si="7">U28/R28%</f>
        <v>17.810672749469898</v>
      </c>
      <c r="AB28" s="181">
        <f t="shared" si="7"/>
        <v>26.193071050434966</v>
      </c>
      <c r="AC28" s="181">
        <f t="shared" si="7"/>
        <v>21.928172016645895</v>
      </c>
      <c r="AD28" s="177">
        <f t="shared" ref="AD28:AF28" si="8">X28/R28%</f>
        <v>29.470539099145409</v>
      </c>
      <c r="AE28" s="177">
        <f t="shared" si="8"/>
        <v>34.329442628042472</v>
      </c>
      <c r="AF28" s="177">
        <f t="shared" si="8"/>
        <v>31.857270318683042</v>
      </c>
    </row>
    <row r="29" spans="1:32">
      <c r="A29" s="220">
        <v>20</v>
      </c>
      <c r="B29" s="221" t="s">
        <v>270</v>
      </c>
      <c r="C29" s="227">
        <v>237189</v>
      </c>
      <c r="D29" s="170">
        <v>231054</v>
      </c>
      <c r="E29" s="170">
        <v>468243</v>
      </c>
      <c r="F29" s="170">
        <v>233003</v>
      </c>
      <c r="G29" s="170">
        <v>228822</v>
      </c>
      <c r="H29" s="170">
        <v>461825</v>
      </c>
      <c r="I29" s="212"/>
      <c r="J29" s="212"/>
      <c r="K29" s="212"/>
      <c r="L29" s="169">
        <v>233003</v>
      </c>
      <c r="M29" s="169">
        <v>228822</v>
      </c>
      <c r="N29" s="170">
        <v>461825</v>
      </c>
      <c r="O29" s="222">
        <v>98.235162676178064</v>
      </c>
      <c r="P29" s="222">
        <v>99.033992053805605</v>
      </c>
      <c r="Q29" s="222">
        <v>98.629344165315871</v>
      </c>
      <c r="R29" s="172">
        <v>233003</v>
      </c>
      <c r="S29" s="172">
        <v>228822</v>
      </c>
      <c r="T29" s="172">
        <v>461825</v>
      </c>
      <c r="U29" s="223"/>
      <c r="V29" s="223"/>
      <c r="W29" s="223"/>
      <c r="X29" s="32">
        <v>42716</v>
      </c>
      <c r="Y29" s="32">
        <v>67489</v>
      </c>
      <c r="Z29" s="172">
        <v>110205</v>
      </c>
      <c r="AA29" s="224"/>
      <c r="AB29" s="224"/>
      <c r="AC29" s="224"/>
      <c r="AD29" s="177">
        <v>18.332811165521473</v>
      </c>
      <c r="AE29" s="177">
        <v>29.494104587845577</v>
      </c>
      <c r="AF29" s="177">
        <v>23.862935094462188</v>
      </c>
    </row>
    <row r="30" spans="1:32" ht="28.5">
      <c r="A30" s="220">
        <v>21</v>
      </c>
      <c r="B30" s="221" t="s">
        <v>271</v>
      </c>
      <c r="C30" s="170">
        <v>954495</v>
      </c>
      <c r="D30" s="170">
        <v>770323</v>
      </c>
      <c r="E30" s="170">
        <v>1724818</v>
      </c>
      <c r="F30" s="170">
        <v>815774</v>
      </c>
      <c r="G30" s="170">
        <v>697408</v>
      </c>
      <c r="H30" s="170">
        <v>1513182</v>
      </c>
      <c r="I30" s="170">
        <v>23382</v>
      </c>
      <c r="J30" s="170">
        <v>11959</v>
      </c>
      <c r="K30" s="170">
        <v>35341</v>
      </c>
      <c r="L30" s="169">
        <v>839156</v>
      </c>
      <c r="M30" s="169">
        <v>709367</v>
      </c>
      <c r="N30" s="170">
        <v>1548523</v>
      </c>
      <c r="O30" s="222">
        <v>87.916227953001325</v>
      </c>
      <c r="P30" s="222">
        <v>92.08695573155677</v>
      </c>
      <c r="Q30" s="222">
        <v>89.778921602163237</v>
      </c>
      <c r="R30" s="172">
        <f>L30</f>
        <v>839156</v>
      </c>
      <c r="S30" s="172">
        <f t="shared" ref="S30:T30" si="9">M30</f>
        <v>709367</v>
      </c>
      <c r="T30" s="172">
        <f t="shared" si="9"/>
        <v>1548523</v>
      </c>
      <c r="U30" s="180">
        <v>173357</v>
      </c>
      <c r="V30" s="180">
        <v>201070</v>
      </c>
      <c r="W30" s="172">
        <v>374427</v>
      </c>
      <c r="X30" s="172">
        <v>278602</v>
      </c>
      <c r="Y30" s="172">
        <v>262637</v>
      </c>
      <c r="Z30" s="172">
        <v>541239</v>
      </c>
      <c r="AA30" s="177">
        <v>20.658667292697722</v>
      </c>
      <c r="AB30" s="177">
        <v>28.345029223278253</v>
      </c>
      <c r="AC30" s="177">
        <v>24.179746402198237</v>
      </c>
      <c r="AD30" s="177">
        <v>33.200540070952833</v>
      </c>
      <c r="AE30" s="177">
        <v>37.024187795862787</v>
      </c>
      <c r="AF30" s="177">
        <v>34.952131558299406</v>
      </c>
    </row>
    <row r="31" spans="1:32" ht="28.5">
      <c r="A31" s="220">
        <v>22</v>
      </c>
      <c r="B31" s="221" t="s">
        <v>272</v>
      </c>
      <c r="C31" s="170">
        <v>619327</v>
      </c>
      <c r="D31" s="170">
        <v>495259</v>
      </c>
      <c r="E31" s="170">
        <v>1114586</v>
      </c>
      <c r="F31" s="170">
        <v>245166</v>
      </c>
      <c r="G31" s="170">
        <v>207822</v>
      </c>
      <c r="H31" s="170">
        <v>452988</v>
      </c>
      <c r="I31" s="170">
        <v>64196</v>
      </c>
      <c r="J31" s="170">
        <v>57881</v>
      </c>
      <c r="K31" s="170">
        <v>122077</v>
      </c>
      <c r="L31" s="169">
        <v>309362</v>
      </c>
      <c r="M31" s="169">
        <v>265703</v>
      </c>
      <c r="N31" s="170">
        <v>575065</v>
      </c>
      <c r="O31" s="222">
        <v>49.951318124351111</v>
      </c>
      <c r="P31" s="222">
        <v>53.649302688088454</v>
      </c>
      <c r="Q31" s="222">
        <v>51.594493381399012</v>
      </c>
      <c r="R31" s="172">
        <v>309362</v>
      </c>
      <c r="S31" s="172">
        <v>265703</v>
      </c>
      <c r="T31" s="172">
        <v>575065</v>
      </c>
      <c r="U31" s="180">
        <v>27565</v>
      </c>
      <c r="V31" s="180">
        <v>26912</v>
      </c>
      <c r="W31" s="172">
        <v>54477</v>
      </c>
      <c r="X31" s="172">
        <v>68841</v>
      </c>
      <c r="Y31" s="172">
        <v>60975</v>
      </c>
      <c r="Z31" s="172">
        <v>129816</v>
      </c>
      <c r="AA31" s="177">
        <v>8.9102734013873715</v>
      </c>
      <c r="AB31" s="177">
        <v>10.128602236331542</v>
      </c>
      <c r="AC31" s="177">
        <v>9.4731899872188361</v>
      </c>
      <c r="AD31" s="177">
        <v>22.252571421182953</v>
      </c>
      <c r="AE31" s="177">
        <v>22.948555341866669</v>
      </c>
      <c r="AF31" s="177">
        <v>22.574143792440857</v>
      </c>
    </row>
    <row r="32" spans="1:32">
      <c r="A32" s="220">
        <v>23</v>
      </c>
      <c r="B32" s="221" t="s">
        <v>141</v>
      </c>
      <c r="C32" s="170">
        <v>17213</v>
      </c>
      <c r="D32" s="170">
        <v>17451</v>
      </c>
      <c r="E32" s="170">
        <v>34664</v>
      </c>
      <c r="F32" s="170">
        <v>11184</v>
      </c>
      <c r="G32" s="170">
        <v>10100</v>
      </c>
      <c r="H32" s="170">
        <v>21284</v>
      </c>
      <c r="I32" s="170">
        <v>2195</v>
      </c>
      <c r="J32" s="170">
        <v>2665</v>
      </c>
      <c r="K32" s="170">
        <v>4860</v>
      </c>
      <c r="L32" s="169">
        <v>13379</v>
      </c>
      <c r="M32" s="169">
        <v>12765</v>
      </c>
      <c r="N32" s="170">
        <v>26144</v>
      </c>
      <c r="O32" s="222">
        <v>77.726137221867191</v>
      </c>
      <c r="P32" s="222">
        <v>73.147670620594809</v>
      </c>
      <c r="Q32" s="222">
        <v>75.421186245095768</v>
      </c>
      <c r="R32" s="172">
        <f t="shared" ref="R32:T32" si="10">L32</f>
        <v>13379</v>
      </c>
      <c r="S32" s="172">
        <f t="shared" si="10"/>
        <v>12765</v>
      </c>
      <c r="T32" s="172">
        <f t="shared" si="10"/>
        <v>26144</v>
      </c>
      <c r="U32" s="32">
        <v>553</v>
      </c>
      <c r="V32" s="32">
        <v>425</v>
      </c>
      <c r="W32" s="32">
        <v>978</v>
      </c>
      <c r="X32" s="32">
        <v>3016</v>
      </c>
      <c r="Y32" s="32">
        <v>2689</v>
      </c>
      <c r="Z32" s="32">
        <f t="shared" ref="Z32" si="11">X32+Y32</f>
        <v>5705</v>
      </c>
      <c r="AA32" s="181">
        <f t="shared" ref="AA32:AC32" si="12">U32/R32%</f>
        <v>4.1333432992002397</v>
      </c>
      <c r="AB32" s="181">
        <f t="shared" si="12"/>
        <v>3.3294163728946335</v>
      </c>
      <c r="AC32" s="181">
        <f t="shared" si="12"/>
        <v>3.7408200734394126</v>
      </c>
      <c r="AD32" s="181">
        <f t="shared" ref="AD32:AF32" si="13">X32/R32%</f>
        <v>22.542790941026983</v>
      </c>
      <c r="AE32" s="181">
        <f t="shared" si="13"/>
        <v>21.065413239326283</v>
      </c>
      <c r="AF32" s="181">
        <f t="shared" si="13"/>
        <v>21.821450428396574</v>
      </c>
    </row>
    <row r="33" spans="1:32">
      <c r="A33" s="220">
        <v>24</v>
      </c>
      <c r="B33" s="221" t="s">
        <v>158</v>
      </c>
      <c r="C33" s="170">
        <v>21412</v>
      </c>
      <c r="D33" s="170">
        <v>24459</v>
      </c>
      <c r="E33" s="170">
        <v>45871</v>
      </c>
      <c r="F33" s="170">
        <v>11468</v>
      </c>
      <c r="G33" s="170">
        <v>12905</v>
      </c>
      <c r="H33" s="170">
        <v>24373</v>
      </c>
      <c r="I33" s="212"/>
      <c r="J33" s="212"/>
      <c r="K33" s="212"/>
      <c r="L33" s="169">
        <v>11468</v>
      </c>
      <c r="M33" s="169">
        <v>12905</v>
      </c>
      <c r="N33" s="170">
        <v>24373</v>
      </c>
      <c r="O33" s="222">
        <v>53.558752101625259</v>
      </c>
      <c r="P33" s="222">
        <v>52.761764585633095</v>
      </c>
      <c r="Q33" s="222">
        <v>53.133788232216425</v>
      </c>
      <c r="R33" s="172">
        <v>11468</v>
      </c>
      <c r="S33" s="172">
        <v>12905</v>
      </c>
      <c r="T33" s="172">
        <v>24373</v>
      </c>
      <c r="U33" s="180">
        <v>635</v>
      </c>
      <c r="V33" s="180">
        <v>756</v>
      </c>
      <c r="W33" s="172">
        <v>1391</v>
      </c>
      <c r="X33" s="172">
        <v>1933</v>
      </c>
      <c r="Y33" s="172">
        <v>2205</v>
      </c>
      <c r="Z33" s="172">
        <v>4138</v>
      </c>
      <c r="AA33" s="177">
        <v>5.5371468433903033</v>
      </c>
      <c r="AB33" s="177">
        <v>5.8581944982564895</v>
      </c>
      <c r="AC33" s="177">
        <v>5.7071349444056949</v>
      </c>
      <c r="AD33" s="177">
        <v>16.85559818625741</v>
      </c>
      <c r="AE33" s="177">
        <v>17.086400619914759</v>
      </c>
      <c r="AF33" s="177">
        <v>16.977803306938007</v>
      </c>
    </row>
    <row r="34" spans="1:32">
      <c r="A34" s="220">
        <v>25</v>
      </c>
      <c r="B34" s="221" t="s">
        <v>159</v>
      </c>
      <c r="C34" s="170">
        <v>8287</v>
      </c>
      <c r="D34" s="170">
        <v>8870</v>
      </c>
      <c r="E34" s="170">
        <v>17157</v>
      </c>
      <c r="F34" s="170">
        <v>5672</v>
      </c>
      <c r="G34" s="170">
        <v>6047</v>
      </c>
      <c r="H34" s="170">
        <v>11719</v>
      </c>
      <c r="I34" s="170">
        <v>57</v>
      </c>
      <c r="J34" s="170">
        <v>48</v>
      </c>
      <c r="K34" s="170">
        <v>105</v>
      </c>
      <c r="L34" s="169">
        <v>5729</v>
      </c>
      <c r="M34" s="169">
        <v>6095</v>
      </c>
      <c r="N34" s="170">
        <v>11824</v>
      </c>
      <c r="O34" s="222">
        <v>69.132376010619041</v>
      </c>
      <c r="P34" s="222">
        <v>68.714768883878236</v>
      </c>
      <c r="Q34" s="222">
        <v>68.916477239610657</v>
      </c>
      <c r="R34" s="168">
        <f t="shared" ref="R34:T34" si="14">L34</f>
        <v>5729</v>
      </c>
      <c r="S34" s="168">
        <f t="shared" si="14"/>
        <v>6095</v>
      </c>
      <c r="T34" s="168">
        <f t="shared" si="14"/>
        <v>11824</v>
      </c>
      <c r="U34" s="223"/>
      <c r="V34" s="223"/>
      <c r="W34" s="223"/>
      <c r="X34" s="223"/>
      <c r="Y34" s="223"/>
      <c r="Z34" s="223"/>
      <c r="AA34" s="224"/>
      <c r="AB34" s="224"/>
      <c r="AC34" s="224"/>
      <c r="AD34" s="224"/>
      <c r="AE34" s="224"/>
      <c r="AF34" s="224"/>
    </row>
    <row r="35" spans="1:32">
      <c r="A35" s="220">
        <v>26</v>
      </c>
      <c r="B35" s="221" t="s">
        <v>160</v>
      </c>
      <c r="C35" s="170">
        <v>11541</v>
      </c>
      <c r="D35" s="170">
        <v>12098</v>
      </c>
      <c r="E35" s="170">
        <v>23639</v>
      </c>
      <c r="F35" s="170">
        <v>7389</v>
      </c>
      <c r="G35" s="170">
        <v>7516</v>
      </c>
      <c r="H35" s="170">
        <v>14905</v>
      </c>
      <c r="I35" s="170">
        <v>705</v>
      </c>
      <c r="J35" s="170">
        <v>738</v>
      </c>
      <c r="K35" s="170">
        <v>1443</v>
      </c>
      <c r="L35" s="169">
        <v>8094</v>
      </c>
      <c r="M35" s="169">
        <v>8254</v>
      </c>
      <c r="N35" s="170">
        <v>16348</v>
      </c>
      <c r="O35" s="222">
        <v>70.132570834416427</v>
      </c>
      <c r="P35" s="222">
        <v>68.226153083154244</v>
      </c>
      <c r="Q35" s="222">
        <v>69.156901730191635</v>
      </c>
      <c r="R35" s="172">
        <v>8094</v>
      </c>
      <c r="S35" s="172">
        <v>8254</v>
      </c>
      <c r="T35" s="172">
        <v>16348</v>
      </c>
      <c r="U35" s="180">
        <v>590</v>
      </c>
      <c r="V35" s="180">
        <v>724</v>
      </c>
      <c r="W35" s="172">
        <v>1314</v>
      </c>
      <c r="X35" s="172">
        <v>1533</v>
      </c>
      <c r="Y35" s="172">
        <v>1613</v>
      </c>
      <c r="Z35" s="172">
        <v>3146</v>
      </c>
      <c r="AA35" s="177">
        <v>7.2893501359031383</v>
      </c>
      <c r="AB35" s="177">
        <v>8.7715047249818259</v>
      </c>
      <c r="AC35" s="177">
        <v>8.0376804502079775</v>
      </c>
      <c r="AD35" s="177">
        <v>18.939955522609342</v>
      </c>
      <c r="AE35" s="177">
        <v>19.542040222922218</v>
      </c>
      <c r="AF35" s="177">
        <v>19.243944213359434</v>
      </c>
    </row>
    <row r="36" spans="1:32">
      <c r="A36" s="220">
        <v>27</v>
      </c>
      <c r="B36" s="221" t="s">
        <v>273</v>
      </c>
      <c r="C36" s="170">
        <v>288590</v>
      </c>
      <c r="D36" s="170">
        <v>287901</v>
      </c>
      <c r="E36" s="170">
        <v>576491</v>
      </c>
      <c r="F36" s="170">
        <v>231746</v>
      </c>
      <c r="G36" s="170">
        <v>232627</v>
      </c>
      <c r="H36" s="170">
        <v>464373</v>
      </c>
      <c r="I36" s="212"/>
      <c r="J36" s="212"/>
      <c r="K36" s="212"/>
      <c r="L36" s="169">
        <v>231746</v>
      </c>
      <c r="M36" s="169">
        <v>232627</v>
      </c>
      <c r="N36" s="170">
        <v>464373</v>
      </c>
      <c r="O36" s="222">
        <v>80.302851796666559</v>
      </c>
      <c r="P36" s="222">
        <v>80.801039246129747</v>
      </c>
      <c r="Q36" s="222">
        <v>80.551647814102907</v>
      </c>
      <c r="R36" s="172">
        <v>231746</v>
      </c>
      <c r="S36" s="172">
        <v>232627</v>
      </c>
      <c r="T36" s="172">
        <v>464373</v>
      </c>
      <c r="U36" s="223"/>
      <c r="V36" s="223"/>
      <c r="W36" s="223"/>
      <c r="X36" s="223"/>
      <c r="Y36" s="223"/>
      <c r="Z36" s="223"/>
      <c r="AA36" s="224"/>
      <c r="AB36" s="224"/>
      <c r="AC36" s="224"/>
      <c r="AD36" s="224"/>
      <c r="AE36" s="224"/>
      <c r="AF36" s="224"/>
    </row>
    <row r="37" spans="1:32">
      <c r="A37" s="220">
        <v>28</v>
      </c>
      <c r="B37" s="221" t="s">
        <v>162</v>
      </c>
      <c r="C37" s="170">
        <v>198963</v>
      </c>
      <c r="D37" s="170">
        <v>159192</v>
      </c>
      <c r="E37" s="170">
        <v>358155</v>
      </c>
      <c r="F37" s="170">
        <v>125037</v>
      </c>
      <c r="G37" s="170">
        <v>117438</v>
      </c>
      <c r="H37" s="170">
        <v>242475</v>
      </c>
      <c r="I37" s="212"/>
      <c r="J37" s="212"/>
      <c r="K37" s="212"/>
      <c r="L37" s="169">
        <v>125037</v>
      </c>
      <c r="M37" s="169">
        <v>117438</v>
      </c>
      <c r="N37" s="170">
        <v>242475</v>
      </c>
      <c r="O37" s="222">
        <v>62.844347944090103</v>
      </c>
      <c r="P37" s="222">
        <v>73.771295039951752</v>
      </c>
      <c r="Q37" s="222">
        <v>67.701134983456882</v>
      </c>
      <c r="R37" s="172">
        <v>125037</v>
      </c>
      <c r="S37" s="172">
        <v>117438</v>
      </c>
      <c r="T37" s="172">
        <v>242475</v>
      </c>
      <c r="U37" s="180">
        <v>21238</v>
      </c>
      <c r="V37" s="180">
        <v>37407</v>
      </c>
      <c r="W37" s="172">
        <v>58645</v>
      </c>
      <c r="X37" s="172">
        <v>59046</v>
      </c>
      <c r="Y37" s="172">
        <v>54343</v>
      </c>
      <c r="Z37" s="172">
        <v>113389</v>
      </c>
      <c r="AA37" s="177">
        <v>16.985372329790383</v>
      </c>
      <c r="AB37" s="177">
        <v>31.852551984877124</v>
      </c>
      <c r="AC37" s="177">
        <v>24.185998556552221</v>
      </c>
      <c r="AD37" s="177">
        <v>47.222822044674778</v>
      </c>
      <c r="AE37" s="177">
        <v>46.273778504402316</v>
      </c>
      <c r="AF37" s="177">
        <v>46.763171460975357</v>
      </c>
    </row>
    <row r="38" spans="1:32" ht="28.5">
      <c r="A38" s="220">
        <v>29</v>
      </c>
      <c r="B38" s="221" t="s">
        <v>212</v>
      </c>
      <c r="C38" s="170">
        <v>651966</v>
      </c>
      <c r="D38" s="170">
        <v>454472</v>
      </c>
      <c r="E38" s="170">
        <v>1106438</v>
      </c>
      <c r="F38" s="170">
        <v>487676</v>
      </c>
      <c r="G38" s="170">
        <v>349035</v>
      </c>
      <c r="H38" s="170">
        <v>836711</v>
      </c>
      <c r="I38" s="170">
        <v>7941</v>
      </c>
      <c r="J38" s="170">
        <v>6584</v>
      </c>
      <c r="K38" s="170">
        <v>14525</v>
      </c>
      <c r="L38" s="169">
        <v>495617</v>
      </c>
      <c r="M38" s="169">
        <v>355619</v>
      </c>
      <c r="N38" s="170">
        <v>851236</v>
      </c>
      <c r="O38" s="222">
        <v>76.018841473328365</v>
      </c>
      <c r="P38" s="222">
        <v>78.248825010121635</v>
      </c>
      <c r="Q38" s="222">
        <v>76.934812434135495</v>
      </c>
      <c r="R38" s="172">
        <v>495617</v>
      </c>
      <c r="S38" s="172">
        <v>355619</v>
      </c>
      <c r="T38" s="172">
        <v>851236</v>
      </c>
      <c r="U38" s="180">
        <v>33816</v>
      </c>
      <c r="V38" s="180">
        <v>23493</v>
      </c>
      <c r="W38" s="172">
        <v>57309</v>
      </c>
      <c r="X38" s="172">
        <v>99801</v>
      </c>
      <c r="Y38" s="172">
        <v>72038</v>
      </c>
      <c r="Z38" s="172">
        <v>171839</v>
      </c>
      <c r="AA38" s="177">
        <v>6.823010510131815</v>
      </c>
      <c r="AB38" s="177">
        <v>6.6062274512891603</v>
      </c>
      <c r="AC38" s="177">
        <v>6.7324455262700349</v>
      </c>
      <c r="AD38" s="177">
        <v>20.136718474144349</v>
      </c>
      <c r="AE38" s="177">
        <v>20.257072878558233</v>
      </c>
      <c r="AF38" s="177">
        <v>20.186998670169025</v>
      </c>
    </row>
    <row r="39" spans="1:32" ht="28.5">
      <c r="A39" s="220">
        <v>30</v>
      </c>
      <c r="B39" s="221" t="s">
        <v>274</v>
      </c>
      <c r="C39" s="170">
        <v>533103</v>
      </c>
      <c r="D39" s="170">
        <v>527833</v>
      </c>
      <c r="E39" s="170">
        <v>1060936</v>
      </c>
      <c r="F39" s="170">
        <v>482371</v>
      </c>
      <c r="G39" s="170">
        <v>503579</v>
      </c>
      <c r="H39" s="170">
        <v>985950</v>
      </c>
      <c r="I39" s="212"/>
      <c r="J39" s="212"/>
      <c r="K39" s="212"/>
      <c r="L39" s="169">
        <v>482371</v>
      </c>
      <c r="M39" s="169">
        <v>503579</v>
      </c>
      <c r="N39" s="170">
        <v>985950</v>
      </c>
      <c r="O39" s="222">
        <v>90.48364012207773</v>
      </c>
      <c r="P39" s="222">
        <v>95.40498604672311</v>
      </c>
      <c r="Q39" s="222">
        <v>92.932090154354256</v>
      </c>
      <c r="R39" s="172">
        <v>482371</v>
      </c>
      <c r="S39" s="172">
        <v>503579</v>
      </c>
      <c r="T39" s="172">
        <v>985950</v>
      </c>
      <c r="U39" s="180">
        <v>222302</v>
      </c>
      <c r="V39" s="180">
        <v>296798</v>
      </c>
      <c r="W39" s="172">
        <v>519100</v>
      </c>
      <c r="X39" s="172">
        <v>145673</v>
      </c>
      <c r="Y39" s="172">
        <v>131701</v>
      </c>
      <c r="Z39" s="172">
        <v>277374</v>
      </c>
      <c r="AA39" s="177">
        <v>46.085274612279761</v>
      </c>
      <c r="AB39" s="177">
        <v>58.937723773231212</v>
      </c>
      <c r="AC39" s="177">
        <v>52.649728688067349</v>
      </c>
      <c r="AD39" s="177">
        <v>30.199369365073771</v>
      </c>
      <c r="AE39" s="177">
        <v>26.152996848558022</v>
      </c>
      <c r="AF39" s="177">
        <v>28.132663928191086</v>
      </c>
    </row>
    <row r="40" spans="1:32">
      <c r="A40" s="220">
        <v>31</v>
      </c>
      <c r="B40" s="221" t="s">
        <v>165</v>
      </c>
      <c r="C40" s="170">
        <v>19046</v>
      </c>
      <c r="D40" s="170">
        <v>17755</v>
      </c>
      <c r="E40" s="170">
        <v>36801</v>
      </c>
      <c r="F40" s="170">
        <v>12676</v>
      </c>
      <c r="G40" s="170">
        <v>11284</v>
      </c>
      <c r="H40" s="170">
        <v>23960</v>
      </c>
      <c r="I40" s="212"/>
      <c r="J40" s="212"/>
      <c r="K40" s="212"/>
      <c r="L40" s="169">
        <v>12676</v>
      </c>
      <c r="M40" s="169">
        <v>11284</v>
      </c>
      <c r="N40" s="170">
        <v>23960</v>
      </c>
      <c r="O40" s="222">
        <v>66.554657145857405</v>
      </c>
      <c r="P40" s="222">
        <v>63.553928470853279</v>
      </c>
      <c r="Q40" s="222">
        <v>65.106926442216235</v>
      </c>
      <c r="R40" s="172">
        <v>12676</v>
      </c>
      <c r="S40" s="172">
        <v>11284</v>
      </c>
      <c r="T40" s="172">
        <v>23960</v>
      </c>
      <c r="U40" s="32">
        <v>565</v>
      </c>
      <c r="V40" s="32">
        <v>386</v>
      </c>
      <c r="W40" s="32">
        <v>951</v>
      </c>
      <c r="X40" s="32">
        <v>1166</v>
      </c>
      <c r="Y40" s="32">
        <v>1048</v>
      </c>
      <c r="Z40" s="32">
        <v>2214</v>
      </c>
      <c r="AA40" s="181">
        <v>4.4572420321868096</v>
      </c>
      <c r="AB40" s="181">
        <v>3.4207727756114852</v>
      </c>
      <c r="AC40" s="181">
        <v>3.9691151919866443</v>
      </c>
      <c r="AD40" s="181">
        <v>9.1984853266014515</v>
      </c>
      <c r="AE40" s="181">
        <v>9.2874867068415448</v>
      </c>
      <c r="AF40" s="181">
        <v>9.2404006677796335</v>
      </c>
    </row>
    <row r="41" spans="1:32" ht="28.5">
      <c r="A41" s="220">
        <v>32</v>
      </c>
      <c r="B41" s="221" t="s">
        <v>275</v>
      </c>
      <c r="C41" s="170">
        <v>1694859</v>
      </c>
      <c r="D41" s="170">
        <v>1450246</v>
      </c>
      <c r="E41" s="170">
        <v>3145105</v>
      </c>
      <c r="F41" s="170">
        <v>1298121</v>
      </c>
      <c r="G41" s="170">
        <v>1253225</v>
      </c>
      <c r="H41" s="170">
        <v>2551346</v>
      </c>
      <c r="I41" s="212"/>
      <c r="J41" s="212"/>
      <c r="K41" s="212"/>
      <c r="L41" s="169">
        <v>1298121</v>
      </c>
      <c r="M41" s="169">
        <v>1253225</v>
      </c>
      <c r="N41" s="170">
        <v>2551346</v>
      </c>
      <c r="O41" s="222">
        <v>76.591681077894975</v>
      </c>
      <c r="P41" s="222">
        <v>86.414649652541712</v>
      </c>
      <c r="Q41" s="222">
        <v>81.121170835313933</v>
      </c>
      <c r="R41" s="172">
        <v>1298121</v>
      </c>
      <c r="S41" s="172">
        <v>1253225</v>
      </c>
      <c r="T41" s="172">
        <v>2551346</v>
      </c>
      <c r="U41" s="180">
        <v>242122</v>
      </c>
      <c r="V41" s="180">
        <v>287357</v>
      </c>
      <c r="W41" s="172">
        <v>529479</v>
      </c>
      <c r="X41" s="172">
        <v>692372</v>
      </c>
      <c r="Y41" s="172">
        <v>706726</v>
      </c>
      <c r="Z41" s="172">
        <v>1399098</v>
      </c>
      <c r="AA41" s="177">
        <v>18.651728151690023</v>
      </c>
      <c r="AB41" s="177">
        <v>22.929402142472423</v>
      </c>
      <c r="AC41" s="177">
        <v>20.752928062285555</v>
      </c>
      <c r="AD41" s="177">
        <v>53.33647633772199</v>
      </c>
      <c r="AE41" s="177">
        <v>56.392587125216942</v>
      </c>
      <c r="AF41" s="177">
        <v>54.837642562004525</v>
      </c>
    </row>
    <row r="42" spans="1:32">
      <c r="A42" s="220">
        <v>33</v>
      </c>
      <c r="B42" s="221" t="s">
        <v>276</v>
      </c>
      <c r="C42" s="170">
        <v>86336</v>
      </c>
      <c r="D42" s="170">
        <v>83145</v>
      </c>
      <c r="E42" s="170">
        <v>169481</v>
      </c>
      <c r="F42" s="170">
        <v>56196</v>
      </c>
      <c r="G42" s="170">
        <v>63601</v>
      </c>
      <c r="H42" s="170">
        <v>119797</v>
      </c>
      <c r="I42" s="212"/>
      <c r="J42" s="212"/>
      <c r="K42" s="212"/>
      <c r="L42" s="169">
        <v>56196</v>
      </c>
      <c r="M42" s="169">
        <v>63601</v>
      </c>
      <c r="N42" s="170">
        <v>119797</v>
      </c>
      <c r="O42" s="222">
        <v>65.089881393624907</v>
      </c>
      <c r="P42" s="222">
        <v>76.494076613145708</v>
      </c>
      <c r="Q42" s="222">
        <v>70.684619514871869</v>
      </c>
      <c r="R42" s="172">
        <v>56196</v>
      </c>
      <c r="S42" s="172">
        <v>63601</v>
      </c>
      <c r="T42" s="172">
        <v>119797</v>
      </c>
      <c r="U42" s="180">
        <v>2910</v>
      </c>
      <c r="V42" s="180">
        <v>2547</v>
      </c>
      <c r="W42" s="172">
        <v>5457</v>
      </c>
      <c r="X42" s="172">
        <v>10872</v>
      </c>
      <c r="Y42" s="172">
        <v>15239</v>
      </c>
      <c r="Z42" s="172">
        <v>26111</v>
      </c>
      <c r="AA42" s="177">
        <v>5.1783045056587653</v>
      </c>
      <c r="AB42" s="177">
        <v>4.0046540148739798</v>
      </c>
      <c r="AC42" s="177">
        <v>4.5552058899638554</v>
      </c>
      <c r="AD42" s="177">
        <v>19.346572709801407</v>
      </c>
      <c r="AE42" s="177">
        <v>23.960315089385386</v>
      </c>
      <c r="AF42" s="177">
        <v>21.796038298120987</v>
      </c>
    </row>
    <row r="43" spans="1:32" ht="28.5">
      <c r="A43" s="220">
        <v>34</v>
      </c>
      <c r="B43" s="221" t="s">
        <v>172</v>
      </c>
      <c r="C43" s="170">
        <v>475831</v>
      </c>
      <c r="D43" s="170">
        <v>551859</v>
      </c>
      <c r="E43" s="170">
        <v>1027690</v>
      </c>
      <c r="F43" s="170">
        <v>404855</v>
      </c>
      <c r="G43" s="170">
        <v>423943</v>
      </c>
      <c r="H43" s="170">
        <v>828798</v>
      </c>
      <c r="I43" s="212"/>
      <c r="J43" s="212"/>
      <c r="K43" s="212"/>
      <c r="L43" s="169">
        <v>404855</v>
      </c>
      <c r="M43" s="169">
        <v>423943</v>
      </c>
      <c r="N43" s="170">
        <v>828798</v>
      </c>
      <c r="O43" s="222">
        <v>85.08377974532975</v>
      </c>
      <c r="P43" s="222">
        <v>76.820890843494439</v>
      </c>
      <c r="Q43" s="222">
        <v>80.646693068921564</v>
      </c>
      <c r="R43" s="172">
        <v>404855</v>
      </c>
      <c r="S43" s="172">
        <v>423943</v>
      </c>
      <c r="T43" s="172">
        <v>828798</v>
      </c>
      <c r="U43" s="180">
        <v>29795</v>
      </c>
      <c r="V43" s="180">
        <v>21978</v>
      </c>
      <c r="W43" s="172">
        <v>51773</v>
      </c>
      <c r="X43" s="172">
        <v>38562</v>
      </c>
      <c r="Y43" s="172">
        <v>34495</v>
      </c>
      <c r="Z43" s="172">
        <v>73057</v>
      </c>
      <c r="AA43" s="177">
        <v>7.3594249793135811</v>
      </c>
      <c r="AB43" s="177">
        <v>5.1841874969040642</v>
      </c>
      <c r="AC43" s="177">
        <v>6.2467573522136881</v>
      </c>
      <c r="AD43" s="177">
        <v>9.5248916278667668</v>
      </c>
      <c r="AE43" s="177">
        <v>8.1367070573166664</v>
      </c>
      <c r="AF43" s="177">
        <v>8.8148137423111539</v>
      </c>
    </row>
    <row r="44" spans="1:32" ht="28.5">
      <c r="A44" s="234">
        <v>35</v>
      </c>
      <c r="B44" s="235" t="s">
        <v>277</v>
      </c>
      <c r="C44" s="189">
        <v>13667</v>
      </c>
      <c r="D44" s="189">
        <v>28566</v>
      </c>
      <c r="E44" s="189">
        <v>42233</v>
      </c>
      <c r="F44" s="189">
        <v>11546</v>
      </c>
      <c r="G44" s="189">
        <v>21306</v>
      </c>
      <c r="H44" s="189">
        <v>32852</v>
      </c>
      <c r="I44" s="237"/>
      <c r="J44" s="237"/>
      <c r="K44" s="237"/>
      <c r="L44" s="188">
        <v>11546</v>
      </c>
      <c r="M44" s="188">
        <v>21306</v>
      </c>
      <c r="N44" s="189">
        <v>32852</v>
      </c>
      <c r="O44" s="236">
        <v>84.480866320333647</v>
      </c>
      <c r="P44" s="236">
        <v>74.585171182524675</v>
      </c>
      <c r="Q44" s="236">
        <v>77.787512135060268</v>
      </c>
      <c r="R44" s="193">
        <v>11546</v>
      </c>
      <c r="S44" s="193">
        <v>21306</v>
      </c>
      <c r="T44" s="193">
        <v>32852</v>
      </c>
      <c r="U44" s="194">
        <v>289</v>
      </c>
      <c r="V44" s="194">
        <v>212</v>
      </c>
      <c r="W44" s="193">
        <v>501</v>
      </c>
      <c r="X44" s="193">
        <v>805</v>
      </c>
      <c r="Y44" s="193">
        <v>1018</v>
      </c>
      <c r="Z44" s="193">
        <v>1823</v>
      </c>
      <c r="AA44" s="195">
        <v>2.5030313528494719</v>
      </c>
      <c r="AB44" s="195">
        <v>0.99502487562189057</v>
      </c>
      <c r="AC44" s="195">
        <v>1.5250213076829418</v>
      </c>
      <c r="AD44" s="195">
        <v>6.9721115537848606</v>
      </c>
      <c r="AE44" s="195">
        <v>4.7779968084107765</v>
      </c>
      <c r="AF44" s="195">
        <v>5.5491294289540978</v>
      </c>
    </row>
    <row r="45" spans="1:32">
      <c r="A45" s="483" t="s">
        <v>256</v>
      </c>
      <c r="B45" s="483"/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</row>
    <row r="46" spans="1:32" ht="28.5">
      <c r="A46" s="239">
        <v>1</v>
      </c>
      <c r="B46" s="53" t="s">
        <v>280</v>
      </c>
      <c r="C46" s="31">
        <v>90534</v>
      </c>
      <c r="D46" s="31">
        <v>40612</v>
      </c>
      <c r="E46" s="227">
        <f t="shared" ref="E46:E48" si="15">C46+D46</f>
        <v>131146</v>
      </c>
      <c r="F46" s="31">
        <v>52910</v>
      </c>
      <c r="G46" s="31">
        <v>24736</v>
      </c>
      <c r="H46" s="227">
        <f t="shared" ref="H46:H48" si="16">F46+G46</f>
        <v>77646</v>
      </c>
      <c r="I46" s="31"/>
      <c r="J46" s="31"/>
      <c r="K46" s="227"/>
      <c r="L46" s="31">
        <v>52910</v>
      </c>
      <c r="M46" s="31">
        <v>24736</v>
      </c>
      <c r="N46" s="227">
        <f t="shared" ref="N46:N48" si="17">L46+M46</f>
        <v>77646</v>
      </c>
      <c r="O46" s="236">
        <f>+L46/C46%</f>
        <v>58.442132237612384</v>
      </c>
      <c r="P46" s="236">
        <f t="shared" ref="P46:Q46" si="18">+M46/D46%</f>
        <v>60.908105978528511</v>
      </c>
      <c r="Q46" s="236">
        <f t="shared" si="18"/>
        <v>59.205770667805346</v>
      </c>
      <c r="R46" s="227">
        <f t="shared" ref="R46:T48" si="19">F46</f>
        <v>52910</v>
      </c>
      <c r="S46" s="227">
        <f t="shared" si="19"/>
        <v>24736</v>
      </c>
      <c r="T46" s="227">
        <f t="shared" si="19"/>
        <v>77646</v>
      </c>
      <c r="U46" s="227">
        <v>1050</v>
      </c>
      <c r="V46" s="227">
        <v>565</v>
      </c>
      <c r="W46" s="227">
        <f t="shared" ref="W46" si="20">U46+V46</f>
        <v>1615</v>
      </c>
      <c r="X46" s="227">
        <v>11963</v>
      </c>
      <c r="Y46" s="227">
        <v>4829</v>
      </c>
      <c r="Z46" s="227">
        <f t="shared" ref="Z46:Z48" si="21">X46+Y46</f>
        <v>16792</v>
      </c>
      <c r="AA46" s="216">
        <f t="shared" ref="AA46:AC46" si="22">U46/R46%</f>
        <v>1.9845019845019845</v>
      </c>
      <c r="AB46" s="216">
        <f t="shared" si="22"/>
        <v>2.2841203104786545</v>
      </c>
      <c r="AC46" s="216">
        <f t="shared" si="22"/>
        <v>2.079952605414316</v>
      </c>
      <c r="AD46" s="216">
        <f t="shared" ref="AD46:AF46" si="23">X46/R46%</f>
        <v>22.610092610092607</v>
      </c>
      <c r="AE46" s="216">
        <f t="shared" si="23"/>
        <v>19.522153945666233</v>
      </c>
      <c r="AF46" s="216">
        <f t="shared" si="23"/>
        <v>21.626355510908482</v>
      </c>
    </row>
    <row r="47" spans="1:32">
      <c r="A47" s="239">
        <v>2</v>
      </c>
      <c r="B47" s="53" t="s">
        <v>288</v>
      </c>
      <c r="C47" s="240">
        <v>32320</v>
      </c>
      <c r="D47" s="240">
        <v>15485</v>
      </c>
      <c r="E47" s="227">
        <f t="shared" si="15"/>
        <v>47805</v>
      </c>
      <c r="F47" s="240">
        <f>23699+2933</f>
        <v>26632</v>
      </c>
      <c r="G47" s="240">
        <f>12232+1257</f>
        <v>13489</v>
      </c>
      <c r="H47" s="227">
        <f t="shared" si="16"/>
        <v>40121</v>
      </c>
      <c r="I47" s="241"/>
      <c r="J47" s="241"/>
      <c r="K47" s="227"/>
      <c r="L47" s="240">
        <f>23699+2933</f>
        <v>26632</v>
      </c>
      <c r="M47" s="240">
        <f>12232+1257</f>
        <v>13489</v>
      </c>
      <c r="N47" s="227">
        <f t="shared" si="17"/>
        <v>40121</v>
      </c>
      <c r="O47" s="236">
        <f t="shared" ref="O47:O48" si="24">+L47/C47%</f>
        <v>82.400990099009903</v>
      </c>
      <c r="P47" s="236">
        <f t="shared" ref="P47:P48" si="25">+M47/D47%</f>
        <v>87.110106554730393</v>
      </c>
      <c r="Q47" s="236">
        <f t="shared" ref="Q47:Q48" si="26">+N47/E47%</f>
        <v>83.926367534776702</v>
      </c>
      <c r="R47" s="227">
        <f t="shared" si="19"/>
        <v>26632</v>
      </c>
      <c r="S47" s="227">
        <f t="shared" si="19"/>
        <v>13489</v>
      </c>
      <c r="T47" s="227">
        <f t="shared" si="19"/>
        <v>40121</v>
      </c>
      <c r="U47" s="212"/>
      <c r="V47" s="212"/>
      <c r="W47" s="212"/>
      <c r="X47" s="212"/>
      <c r="Y47" s="212"/>
      <c r="Z47" s="212"/>
      <c r="AA47" s="228"/>
      <c r="AB47" s="228"/>
      <c r="AC47" s="228"/>
      <c r="AD47" s="228"/>
      <c r="AE47" s="228"/>
      <c r="AF47" s="228"/>
    </row>
    <row r="48" spans="1:32">
      <c r="A48" s="239">
        <v>3</v>
      </c>
      <c r="B48" s="53" t="s">
        <v>223</v>
      </c>
      <c r="C48" s="31">
        <v>49677</v>
      </c>
      <c r="D48" s="31">
        <v>56400</v>
      </c>
      <c r="E48" s="227">
        <f t="shared" si="15"/>
        <v>106077</v>
      </c>
      <c r="F48" s="31">
        <f>30622+8490</f>
        <v>39112</v>
      </c>
      <c r="G48" s="31">
        <f>31312+4565</f>
        <v>35877</v>
      </c>
      <c r="H48" s="227">
        <f t="shared" si="16"/>
        <v>74989</v>
      </c>
      <c r="I48" s="31"/>
      <c r="J48" s="31"/>
      <c r="K48" s="227"/>
      <c r="L48" s="31">
        <f>30622+8490</f>
        <v>39112</v>
      </c>
      <c r="M48" s="31">
        <f>31312+4565</f>
        <v>35877</v>
      </c>
      <c r="N48" s="227">
        <f t="shared" si="17"/>
        <v>74989</v>
      </c>
      <c r="O48" s="236">
        <f t="shared" si="24"/>
        <v>78.732612677899226</v>
      </c>
      <c r="P48" s="236">
        <f t="shared" si="25"/>
        <v>63.611702127659576</v>
      </c>
      <c r="Q48" s="236">
        <f t="shared" si="26"/>
        <v>70.692987169697489</v>
      </c>
      <c r="R48" s="227">
        <f t="shared" si="19"/>
        <v>39112</v>
      </c>
      <c r="S48" s="227">
        <f t="shared" si="19"/>
        <v>35877</v>
      </c>
      <c r="T48" s="227">
        <f t="shared" si="19"/>
        <v>74989</v>
      </c>
      <c r="U48" s="227">
        <v>41</v>
      </c>
      <c r="V48" s="227">
        <v>44</v>
      </c>
      <c r="W48" s="227">
        <f>U48+V48</f>
        <v>85</v>
      </c>
      <c r="X48" s="227">
        <v>1948</v>
      </c>
      <c r="Y48" s="227">
        <v>1759</v>
      </c>
      <c r="Z48" s="227">
        <f t="shared" si="21"/>
        <v>3707</v>
      </c>
      <c r="AA48" s="216">
        <f t="shared" ref="AA48:AC48" si="27">U48/R48%</f>
        <v>0.1048271630190223</v>
      </c>
      <c r="AB48" s="216">
        <f t="shared" si="27"/>
        <v>0.12264124648103242</v>
      </c>
      <c r="AC48" s="216">
        <f t="shared" si="27"/>
        <v>0.1133499579938391</v>
      </c>
      <c r="AD48" s="216">
        <f>X48/R48%</f>
        <v>4.9805686234403765</v>
      </c>
      <c r="AE48" s="216">
        <f>Y48/S48%</f>
        <v>4.9028625581849097</v>
      </c>
      <c r="AF48" s="216">
        <f>Z48/T48%</f>
        <v>4.9433916974489591</v>
      </c>
    </row>
    <row r="49" spans="1:32" ht="28.5">
      <c r="A49" s="239">
        <v>4</v>
      </c>
      <c r="B49" s="53" t="s">
        <v>281</v>
      </c>
      <c r="C49" s="225"/>
      <c r="D49" s="225"/>
      <c r="E49" s="212"/>
      <c r="F49" s="225"/>
      <c r="G49" s="225"/>
      <c r="H49" s="212"/>
      <c r="I49" s="225"/>
      <c r="J49" s="225"/>
      <c r="K49" s="212"/>
      <c r="L49" s="225"/>
      <c r="M49" s="225"/>
      <c r="N49" s="212"/>
      <c r="O49" s="225"/>
      <c r="P49" s="225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28"/>
      <c r="AB49" s="228"/>
      <c r="AC49" s="228"/>
      <c r="AD49" s="228"/>
      <c r="AE49" s="228"/>
      <c r="AF49" s="228"/>
    </row>
    <row r="50" spans="1:32">
      <c r="A50" s="239">
        <v>5</v>
      </c>
      <c r="B50" s="53" t="s">
        <v>282</v>
      </c>
      <c r="C50" s="31">
        <v>22522</v>
      </c>
      <c r="D50" s="31">
        <v>20681</v>
      </c>
      <c r="E50" s="227">
        <f t="shared" ref="E50:E51" si="28">C50+D50</f>
        <v>43203</v>
      </c>
      <c r="F50" s="31">
        <f>9467+4493</f>
        <v>13960</v>
      </c>
      <c r="G50" s="31">
        <f>11750+5133</f>
        <v>16883</v>
      </c>
      <c r="H50" s="227">
        <f t="shared" ref="H50:H51" si="29">F50+G50</f>
        <v>30843</v>
      </c>
      <c r="I50" s="31"/>
      <c r="J50" s="31"/>
      <c r="K50" s="227"/>
      <c r="L50" s="31">
        <f>9467+4493</f>
        <v>13960</v>
      </c>
      <c r="M50" s="31">
        <f>11750+5133</f>
        <v>16883</v>
      </c>
      <c r="N50" s="227">
        <f t="shared" ref="N50:N51" si="30">L50+M50</f>
        <v>30843</v>
      </c>
      <c r="O50" s="236">
        <f t="shared" ref="O50" si="31">+L50/C50%</f>
        <v>61.983838025042182</v>
      </c>
      <c r="P50" s="236">
        <f t="shared" ref="P50" si="32">+M50/D50%</f>
        <v>81.635317441129544</v>
      </c>
      <c r="Q50" s="236">
        <f t="shared" ref="Q50" si="33">+N50/E50%</f>
        <v>71.390875633636554</v>
      </c>
      <c r="R50" s="170">
        <f t="shared" ref="R50:T51" si="34">F50</f>
        <v>13960</v>
      </c>
      <c r="S50" s="170">
        <f t="shared" si="34"/>
        <v>16883</v>
      </c>
      <c r="T50" s="227">
        <f t="shared" si="34"/>
        <v>30843</v>
      </c>
      <c r="U50" s="212"/>
      <c r="V50" s="212"/>
      <c r="W50" s="212"/>
      <c r="X50" s="212"/>
      <c r="Y50" s="212"/>
      <c r="Z50" s="212"/>
      <c r="AA50" s="228"/>
      <c r="AB50" s="228"/>
      <c r="AC50" s="228"/>
      <c r="AD50" s="228"/>
      <c r="AE50" s="228"/>
      <c r="AF50" s="228"/>
    </row>
    <row r="51" spans="1:32" ht="28.5">
      <c r="A51" s="242">
        <v>6</v>
      </c>
      <c r="B51" s="210" t="s">
        <v>255</v>
      </c>
      <c r="C51" s="188">
        <f>8555+1339+487+39+6987+1097+395+27</f>
        <v>18926</v>
      </c>
      <c r="D51" s="188">
        <f>9263+1393+526+10843+1578+673+24</f>
        <v>24300</v>
      </c>
      <c r="E51" s="227">
        <f t="shared" si="28"/>
        <v>43226</v>
      </c>
      <c r="F51" s="188">
        <f>2059+302+88+13+1791+242+59+5</f>
        <v>4559</v>
      </c>
      <c r="G51" s="188">
        <f>2796+373+95+4+3117+366+136+9</f>
        <v>6896</v>
      </c>
      <c r="H51" s="227">
        <f t="shared" si="29"/>
        <v>11455</v>
      </c>
      <c r="I51" s="188"/>
      <c r="J51" s="188"/>
      <c r="K51" s="170"/>
      <c r="L51" s="188">
        <f>2059+302+88+13+1791+242+59+5</f>
        <v>4559</v>
      </c>
      <c r="M51" s="188">
        <f>2796+373+95+4+3117+366+136+9</f>
        <v>6896</v>
      </c>
      <c r="N51" s="227">
        <f t="shared" si="30"/>
        <v>11455</v>
      </c>
      <c r="O51" s="236">
        <f t="shared" ref="O51" si="35">+L51/C51%</f>
        <v>24.088555426397548</v>
      </c>
      <c r="P51" s="236">
        <f t="shared" ref="P51" si="36">+M51/D51%</f>
        <v>28.378600823045268</v>
      </c>
      <c r="Q51" s="236">
        <f t="shared" ref="Q51" si="37">+N51/E51%</f>
        <v>26.500254476472495</v>
      </c>
      <c r="R51" s="170">
        <f t="shared" si="34"/>
        <v>4559</v>
      </c>
      <c r="S51" s="170">
        <f t="shared" si="34"/>
        <v>6896</v>
      </c>
      <c r="T51" s="227">
        <f t="shared" si="34"/>
        <v>11455</v>
      </c>
      <c r="U51" s="212"/>
      <c r="V51" s="212"/>
      <c r="W51" s="212"/>
      <c r="X51" s="213">
        <f>179+13+2+86+7+1</f>
        <v>288</v>
      </c>
      <c r="Y51" s="213">
        <f>116+9+281+24+1</f>
        <v>431</v>
      </c>
      <c r="Z51" s="227">
        <f t="shared" ref="Z51" si="38">X51+Y51</f>
        <v>719</v>
      </c>
      <c r="AA51" s="228"/>
      <c r="AB51" s="228"/>
      <c r="AC51" s="228"/>
      <c r="AD51" s="216">
        <f>X51/R51%</f>
        <v>6.3171748190392627</v>
      </c>
      <c r="AE51" s="216">
        <f>Y51/S51%</f>
        <v>6.2500000000000009</v>
      </c>
      <c r="AF51" s="216">
        <f>Z51/T51%</f>
        <v>6.2767350501964208</v>
      </c>
    </row>
    <row r="52" spans="1:32">
      <c r="A52" s="482" t="s">
        <v>3</v>
      </c>
      <c r="B52" s="482"/>
      <c r="C52" s="217">
        <f t="shared" ref="C52:L52" si="39">SUM(C9:C51)</f>
        <v>10292567</v>
      </c>
      <c r="D52" s="217">
        <f t="shared" si="39"/>
        <v>8865570</v>
      </c>
      <c r="E52" s="217">
        <f t="shared" si="39"/>
        <v>19158137</v>
      </c>
      <c r="F52" s="217">
        <f t="shared" si="39"/>
        <v>7763058</v>
      </c>
      <c r="G52" s="217">
        <f t="shared" si="39"/>
        <v>6967588</v>
      </c>
      <c r="H52" s="217">
        <f t="shared" si="39"/>
        <v>14730646</v>
      </c>
      <c r="I52" s="217">
        <f t="shared" si="39"/>
        <v>205108</v>
      </c>
      <c r="J52" s="217">
        <f t="shared" si="39"/>
        <v>169201</v>
      </c>
      <c r="K52" s="217">
        <f t="shared" si="39"/>
        <v>374309</v>
      </c>
      <c r="L52" s="217">
        <f t="shared" si="39"/>
        <v>7968166</v>
      </c>
      <c r="M52" s="217">
        <f t="shared" ref="M52:N52" si="40">SUM(M9:M51)</f>
        <v>7136789</v>
      </c>
      <c r="N52" s="217">
        <f t="shared" si="40"/>
        <v>15104955</v>
      </c>
      <c r="O52" s="218">
        <f t="shared" ref="O52:Q52" si="41">+L52/C52%</f>
        <v>77.41670275257863</v>
      </c>
      <c r="P52" s="218">
        <f t="shared" si="41"/>
        <v>80.500058089891567</v>
      </c>
      <c r="Q52" s="218">
        <f t="shared" si="41"/>
        <v>78.843548305349316</v>
      </c>
      <c r="R52" s="217">
        <f t="shared" ref="R52:Z52" si="42">SUM(R9:R51)</f>
        <v>7968166</v>
      </c>
      <c r="S52" s="217">
        <f t="shared" si="42"/>
        <v>7136789</v>
      </c>
      <c r="T52" s="217">
        <f t="shared" si="42"/>
        <v>15104955</v>
      </c>
      <c r="U52" s="217">
        <f t="shared" si="42"/>
        <v>948823</v>
      </c>
      <c r="V52" s="217">
        <f t="shared" si="42"/>
        <v>1108229</v>
      </c>
      <c r="W52" s="217">
        <f t="shared" si="42"/>
        <v>2057052</v>
      </c>
      <c r="X52" s="217">
        <f t="shared" si="42"/>
        <v>2008843</v>
      </c>
      <c r="Y52" s="217">
        <f t="shared" si="42"/>
        <v>1905625</v>
      </c>
      <c r="Z52" s="217">
        <f t="shared" si="42"/>
        <v>3914468</v>
      </c>
      <c r="AA52" s="219">
        <f>+U52/R52%</f>
        <v>11.907671100225572</v>
      </c>
      <c r="AB52" s="219">
        <f t="shared" ref="AB52:AC52" si="43">+V52/S52%</f>
        <v>15.52839799523287</v>
      </c>
      <c r="AC52" s="219">
        <f t="shared" si="43"/>
        <v>13.618392110403507</v>
      </c>
      <c r="AD52" s="219">
        <f>+X52/R52%</f>
        <v>25.210857805924224</v>
      </c>
      <c r="AE52" s="219">
        <f t="shared" ref="AE52:AF52" si="44">+Y52/S52%</f>
        <v>26.701433936186149</v>
      </c>
      <c r="AF52" s="219">
        <f t="shared" si="44"/>
        <v>25.915125202292892</v>
      </c>
    </row>
    <row r="53" spans="1:32">
      <c r="A53" s="204"/>
      <c r="B53" s="144"/>
      <c r="C53" s="479" t="s">
        <v>278</v>
      </c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79"/>
      <c r="O53" s="479"/>
      <c r="P53" s="479"/>
      <c r="Q53" s="479"/>
      <c r="R53" s="479" t="s">
        <v>278</v>
      </c>
      <c r="S53" s="479"/>
      <c r="T53" s="479"/>
      <c r="U53" s="479"/>
      <c r="V53" s="479"/>
      <c r="W53" s="479"/>
      <c r="X53" s="479"/>
      <c r="Y53" s="479"/>
      <c r="Z53" s="479"/>
      <c r="AA53" s="479"/>
      <c r="AB53" s="479"/>
      <c r="AC53" s="479"/>
      <c r="AD53" s="479"/>
      <c r="AE53" s="479"/>
      <c r="AF53" s="479"/>
    </row>
    <row r="54" spans="1:32">
      <c r="A54" s="204"/>
      <c r="B54" s="144"/>
      <c r="C54" s="479" t="s">
        <v>248</v>
      </c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 t="s">
        <v>248</v>
      </c>
      <c r="S54" s="479"/>
      <c r="T54" s="479"/>
      <c r="U54" s="479"/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79"/>
    </row>
    <row r="55" spans="1:32">
      <c r="A55" s="204"/>
      <c r="B55" s="144"/>
      <c r="C55" s="479" t="s">
        <v>228</v>
      </c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 t="s">
        <v>228</v>
      </c>
      <c r="S55" s="479"/>
      <c r="T55" s="479"/>
      <c r="U55" s="479"/>
      <c r="V55" s="479"/>
      <c r="W55" s="479"/>
      <c r="X55" s="479"/>
      <c r="Y55" s="479"/>
      <c r="Z55" s="479"/>
      <c r="AA55" s="479"/>
      <c r="AB55" s="479"/>
      <c r="AC55" s="479"/>
      <c r="AD55" s="479"/>
      <c r="AE55" s="479"/>
      <c r="AF55" s="479"/>
    </row>
    <row r="56" spans="1:32">
      <c r="A56" s="204"/>
      <c r="B56" s="144"/>
      <c r="C56" s="344" t="s">
        <v>310</v>
      </c>
      <c r="D56" s="121"/>
      <c r="E56" s="121"/>
      <c r="F56" s="121"/>
      <c r="G56" s="121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344" t="s">
        <v>310</v>
      </c>
      <c r="S56" s="121"/>
      <c r="T56" s="121"/>
      <c r="U56" s="121"/>
      <c r="V56" s="121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</row>
    <row r="57" spans="1:32">
      <c r="A57" s="204"/>
      <c r="C57" s="342" t="s">
        <v>279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R57" s="342" t="s">
        <v>279</v>
      </c>
      <c r="S57" s="342"/>
      <c r="T57" s="342"/>
      <c r="U57" s="342"/>
      <c r="V57" s="342"/>
      <c r="W57" s="342"/>
      <c r="X57" s="342"/>
      <c r="Y57" s="342"/>
      <c r="Z57" s="342"/>
      <c r="AA57" s="342"/>
      <c r="AB57" s="342"/>
    </row>
    <row r="58" spans="1:32">
      <c r="A58" s="204"/>
      <c r="C58" s="368" t="s">
        <v>332</v>
      </c>
      <c r="D58" s="368"/>
      <c r="E58" s="368"/>
      <c r="F58" s="369" t="s">
        <v>333</v>
      </c>
      <c r="G58" s="368"/>
      <c r="H58" s="368"/>
      <c r="I58" s="368"/>
      <c r="R58" s="368" t="s">
        <v>332</v>
      </c>
      <c r="S58" s="368"/>
      <c r="T58" s="368"/>
      <c r="U58" s="369" t="s">
        <v>333</v>
      </c>
      <c r="V58" s="368"/>
      <c r="W58" s="368"/>
      <c r="X58" s="368"/>
    </row>
    <row r="59" spans="1:32">
      <c r="A59" s="204"/>
    </row>
    <row r="60" spans="1:32">
      <c r="A60" s="204"/>
    </row>
    <row r="61" spans="1:32">
      <c r="A61" s="204"/>
    </row>
    <row r="62" spans="1:32">
      <c r="A62" s="204"/>
    </row>
    <row r="63" spans="1:32">
      <c r="A63" s="204"/>
    </row>
    <row r="64" spans="1:32">
      <c r="A64" s="204"/>
    </row>
    <row r="65" spans="1:2">
      <c r="A65" s="204"/>
      <c r="B65" s="144"/>
    </row>
    <row r="66" spans="1:2">
      <c r="A66" s="204"/>
      <c r="B66" s="144"/>
    </row>
    <row r="67" spans="1:2">
      <c r="A67" s="204"/>
      <c r="B67" s="144"/>
    </row>
    <row r="68" spans="1:2">
      <c r="A68" s="204"/>
      <c r="B68" s="144"/>
    </row>
    <row r="69" spans="1:2">
      <c r="A69" s="204"/>
      <c r="B69" s="144"/>
    </row>
    <row r="70" spans="1:2">
      <c r="A70" s="204"/>
      <c r="B70" s="144"/>
    </row>
    <row r="71" spans="1:2">
      <c r="A71" s="204"/>
      <c r="B71" s="144"/>
    </row>
    <row r="72" spans="1:2">
      <c r="A72" s="204"/>
      <c r="B72" s="144"/>
    </row>
    <row r="73" spans="1:2">
      <c r="A73" s="204"/>
      <c r="B73" s="144"/>
    </row>
    <row r="74" spans="1:2">
      <c r="A74" s="204"/>
      <c r="B74" s="144"/>
    </row>
    <row r="75" spans="1:2">
      <c r="A75" s="204"/>
      <c r="B75" s="144"/>
    </row>
    <row r="76" spans="1:2">
      <c r="A76" s="204"/>
      <c r="B76" s="144"/>
    </row>
    <row r="77" spans="1:2">
      <c r="A77" s="204"/>
      <c r="B77" s="144"/>
    </row>
    <row r="78" spans="1:2">
      <c r="A78" s="204"/>
      <c r="B78" s="144"/>
    </row>
    <row r="79" spans="1:2">
      <c r="A79" s="204"/>
      <c r="B79" s="144"/>
    </row>
    <row r="80" spans="1:2">
      <c r="A80" s="204"/>
      <c r="B80" s="144"/>
    </row>
    <row r="81" spans="1:2">
      <c r="A81" s="204"/>
      <c r="B81" s="144"/>
    </row>
    <row r="82" spans="1:2">
      <c r="A82" s="204"/>
      <c r="B82" s="144"/>
    </row>
    <row r="83" spans="1:2">
      <c r="A83" s="204"/>
      <c r="B83" s="144"/>
    </row>
    <row r="84" spans="1:2">
      <c r="A84" s="204"/>
      <c r="B84" s="144"/>
    </row>
    <row r="85" spans="1:2">
      <c r="A85" s="204"/>
      <c r="B85" s="144"/>
    </row>
    <row r="86" spans="1:2">
      <c r="A86" s="204"/>
      <c r="B86" s="144"/>
    </row>
    <row r="87" spans="1:2">
      <c r="A87" s="204"/>
      <c r="B87" s="144"/>
    </row>
    <row r="88" spans="1:2">
      <c r="A88" s="204"/>
      <c r="B88" s="144"/>
    </row>
  </sheetData>
  <mergeCells count="46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Y45:Z45"/>
    <mergeCell ref="AA45:AB45"/>
    <mergeCell ref="AC45:AD45"/>
    <mergeCell ref="AE45:AF45"/>
    <mergeCell ref="M45:N45"/>
    <mergeCell ref="O45:P45"/>
    <mergeCell ref="Q45:R45"/>
    <mergeCell ref="S45:T45"/>
    <mergeCell ref="U45:V45"/>
    <mergeCell ref="W45:X45"/>
    <mergeCell ref="R55:AF55"/>
    <mergeCell ref="C55:Q55"/>
    <mergeCell ref="R54:AF54"/>
    <mergeCell ref="R53:AF53"/>
    <mergeCell ref="C54:Q54"/>
    <mergeCell ref="C53:Q53"/>
    <mergeCell ref="K45:L45"/>
    <mergeCell ref="A52:B52"/>
    <mergeCell ref="C45:D45"/>
    <mergeCell ref="E45:F45"/>
    <mergeCell ref="G45:H45"/>
    <mergeCell ref="I45:J45"/>
    <mergeCell ref="A45:B45"/>
  </mergeCells>
  <hyperlinks>
    <hyperlink ref="F58" r:id="rId1"/>
    <hyperlink ref="U58" r:id="rId2"/>
  </hyperlinks>
  <pageMargins left="0.23622047244094491" right="0.23622047244094491" top="0.74803149606299213" bottom="0.74803149606299213" header="0.31496062992125984" footer="0.31496062992125984"/>
  <pageSetup paperSize="9" scale="70" firstPageNumber="69" orientation="landscape" useFirstPageNumber="1" r:id="rId3"/>
  <headerFooter>
    <oddFooter>Page &amp;P</oddFooter>
  </headerFooter>
  <rowBreaks count="1" manualBreakCount="1">
    <brk id="31" max="16383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F93"/>
  <sheetViews>
    <sheetView view="pageBreakPreview" zoomScale="60" workbookViewId="0">
      <selection activeCell="R3" sqref="R3:T5"/>
    </sheetView>
  </sheetViews>
  <sheetFormatPr defaultRowHeight="15"/>
  <cols>
    <col min="1" max="1" width="9.28515625" bestFit="1" customWidth="1"/>
    <col min="2" max="2" width="35.85546875" customWidth="1"/>
    <col min="3" max="3" width="12.5703125" customWidth="1"/>
    <col min="4" max="4" width="12" bestFit="1" customWidth="1"/>
    <col min="5" max="5" width="13" bestFit="1" customWidth="1"/>
    <col min="6" max="7" width="12" bestFit="1" customWidth="1"/>
    <col min="8" max="8" width="11.7109375" bestFit="1" customWidth="1"/>
    <col min="9" max="9" width="10.5703125" bestFit="1" customWidth="1"/>
    <col min="10" max="10" width="10.140625" bestFit="1" customWidth="1"/>
    <col min="11" max="11" width="10.5703125" bestFit="1" customWidth="1"/>
    <col min="12" max="12" width="11.5703125" bestFit="1" customWidth="1"/>
    <col min="13" max="13" width="10.5703125" bestFit="1" customWidth="1"/>
    <col min="14" max="14" width="13" bestFit="1" customWidth="1"/>
    <col min="15" max="16" width="9.28515625" bestFit="1" customWidth="1"/>
    <col min="18" max="18" width="11.5703125" customWidth="1"/>
    <col min="19" max="19" width="10.28515625" bestFit="1" customWidth="1"/>
    <col min="20" max="20" width="11.5703125" bestFit="1" customWidth="1"/>
    <col min="22" max="26" width="10.28515625" bestFit="1" customWidth="1"/>
  </cols>
  <sheetData>
    <row r="1" spans="1:32" ht="18" customHeight="1">
      <c r="A1" s="144"/>
      <c r="B1" s="163"/>
      <c r="C1" s="450" t="s">
        <v>283</v>
      </c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157" t="s">
        <v>283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>
      <c r="A2" s="164"/>
      <c r="B2" s="243"/>
      <c r="C2" s="452" t="s">
        <v>337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146" t="s">
        <v>338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>
      <c r="A3" s="473" t="s">
        <v>192</v>
      </c>
      <c r="B3" s="511" t="s">
        <v>260</v>
      </c>
      <c r="C3" s="448" t="s">
        <v>188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510" t="s">
        <v>189</v>
      </c>
      <c r="P3" s="510"/>
      <c r="Q3" s="510"/>
      <c r="R3" s="489" t="s">
        <v>193</v>
      </c>
      <c r="S3" s="490"/>
      <c r="T3" s="491"/>
      <c r="U3" s="489" t="s">
        <v>194</v>
      </c>
      <c r="V3" s="490"/>
      <c r="W3" s="490"/>
      <c r="X3" s="490"/>
      <c r="Y3" s="490"/>
      <c r="Z3" s="491"/>
      <c r="AA3" s="489" t="s">
        <v>195</v>
      </c>
      <c r="AB3" s="490"/>
      <c r="AC3" s="490"/>
      <c r="AD3" s="490"/>
      <c r="AE3" s="490"/>
      <c r="AF3" s="491"/>
    </row>
    <row r="4" spans="1:32">
      <c r="A4" s="473"/>
      <c r="B4" s="448"/>
      <c r="C4" s="448" t="s">
        <v>5</v>
      </c>
      <c r="D4" s="448"/>
      <c r="E4" s="448"/>
      <c r="F4" s="448" t="s">
        <v>6</v>
      </c>
      <c r="G4" s="448"/>
      <c r="H4" s="448"/>
      <c r="I4" s="448"/>
      <c r="J4" s="448"/>
      <c r="K4" s="448"/>
      <c r="L4" s="448"/>
      <c r="M4" s="448"/>
      <c r="N4" s="448"/>
      <c r="O4" s="510"/>
      <c r="P4" s="510"/>
      <c r="Q4" s="510"/>
      <c r="R4" s="492"/>
      <c r="S4" s="493"/>
      <c r="T4" s="494"/>
      <c r="U4" s="495"/>
      <c r="V4" s="496"/>
      <c r="W4" s="496"/>
      <c r="X4" s="496"/>
      <c r="Y4" s="496"/>
      <c r="Z4" s="497"/>
      <c r="AA4" s="495"/>
      <c r="AB4" s="496"/>
      <c r="AC4" s="496"/>
      <c r="AD4" s="496"/>
      <c r="AE4" s="496"/>
      <c r="AF4" s="497"/>
    </row>
    <row r="5" spans="1:32" ht="15" customHeight="1">
      <c r="A5" s="473"/>
      <c r="B5" s="448"/>
      <c r="C5" s="448"/>
      <c r="D5" s="448"/>
      <c r="E5" s="448"/>
      <c r="F5" s="448" t="s">
        <v>51</v>
      </c>
      <c r="G5" s="448"/>
      <c r="H5" s="448"/>
      <c r="I5" s="448" t="s">
        <v>190</v>
      </c>
      <c r="J5" s="448"/>
      <c r="K5" s="448"/>
      <c r="L5" s="448" t="s">
        <v>262</v>
      </c>
      <c r="M5" s="448"/>
      <c r="N5" s="448"/>
      <c r="O5" s="510"/>
      <c r="P5" s="510"/>
      <c r="Q5" s="510"/>
      <c r="R5" s="495"/>
      <c r="S5" s="496"/>
      <c r="T5" s="497"/>
      <c r="U5" s="498" t="s">
        <v>229</v>
      </c>
      <c r="V5" s="499"/>
      <c r="W5" s="500"/>
      <c r="X5" s="498" t="s">
        <v>230</v>
      </c>
      <c r="Y5" s="499"/>
      <c r="Z5" s="500"/>
      <c r="AA5" s="498" t="s">
        <v>229</v>
      </c>
      <c r="AB5" s="499"/>
      <c r="AC5" s="500"/>
      <c r="AD5" s="498" t="s">
        <v>230</v>
      </c>
      <c r="AE5" s="499"/>
      <c r="AF5" s="500"/>
    </row>
    <row r="6" spans="1:32">
      <c r="A6" s="473"/>
      <c r="B6" s="448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244" t="s">
        <v>43</v>
      </c>
      <c r="P6" s="244" t="s">
        <v>44</v>
      </c>
      <c r="Q6" s="244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>
      <c r="A7" s="245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246">
        <v>15</v>
      </c>
      <c r="P7" s="246">
        <v>16</v>
      </c>
      <c r="Q7" s="246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>
      <c r="A8" s="457" t="s">
        <v>216</v>
      </c>
      <c r="B8" s="457"/>
      <c r="C8" s="488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5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7"/>
    </row>
    <row r="9" spans="1:32" ht="28.5">
      <c r="A9" s="247">
        <v>1</v>
      </c>
      <c r="B9" s="27" t="s">
        <v>143</v>
      </c>
      <c r="C9" s="250">
        <v>791561</v>
      </c>
      <c r="D9" s="250">
        <v>533686</v>
      </c>
      <c r="E9" s="250">
        <v>1325247</v>
      </c>
      <c r="F9" s="250">
        <v>781556</v>
      </c>
      <c r="G9" s="250">
        <v>528666</v>
      </c>
      <c r="H9" s="250">
        <v>1310222</v>
      </c>
      <c r="I9" s="250">
        <v>1851</v>
      </c>
      <c r="J9" s="250">
        <v>810</v>
      </c>
      <c r="K9" s="250">
        <v>2661</v>
      </c>
      <c r="L9" s="248">
        <v>783407</v>
      </c>
      <c r="M9" s="248">
        <v>529476</v>
      </c>
      <c r="N9" s="248">
        <v>1312883</v>
      </c>
      <c r="O9" s="249">
        <v>98.969883559195054</v>
      </c>
      <c r="P9" s="249">
        <v>99.211146629291378</v>
      </c>
      <c r="Q9" s="249">
        <v>99.067041842011335</v>
      </c>
      <c r="R9" s="180">
        <f t="shared" ref="R9:T10" si="0">L9</f>
        <v>783407</v>
      </c>
      <c r="S9" s="180">
        <f t="shared" si="0"/>
        <v>529476</v>
      </c>
      <c r="T9" s="180">
        <f t="shared" si="0"/>
        <v>1312883</v>
      </c>
      <c r="U9" s="108"/>
      <c r="V9" s="108"/>
      <c r="W9" s="108"/>
      <c r="X9" s="108"/>
      <c r="Y9" s="108"/>
      <c r="Z9" s="108"/>
      <c r="AA9" s="251"/>
      <c r="AB9" s="251"/>
      <c r="AC9" s="251"/>
      <c r="AD9" s="252"/>
      <c r="AE9" s="252"/>
      <c r="AF9" s="252"/>
    </row>
    <row r="10" spans="1:32" ht="28.5">
      <c r="A10" s="253">
        <v>2</v>
      </c>
      <c r="B10" s="27" t="s">
        <v>231</v>
      </c>
      <c r="C10" s="250">
        <v>82860</v>
      </c>
      <c r="D10" s="250">
        <v>66234</v>
      </c>
      <c r="E10" s="250">
        <v>149094</v>
      </c>
      <c r="F10" s="250">
        <v>81106</v>
      </c>
      <c r="G10" s="250">
        <v>65433</v>
      </c>
      <c r="H10" s="250">
        <v>146539</v>
      </c>
      <c r="I10" s="254"/>
      <c r="J10" s="254"/>
      <c r="K10" s="254"/>
      <c r="L10" s="248">
        <v>81106</v>
      </c>
      <c r="M10" s="248">
        <v>65433</v>
      </c>
      <c r="N10" s="248">
        <v>146539</v>
      </c>
      <c r="O10" s="249">
        <v>97.88317644219164</v>
      </c>
      <c r="P10" s="249">
        <v>98.790651327112968</v>
      </c>
      <c r="Q10" s="249">
        <v>98.286316015399677</v>
      </c>
      <c r="R10" s="180">
        <f t="shared" si="0"/>
        <v>81106</v>
      </c>
      <c r="S10" s="180">
        <f t="shared" si="0"/>
        <v>65433</v>
      </c>
      <c r="T10" s="180">
        <f t="shared" si="0"/>
        <v>146539</v>
      </c>
      <c r="U10" s="180">
        <v>43360</v>
      </c>
      <c r="V10" s="180">
        <v>40162</v>
      </c>
      <c r="W10" s="180">
        <f>U10+V10</f>
        <v>83522</v>
      </c>
      <c r="X10" s="180">
        <v>25652</v>
      </c>
      <c r="Y10" s="180">
        <v>18954</v>
      </c>
      <c r="Z10" s="180">
        <f>X10+Y10</f>
        <v>44606</v>
      </c>
      <c r="AA10" s="249">
        <f t="shared" ref="AA10:AC10" si="1">U10/R10%</f>
        <v>53.46090301580648</v>
      </c>
      <c r="AB10" s="249">
        <f t="shared" si="1"/>
        <v>61.378814971039077</v>
      </c>
      <c r="AC10" s="249">
        <f t="shared" si="1"/>
        <v>56.996430984243098</v>
      </c>
      <c r="AD10" s="255">
        <f t="shared" ref="AD10:AF10" si="2">X10/R10%</f>
        <v>31.627746405937909</v>
      </c>
      <c r="AE10" s="255">
        <f t="shared" si="2"/>
        <v>28.967034982348355</v>
      </c>
      <c r="AF10" s="255">
        <f t="shared" si="2"/>
        <v>30.439678174410904</v>
      </c>
    </row>
    <row r="11" spans="1:32">
      <c r="A11" s="506" t="s">
        <v>217</v>
      </c>
      <c r="B11" s="506"/>
      <c r="C11" s="507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9"/>
      <c r="R11" s="256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8"/>
    </row>
    <row r="12" spans="1:32" ht="28.5">
      <c r="A12" s="247">
        <v>3</v>
      </c>
      <c r="B12" s="43" t="s">
        <v>263</v>
      </c>
      <c r="C12" s="250">
        <v>336271</v>
      </c>
      <c r="D12" s="250">
        <v>296731</v>
      </c>
      <c r="E12" s="250">
        <v>633002</v>
      </c>
      <c r="F12" s="250">
        <v>286548</v>
      </c>
      <c r="G12" s="250">
        <v>263757</v>
      </c>
      <c r="H12" s="250">
        <v>550305</v>
      </c>
      <c r="I12" s="254"/>
      <c r="J12" s="254"/>
      <c r="K12" s="254"/>
      <c r="L12" s="248">
        <v>286548</v>
      </c>
      <c r="M12" s="248">
        <v>263757</v>
      </c>
      <c r="N12" s="250">
        <v>550305</v>
      </c>
      <c r="O12" s="249">
        <v>85.213414180824401</v>
      </c>
      <c r="P12" s="249">
        <v>88.887578311669486</v>
      </c>
      <c r="Q12" s="249">
        <v>86.935744278849043</v>
      </c>
      <c r="R12" s="180">
        <v>286548</v>
      </c>
      <c r="S12" s="180">
        <v>263757</v>
      </c>
      <c r="T12" s="180">
        <v>550305</v>
      </c>
      <c r="U12" s="180">
        <v>1997</v>
      </c>
      <c r="V12" s="180">
        <v>2025</v>
      </c>
      <c r="W12" s="180">
        <v>4022</v>
      </c>
      <c r="X12" s="180">
        <v>14910</v>
      </c>
      <c r="Y12" s="180">
        <v>8421</v>
      </c>
      <c r="Z12" s="180">
        <v>23331</v>
      </c>
      <c r="AA12" s="249">
        <v>0.69691639795077964</v>
      </c>
      <c r="AB12" s="249">
        <v>0.7677521354883472</v>
      </c>
      <c r="AC12" s="249">
        <v>0.73086742806261984</v>
      </c>
      <c r="AD12" s="255">
        <v>5.2033167218057708</v>
      </c>
      <c r="AE12" s="255">
        <v>3.1927114730604305</v>
      </c>
      <c r="AF12" s="255">
        <v>4.2396489219614573</v>
      </c>
    </row>
    <row r="13" spans="1:32" ht="28.5">
      <c r="A13" s="253">
        <v>4</v>
      </c>
      <c r="B13" s="43" t="s">
        <v>213</v>
      </c>
      <c r="C13" s="250">
        <v>310603</v>
      </c>
      <c r="D13" s="250">
        <v>271785</v>
      </c>
      <c r="E13" s="250">
        <v>582388</v>
      </c>
      <c r="F13" s="250">
        <v>230782</v>
      </c>
      <c r="G13" s="250">
        <v>221749</v>
      </c>
      <c r="H13" s="250">
        <v>452531</v>
      </c>
      <c r="I13" s="254"/>
      <c r="J13" s="254"/>
      <c r="K13" s="254"/>
      <c r="L13" s="248">
        <v>230782</v>
      </c>
      <c r="M13" s="248">
        <v>221749</v>
      </c>
      <c r="N13" s="250">
        <v>452531</v>
      </c>
      <c r="O13" s="249">
        <v>74.301278480890403</v>
      </c>
      <c r="P13" s="249">
        <v>81.589859631694168</v>
      </c>
      <c r="Q13" s="249">
        <v>77.702665576900614</v>
      </c>
      <c r="R13" s="180">
        <v>230782</v>
      </c>
      <c r="S13" s="180">
        <v>221749</v>
      </c>
      <c r="T13" s="180">
        <v>452531</v>
      </c>
      <c r="U13" s="108"/>
      <c r="V13" s="108"/>
      <c r="W13" s="108"/>
      <c r="X13" s="108"/>
      <c r="Y13" s="108"/>
      <c r="Z13" s="108"/>
      <c r="AA13" s="251"/>
      <c r="AB13" s="251"/>
      <c r="AC13" s="251"/>
      <c r="AD13" s="252"/>
      <c r="AE13" s="252"/>
      <c r="AF13" s="252"/>
    </row>
    <row r="14" spans="1:32">
      <c r="A14" s="247">
        <v>5</v>
      </c>
      <c r="B14" s="43" t="s">
        <v>264</v>
      </c>
      <c r="C14" s="250">
        <v>183527</v>
      </c>
      <c r="D14" s="250">
        <v>195504</v>
      </c>
      <c r="E14" s="250">
        <v>379031</v>
      </c>
      <c r="F14" s="250">
        <v>119915</v>
      </c>
      <c r="G14" s="250">
        <v>112883</v>
      </c>
      <c r="H14" s="250">
        <v>232798</v>
      </c>
      <c r="I14" s="254"/>
      <c r="J14" s="254"/>
      <c r="K14" s="254"/>
      <c r="L14" s="248">
        <v>119915</v>
      </c>
      <c r="M14" s="248">
        <v>112883</v>
      </c>
      <c r="N14" s="250">
        <v>232798</v>
      </c>
      <c r="O14" s="249">
        <v>65.339159905626971</v>
      </c>
      <c r="P14" s="249">
        <v>57.739483591128568</v>
      </c>
      <c r="Q14" s="249">
        <v>61.41925066815115</v>
      </c>
      <c r="R14" s="180">
        <v>119915</v>
      </c>
      <c r="S14" s="180">
        <v>112883</v>
      </c>
      <c r="T14" s="180">
        <v>232798</v>
      </c>
      <c r="U14" s="180">
        <v>6075</v>
      </c>
      <c r="V14" s="180">
        <v>5424</v>
      </c>
      <c r="W14" s="180">
        <v>11499</v>
      </c>
      <c r="X14" s="180">
        <v>21279</v>
      </c>
      <c r="Y14" s="180">
        <v>18268</v>
      </c>
      <c r="Z14" s="180">
        <v>39547</v>
      </c>
      <c r="AA14" s="249">
        <v>5.0660884793395322</v>
      </c>
      <c r="AB14" s="249">
        <v>4.8049750626755143</v>
      </c>
      <c r="AC14" s="249">
        <v>4.9394754250466066</v>
      </c>
      <c r="AD14" s="255">
        <v>17.745069424175455</v>
      </c>
      <c r="AE14" s="255">
        <v>16.183127663155659</v>
      </c>
      <c r="AF14" s="255">
        <v>16.987688897670942</v>
      </c>
    </row>
    <row r="15" spans="1:32">
      <c r="A15" s="253">
        <v>6</v>
      </c>
      <c r="B15" s="43" t="s">
        <v>265</v>
      </c>
      <c r="C15" s="250">
        <v>8180</v>
      </c>
      <c r="D15" s="250">
        <v>5759</v>
      </c>
      <c r="E15" s="250">
        <v>13939</v>
      </c>
      <c r="F15" s="250">
        <v>4975</v>
      </c>
      <c r="G15" s="250">
        <v>4140</v>
      </c>
      <c r="H15" s="250">
        <v>9115</v>
      </c>
      <c r="I15" s="254"/>
      <c r="J15" s="254"/>
      <c r="K15" s="254"/>
      <c r="L15" s="248">
        <v>4975</v>
      </c>
      <c r="M15" s="248">
        <v>4140</v>
      </c>
      <c r="N15" s="250">
        <v>9115</v>
      </c>
      <c r="O15" s="249">
        <v>60.819070904645478</v>
      </c>
      <c r="P15" s="249">
        <v>71.887480465358564</v>
      </c>
      <c r="Q15" s="249">
        <v>65.392065427936004</v>
      </c>
      <c r="R15" s="180">
        <v>4975</v>
      </c>
      <c r="S15" s="180">
        <v>4140</v>
      </c>
      <c r="T15" s="180">
        <v>9115</v>
      </c>
      <c r="U15" s="108"/>
      <c r="V15" s="108"/>
      <c r="W15" s="108"/>
      <c r="X15" s="108"/>
      <c r="Y15" s="108"/>
      <c r="Z15" s="108"/>
      <c r="AA15" s="251"/>
      <c r="AB15" s="251"/>
      <c r="AC15" s="251"/>
      <c r="AD15" s="252"/>
      <c r="AE15" s="252"/>
      <c r="AF15" s="252"/>
    </row>
    <row r="16" spans="1:32">
      <c r="A16" s="247">
        <v>7</v>
      </c>
      <c r="B16" s="43" t="s">
        <v>266</v>
      </c>
      <c r="C16" s="250">
        <v>27</v>
      </c>
      <c r="D16" s="250">
        <v>171</v>
      </c>
      <c r="E16" s="250">
        <v>198</v>
      </c>
      <c r="F16" s="250">
        <v>26</v>
      </c>
      <c r="G16" s="250">
        <v>159</v>
      </c>
      <c r="H16" s="250">
        <v>185</v>
      </c>
      <c r="I16" s="250">
        <v>0</v>
      </c>
      <c r="J16" s="250">
        <v>8</v>
      </c>
      <c r="K16" s="250">
        <v>8</v>
      </c>
      <c r="L16" s="248">
        <v>26</v>
      </c>
      <c r="M16" s="248">
        <v>167</v>
      </c>
      <c r="N16" s="250">
        <v>193</v>
      </c>
      <c r="O16" s="249">
        <v>96.296296296296291</v>
      </c>
      <c r="P16" s="249">
        <v>97.660818713450297</v>
      </c>
      <c r="Q16" s="249">
        <v>97.474747474747474</v>
      </c>
      <c r="R16" s="180">
        <v>26</v>
      </c>
      <c r="S16" s="180">
        <v>167</v>
      </c>
      <c r="T16" s="180">
        <v>193</v>
      </c>
      <c r="U16" s="180">
        <v>7</v>
      </c>
      <c r="V16" s="180">
        <v>81</v>
      </c>
      <c r="W16" s="180">
        <v>88</v>
      </c>
      <c r="X16" s="180">
        <v>11</v>
      </c>
      <c r="Y16" s="180">
        <v>54</v>
      </c>
      <c r="Z16" s="180">
        <v>65</v>
      </c>
      <c r="AA16" s="249">
        <v>26.923076923076923</v>
      </c>
      <c r="AB16" s="249">
        <v>48.50299401197605</v>
      </c>
      <c r="AC16" s="249">
        <v>45.595854922279791</v>
      </c>
      <c r="AD16" s="255">
        <v>42.307692307692307</v>
      </c>
      <c r="AE16" s="255">
        <v>32.335329341317369</v>
      </c>
      <c r="AF16" s="255">
        <v>33.678756476683937</v>
      </c>
    </row>
    <row r="17" spans="1:32">
      <c r="A17" s="253">
        <v>8</v>
      </c>
      <c r="B17" s="43" t="s">
        <v>138</v>
      </c>
      <c r="C17" s="250">
        <v>640094</v>
      </c>
      <c r="D17" s="250">
        <v>541838</v>
      </c>
      <c r="E17" s="250">
        <v>1181932</v>
      </c>
      <c r="F17" s="250">
        <v>509647</v>
      </c>
      <c r="G17" s="250">
        <v>401338</v>
      </c>
      <c r="H17" s="250">
        <v>910985</v>
      </c>
      <c r="I17" s="227">
        <v>18914</v>
      </c>
      <c r="J17" s="250">
        <v>26869</v>
      </c>
      <c r="K17" s="250">
        <v>45783</v>
      </c>
      <c r="L17" s="248">
        <v>528561</v>
      </c>
      <c r="M17" s="248">
        <v>428207</v>
      </c>
      <c r="N17" s="250">
        <v>956768</v>
      </c>
      <c r="O17" s="249">
        <v>82.575527969329514</v>
      </c>
      <c r="P17" s="249">
        <v>79.028602645071032</v>
      </c>
      <c r="Q17" s="249">
        <v>80.949496248515146</v>
      </c>
      <c r="R17" s="180">
        <v>528561</v>
      </c>
      <c r="S17" s="180">
        <v>428207</v>
      </c>
      <c r="T17" s="180">
        <v>956768</v>
      </c>
      <c r="U17" s="180">
        <v>5547</v>
      </c>
      <c r="V17" s="180">
        <v>2644</v>
      </c>
      <c r="W17" s="180">
        <v>8191</v>
      </c>
      <c r="X17" s="180">
        <v>135569</v>
      </c>
      <c r="Y17" s="180">
        <v>89030</v>
      </c>
      <c r="Z17" s="180">
        <v>224599</v>
      </c>
      <c r="AA17" s="249">
        <v>1.0494531378592065</v>
      </c>
      <c r="AB17" s="249">
        <v>0.61745837877475152</v>
      </c>
      <c r="AC17" s="249">
        <v>0.85611140840830791</v>
      </c>
      <c r="AD17" s="255">
        <v>25.64869523101402</v>
      </c>
      <c r="AE17" s="255">
        <v>20.791346241420623</v>
      </c>
      <c r="AF17" s="255">
        <v>23.474760861567276</v>
      </c>
    </row>
    <row r="18" spans="1:32">
      <c r="A18" s="247">
        <v>9</v>
      </c>
      <c r="B18" s="43" t="s">
        <v>267</v>
      </c>
      <c r="C18" s="250">
        <v>27086</v>
      </c>
      <c r="D18" s="250">
        <v>47562</v>
      </c>
      <c r="E18" s="250">
        <v>74648</v>
      </c>
      <c r="F18" s="250">
        <v>23692</v>
      </c>
      <c r="G18" s="250">
        <v>43772</v>
      </c>
      <c r="H18" s="250">
        <v>67464</v>
      </c>
      <c r="I18" s="254"/>
      <c r="J18" s="254"/>
      <c r="K18" s="254"/>
      <c r="L18" s="248">
        <v>23692</v>
      </c>
      <c r="M18" s="248">
        <v>43772</v>
      </c>
      <c r="N18" s="250">
        <v>67464</v>
      </c>
      <c r="O18" s="249">
        <v>87.469541460533122</v>
      </c>
      <c r="P18" s="249">
        <v>92.031453681510442</v>
      </c>
      <c r="Q18" s="249">
        <v>90.376165469938911</v>
      </c>
      <c r="R18" s="180">
        <v>23692</v>
      </c>
      <c r="S18" s="180">
        <v>43772</v>
      </c>
      <c r="T18" s="180">
        <v>67464</v>
      </c>
      <c r="U18" s="180">
        <v>1766</v>
      </c>
      <c r="V18" s="180">
        <v>3184</v>
      </c>
      <c r="W18" s="180">
        <v>4950</v>
      </c>
      <c r="X18" s="180">
        <v>15895</v>
      </c>
      <c r="Y18" s="180">
        <v>28656</v>
      </c>
      <c r="Z18" s="180">
        <v>44551</v>
      </c>
      <c r="AA18" s="249">
        <v>7.4539929089988188</v>
      </c>
      <c r="AB18" s="249">
        <v>7.2740564744585576</v>
      </c>
      <c r="AC18" s="249">
        <v>7.3372465314834576</v>
      </c>
      <c r="AD18" s="255">
        <v>67.090157015026179</v>
      </c>
      <c r="AE18" s="255">
        <v>65.466508270127022</v>
      </c>
      <c r="AF18" s="255">
        <v>66.036701055377691</v>
      </c>
    </row>
    <row r="19" spans="1:32" ht="28.5">
      <c r="A19" s="247">
        <v>10</v>
      </c>
      <c r="B19" s="43" t="s">
        <v>145</v>
      </c>
      <c r="C19" s="250">
        <v>216396</v>
      </c>
      <c r="D19" s="250">
        <v>223899</v>
      </c>
      <c r="E19" s="250">
        <v>440295</v>
      </c>
      <c r="F19" s="250">
        <v>113736</v>
      </c>
      <c r="G19" s="250">
        <v>120456</v>
      </c>
      <c r="H19" s="250">
        <v>234192</v>
      </c>
      <c r="I19" s="250">
        <v>5767</v>
      </c>
      <c r="J19" s="250">
        <v>7005</v>
      </c>
      <c r="K19" s="250">
        <v>12772</v>
      </c>
      <c r="L19" s="180">
        <v>119503</v>
      </c>
      <c r="M19" s="180">
        <v>127461</v>
      </c>
      <c r="N19" s="250">
        <v>246964</v>
      </c>
      <c r="O19" s="249">
        <v>55.224218562265484</v>
      </c>
      <c r="P19" s="249">
        <v>56.927900526576714</v>
      </c>
      <c r="Q19" s="249">
        <v>56.090575636788977</v>
      </c>
      <c r="R19" s="180">
        <v>119503</v>
      </c>
      <c r="S19" s="180">
        <v>127461</v>
      </c>
      <c r="T19" s="180">
        <v>246964</v>
      </c>
      <c r="U19" s="180">
        <v>4394</v>
      </c>
      <c r="V19" s="180">
        <v>4134</v>
      </c>
      <c r="W19" s="180">
        <v>8528</v>
      </c>
      <c r="X19" s="180">
        <v>11494</v>
      </c>
      <c r="Y19" s="180">
        <v>11646</v>
      </c>
      <c r="Z19" s="180">
        <v>23140</v>
      </c>
      <c r="AA19" s="249">
        <v>3.6768951407077646</v>
      </c>
      <c r="AB19" s="249">
        <v>3.2433450231835623</v>
      </c>
      <c r="AC19" s="249">
        <v>3.453134869859575</v>
      </c>
      <c r="AD19" s="255">
        <v>9.6181685815418856</v>
      </c>
      <c r="AE19" s="255">
        <v>9.1369124673429525</v>
      </c>
      <c r="AF19" s="255">
        <v>9.3697866895579924</v>
      </c>
    </row>
    <row r="20" spans="1:32">
      <c r="A20" s="253">
        <v>11</v>
      </c>
      <c r="B20" s="43" t="s">
        <v>268</v>
      </c>
      <c r="C20" s="250">
        <v>75</v>
      </c>
      <c r="D20" s="250">
        <v>65</v>
      </c>
      <c r="E20" s="250">
        <v>140</v>
      </c>
      <c r="F20" s="250">
        <v>24</v>
      </c>
      <c r="G20" s="250">
        <v>36</v>
      </c>
      <c r="H20" s="250">
        <v>60</v>
      </c>
      <c r="I20" s="254"/>
      <c r="J20" s="254"/>
      <c r="K20" s="254"/>
      <c r="L20" s="180">
        <v>24</v>
      </c>
      <c r="M20" s="180">
        <v>36</v>
      </c>
      <c r="N20" s="250">
        <v>60</v>
      </c>
      <c r="O20" s="249">
        <v>32</v>
      </c>
      <c r="P20" s="249">
        <v>55.384615384615387</v>
      </c>
      <c r="Q20" s="249">
        <v>42.857142857142854</v>
      </c>
      <c r="R20" s="180">
        <v>24</v>
      </c>
      <c r="S20" s="180">
        <v>36</v>
      </c>
      <c r="T20" s="180">
        <v>60</v>
      </c>
      <c r="U20" s="180">
        <v>1</v>
      </c>
      <c r="V20" s="180">
        <v>0</v>
      </c>
      <c r="W20" s="180">
        <v>1</v>
      </c>
      <c r="X20" s="180">
        <v>1</v>
      </c>
      <c r="Y20" s="180">
        <v>4</v>
      </c>
      <c r="Z20" s="180">
        <v>5</v>
      </c>
      <c r="AA20" s="249">
        <v>4.166666666666667</v>
      </c>
      <c r="AB20" s="249">
        <v>0</v>
      </c>
      <c r="AC20" s="249">
        <v>1.6666666666666667</v>
      </c>
      <c r="AD20" s="255">
        <v>4.166666666666667</v>
      </c>
      <c r="AE20" s="255">
        <v>11.111111111111111</v>
      </c>
      <c r="AF20" s="255">
        <v>8.3333333333333339</v>
      </c>
    </row>
    <row r="21" spans="1:32" ht="28.5">
      <c r="A21" s="247">
        <v>12</v>
      </c>
      <c r="B21" s="43" t="s">
        <v>144</v>
      </c>
      <c r="C21" s="250">
        <v>331</v>
      </c>
      <c r="D21" s="250">
        <v>247</v>
      </c>
      <c r="E21" s="250">
        <v>578</v>
      </c>
      <c r="F21" s="250">
        <v>265</v>
      </c>
      <c r="G21" s="250">
        <v>199</v>
      </c>
      <c r="H21" s="250">
        <v>464</v>
      </c>
      <c r="I21" s="250">
        <v>31</v>
      </c>
      <c r="J21" s="250">
        <v>18</v>
      </c>
      <c r="K21" s="250">
        <v>49</v>
      </c>
      <c r="L21" s="248">
        <v>296</v>
      </c>
      <c r="M21" s="248">
        <v>217</v>
      </c>
      <c r="N21" s="250">
        <v>513</v>
      </c>
      <c r="O21" s="249">
        <v>89.42598187311178</v>
      </c>
      <c r="P21" s="249">
        <v>87.854251012145738</v>
      </c>
      <c r="Q21" s="249">
        <v>88.754325259515582</v>
      </c>
      <c r="R21" s="180">
        <v>296</v>
      </c>
      <c r="S21" s="180">
        <v>217</v>
      </c>
      <c r="T21" s="180">
        <v>513</v>
      </c>
      <c r="U21" s="108"/>
      <c r="V21" s="108"/>
      <c r="W21" s="108"/>
      <c r="X21" s="180">
        <v>37</v>
      </c>
      <c r="Y21" s="180">
        <v>32</v>
      </c>
      <c r="Z21" s="180">
        <v>69</v>
      </c>
      <c r="AA21" s="251"/>
      <c r="AB21" s="251"/>
      <c r="AC21" s="251"/>
      <c r="AD21" s="255">
        <v>12.5</v>
      </c>
      <c r="AE21" s="255">
        <v>14.746543778801843</v>
      </c>
      <c r="AF21" s="255">
        <v>13.450292397660819</v>
      </c>
    </row>
    <row r="22" spans="1:32" ht="28.5">
      <c r="A22" s="253">
        <v>13</v>
      </c>
      <c r="B22" s="43" t="s">
        <v>148</v>
      </c>
      <c r="C22" s="250">
        <v>10115</v>
      </c>
      <c r="D22" s="250">
        <v>9847</v>
      </c>
      <c r="E22" s="250">
        <v>19962</v>
      </c>
      <c r="F22" s="250">
        <v>7846</v>
      </c>
      <c r="G22" s="250">
        <v>7798</v>
      </c>
      <c r="H22" s="250">
        <v>15644</v>
      </c>
      <c r="I22" s="250">
        <v>587</v>
      </c>
      <c r="J22" s="250">
        <v>570</v>
      </c>
      <c r="K22" s="250">
        <v>1157</v>
      </c>
      <c r="L22" s="248">
        <v>8433</v>
      </c>
      <c r="M22" s="248">
        <v>8368</v>
      </c>
      <c r="N22" s="250">
        <v>16801</v>
      </c>
      <c r="O22" s="249">
        <v>83.371230845279285</v>
      </c>
      <c r="P22" s="249">
        <v>84.980197014319074</v>
      </c>
      <c r="Q22" s="249">
        <v>84.164913335337147</v>
      </c>
      <c r="R22" s="180">
        <v>8433</v>
      </c>
      <c r="S22" s="180">
        <v>8368</v>
      </c>
      <c r="T22" s="180">
        <v>16801</v>
      </c>
      <c r="U22" s="180">
        <v>1189</v>
      </c>
      <c r="V22" s="180">
        <v>1867</v>
      </c>
      <c r="W22" s="180">
        <v>3056</v>
      </c>
      <c r="X22" s="180">
        <v>2400</v>
      </c>
      <c r="Y22" s="180">
        <v>3009</v>
      </c>
      <c r="Z22" s="180">
        <v>5409</v>
      </c>
      <c r="AA22" s="249">
        <v>14.099371516660739</v>
      </c>
      <c r="AB22" s="249">
        <v>22.311185468451242</v>
      </c>
      <c r="AC22" s="249">
        <v>18.189393488482828</v>
      </c>
      <c r="AD22" s="255">
        <v>28.459622909996444</v>
      </c>
      <c r="AE22" s="255">
        <v>35.958413001912042</v>
      </c>
      <c r="AF22" s="255">
        <v>32.194512231414798</v>
      </c>
    </row>
    <row r="23" spans="1:32" ht="28.5">
      <c r="A23" s="247">
        <v>14</v>
      </c>
      <c r="B23" s="43" t="s">
        <v>149</v>
      </c>
      <c r="C23" s="250">
        <v>494147</v>
      </c>
      <c r="D23" s="250">
        <v>317855</v>
      </c>
      <c r="E23" s="250">
        <v>812002</v>
      </c>
      <c r="F23" s="250">
        <v>329873</v>
      </c>
      <c r="G23" s="250">
        <v>241368</v>
      </c>
      <c r="H23" s="250">
        <v>571241</v>
      </c>
      <c r="I23" s="250">
        <v>18665</v>
      </c>
      <c r="J23" s="250">
        <v>9315</v>
      </c>
      <c r="K23" s="250">
        <v>27980</v>
      </c>
      <c r="L23" s="248">
        <v>348538</v>
      </c>
      <c r="M23" s="248">
        <v>250683</v>
      </c>
      <c r="N23" s="250">
        <v>599221</v>
      </c>
      <c r="O23" s="249">
        <v>70.533262369294974</v>
      </c>
      <c r="P23" s="249">
        <v>78.867093486023492</v>
      </c>
      <c r="Q23" s="249">
        <v>73.795507892837691</v>
      </c>
      <c r="R23" s="180">
        <v>348538</v>
      </c>
      <c r="S23" s="180">
        <v>250683</v>
      </c>
      <c r="T23" s="180">
        <v>599221</v>
      </c>
      <c r="U23" s="180">
        <v>45904</v>
      </c>
      <c r="V23" s="180">
        <v>38424</v>
      </c>
      <c r="W23" s="180">
        <v>84328</v>
      </c>
      <c r="X23" s="180">
        <v>132021</v>
      </c>
      <c r="Y23" s="180">
        <v>105783</v>
      </c>
      <c r="Z23" s="180">
        <v>237804</v>
      </c>
      <c r="AA23" s="249">
        <v>13.170443394981321</v>
      </c>
      <c r="AB23" s="249">
        <v>15.327724656239155</v>
      </c>
      <c r="AC23" s="249">
        <v>14.072938031210521</v>
      </c>
      <c r="AD23" s="255">
        <v>37.87850966035267</v>
      </c>
      <c r="AE23" s="255">
        <v>42.197915295412933</v>
      </c>
      <c r="AF23" s="255">
        <v>39.685525040010283</v>
      </c>
    </row>
    <row r="24" spans="1:32">
      <c r="A24" s="253">
        <v>15</v>
      </c>
      <c r="B24" s="27" t="s">
        <v>284</v>
      </c>
      <c r="C24" s="250">
        <v>225605</v>
      </c>
      <c r="D24" s="250">
        <v>177529</v>
      </c>
      <c r="E24" s="250">
        <v>403134</v>
      </c>
      <c r="F24" s="250">
        <v>131342</v>
      </c>
      <c r="G24" s="250">
        <v>111145</v>
      </c>
      <c r="H24" s="250">
        <v>242487</v>
      </c>
      <c r="I24" s="250">
        <v>18601</v>
      </c>
      <c r="J24" s="250">
        <v>11626</v>
      </c>
      <c r="K24" s="250">
        <v>30227</v>
      </c>
      <c r="L24" s="248">
        <v>149943</v>
      </c>
      <c r="M24" s="248">
        <v>122771</v>
      </c>
      <c r="N24" s="250">
        <v>272714</v>
      </c>
      <c r="O24" s="249">
        <v>66.462622725560166</v>
      </c>
      <c r="P24" s="249">
        <v>69.155461924530641</v>
      </c>
      <c r="Q24" s="249">
        <v>67.648474204606899</v>
      </c>
      <c r="R24" s="32">
        <f t="shared" ref="R24:T24" si="3">L24</f>
        <v>149943</v>
      </c>
      <c r="S24" s="180">
        <f t="shared" si="3"/>
        <v>122771</v>
      </c>
      <c r="T24" s="180">
        <f t="shared" si="3"/>
        <v>272714</v>
      </c>
      <c r="U24" s="180">
        <v>4539</v>
      </c>
      <c r="V24" s="180">
        <v>7395</v>
      </c>
      <c r="W24" s="180">
        <f t="shared" ref="W24" si="4">U24+V24</f>
        <v>11934</v>
      </c>
      <c r="X24" s="180">
        <v>59980</v>
      </c>
      <c r="Y24" s="180">
        <v>58482</v>
      </c>
      <c r="Z24" s="180">
        <f t="shared" ref="Z24" si="5">X24+Y24</f>
        <v>118462</v>
      </c>
      <c r="AA24" s="249">
        <f t="shared" ref="AA24:AC24" si="6">U24/R24%</f>
        <v>3.0271503171205056</v>
      </c>
      <c r="AB24" s="249">
        <f t="shared" si="6"/>
        <v>6.023409437082047</v>
      </c>
      <c r="AC24" s="249">
        <f t="shared" si="6"/>
        <v>4.3760129659643434</v>
      </c>
      <c r="AD24" s="255">
        <f t="shared" ref="AD24:AF24" si="7">X24/R24%</f>
        <v>40.001867376269651</v>
      </c>
      <c r="AE24" s="255">
        <f t="shared" si="7"/>
        <v>47.635027816015182</v>
      </c>
      <c r="AF24" s="255">
        <f t="shared" si="7"/>
        <v>43.438180658125361</v>
      </c>
    </row>
    <row r="25" spans="1:32">
      <c r="A25" s="247">
        <v>16</v>
      </c>
      <c r="B25" s="43" t="s">
        <v>150</v>
      </c>
      <c r="C25" s="250">
        <v>75888</v>
      </c>
      <c r="D25" s="250">
        <v>66243</v>
      </c>
      <c r="E25" s="250">
        <v>142131</v>
      </c>
      <c r="F25" s="250">
        <v>42856</v>
      </c>
      <c r="G25" s="250">
        <v>39436</v>
      </c>
      <c r="H25" s="250">
        <v>82292</v>
      </c>
      <c r="I25" s="250">
        <v>8379</v>
      </c>
      <c r="J25" s="250">
        <v>7639</v>
      </c>
      <c r="K25" s="250">
        <v>16018</v>
      </c>
      <c r="L25" s="248">
        <v>51235</v>
      </c>
      <c r="M25" s="248">
        <v>47075</v>
      </c>
      <c r="N25" s="250">
        <v>98310</v>
      </c>
      <c r="O25" s="249">
        <v>67.513967952772504</v>
      </c>
      <c r="P25" s="249">
        <v>71.064112434521391</v>
      </c>
      <c r="Q25" s="249">
        <v>69.168583912024815</v>
      </c>
      <c r="R25" s="180">
        <v>51235</v>
      </c>
      <c r="S25" s="180">
        <v>47075</v>
      </c>
      <c r="T25" s="180">
        <v>98310</v>
      </c>
      <c r="U25" s="180">
        <v>6185</v>
      </c>
      <c r="V25" s="180">
        <v>7669</v>
      </c>
      <c r="W25" s="180">
        <v>13854</v>
      </c>
      <c r="X25" s="180">
        <v>16518</v>
      </c>
      <c r="Y25" s="180">
        <v>17016</v>
      </c>
      <c r="Z25" s="180">
        <v>33534</v>
      </c>
      <c r="AA25" s="249">
        <v>12.071825900263491</v>
      </c>
      <c r="AB25" s="249">
        <v>16.291024960169942</v>
      </c>
      <c r="AC25" s="249">
        <v>14.092157461092462</v>
      </c>
      <c r="AD25" s="255">
        <v>32.239679906314045</v>
      </c>
      <c r="AE25" s="255">
        <v>36.146574614976103</v>
      </c>
      <c r="AF25" s="255">
        <v>34.110466890448578</v>
      </c>
    </row>
    <row r="26" spans="1:32">
      <c r="A26" s="253">
        <v>17</v>
      </c>
      <c r="B26" s="43" t="s">
        <v>151</v>
      </c>
      <c r="C26" s="250">
        <v>136322</v>
      </c>
      <c r="D26" s="250">
        <v>109973</v>
      </c>
      <c r="E26" s="250">
        <v>246295</v>
      </c>
      <c r="F26" s="250">
        <v>66482</v>
      </c>
      <c r="G26" s="250">
        <v>53596</v>
      </c>
      <c r="H26" s="250">
        <v>120078</v>
      </c>
      <c r="I26" s="250">
        <v>25028</v>
      </c>
      <c r="J26" s="250">
        <v>20222</v>
      </c>
      <c r="K26" s="250">
        <v>45250</v>
      </c>
      <c r="L26" s="248">
        <v>91510</v>
      </c>
      <c r="M26" s="248">
        <v>73818</v>
      </c>
      <c r="N26" s="250">
        <v>165328</v>
      </c>
      <c r="O26" s="249">
        <v>67.127829697334249</v>
      </c>
      <c r="P26" s="249">
        <v>67.123748556463852</v>
      </c>
      <c r="Q26" s="249">
        <v>67.126007430114299</v>
      </c>
      <c r="R26" s="180">
        <v>91510</v>
      </c>
      <c r="S26" s="180">
        <v>73818</v>
      </c>
      <c r="T26" s="180">
        <v>165328</v>
      </c>
      <c r="U26" s="108"/>
      <c r="V26" s="108"/>
      <c r="W26" s="108">
        <v>0</v>
      </c>
      <c r="X26" s="108"/>
      <c r="Y26" s="108"/>
      <c r="Z26" s="108"/>
      <c r="AA26" s="251"/>
      <c r="AB26" s="251"/>
      <c r="AC26" s="251"/>
      <c r="AD26" s="252"/>
      <c r="AE26" s="252"/>
      <c r="AF26" s="252"/>
    </row>
    <row r="27" spans="1:32">
      <c r="A27" s="247">
        <v>18</v>
      </c>
      <c r="B27" s="43" t="s">
        <v>152</v>
      </c>
      <c r="C27" s="250">
        <v>243171</v>
      </c>
      <c r="D27" s="250">
        <v>234148</v>
      </c>
      <c r="E27" s="250">
        <v>477319</v>
      </c>
      <c r="F27" s="250">
        <v>188952</v>
      </c>
      <c r="G27" s="250">
        <v>170687</v>
      </c>
      <c r="H27" s="250">
        <v>359639</v>
      </c>
      <c r="I27" s="250">
        <v>3839</v>
      </c>
      <c r="J27" s="250">
        <v>5995</v>
      </c>
      <c r="K27" s="250">
        <v>9834</v>
      </c>
      <c r="L27" s="248">
        <v>192791</v>
      </c>
      <c r="M27" s="248">
        <v>176682</v>
      </c>
      <c r="N27" s="250">
        <v>369473</v>
      </c>
      <c r="O27" s="249">
        <v>79.282068996714244</v>
      </c>
      <c r="P27" s="249">
        <v>75.457403010062009</v>
      </c>
      <c r="Q27" s="249">
        <v>77.405885791263287</v>
      </c>
      <c r="R27" s="180">
        <v>192791</v>
      </c>
      <c r="S27" s="180">
        <v>176682</v>
      </c>
      <c r="T27" s="180">
        <v>369473</v>
      </c>
      <c r="U27" s="32">
        <v>11334</v>
      </c>
      <c r="V27" s="32">
        <v>8107</v>
      </c>
      <c r="W27" s="32">
        <v>19441</v>
      </c>
      <c r="X27" s="32">
        <v>50729</v>
      </c>
      <c r="Y27" s="32">
        <v>42557</v>
      </c>
      <c r="Z27" s="32">
        <v>93286</v>
      </c>
      <c r="AA27" s="181">
        <v>5.8789051356131763</v>
      </c>
      <c r="AB27" s="181">
        <v>4.5884696799900384</v>
      </c>
      <c r="AC27" s="181">
        <v>5.2618188609181189</v>
      </c>
      <c r="AD27" s="259">
        <v>26.312950293322821</v>
      </c>
      <c r="AE27" s="259">
        <v>24.086777374039237</v>
      </c>
      <c r="AF27" s="259">
        <v>25.248394334633382</v>
      </c>
    </row>
    <row r="28" spans="1:32" ht="28.5">
      <c r="A28" s="253">
        <v>19</v>
      </c>
      <c r="B28" s="27" t="s">
        <v>285</v>
      </c>
      <c r="C28" s="250">
        <v>432568</v>
      </c>
      <c r="D28" s="250">
        <v>381033</v>
      </c>
      <c r="E28" s="250">
        <v>813601</v>
      </c>
      <c r="F28" s="250">
        <v>335207</v>
      </c>
      <c r="G28" s="250">
        <v>325795</v>
      </c>
      <c r="H28" s="250">
        <v>661002</v>
      </c>
      <c r="I28" s="250">
        <v>38778</v>
      </c>
      <c r="J28" s="250">
        <v>22250</v>
      </c>
      <c r="K28" s="250">
        <v>61028</v>
      </c>
      <c r="L28" s="248">
        <v>373985</v>
      </c>
      <c r="M28" s="248">
        <v>348045</v>
      </c>
      <c r="N28" s="250">
        <v>722030</v>
      </c>
      <c r="O28" s="249">
        <v>86.456927003384436</v>
      </c>
      <c r="P28" s="249">
        <v>91.342482147215591</v>
      </c>
      <c r="Q28" s="249">
        <v>88.744974502243736</v>
      </c>
      <c r="R28" s="32">
        <f t="shared" ref="R28:T28" si="8">L28</f>
        <v>373985</v>
      </c>
      <c r="S28" s="32">
        <f t="shared" si="8"/>
        <v>348045</v>
      </c>
      <c r="T28" s="32">
        <f t="shared" si="8"/>
        <v>722030</v>
      </c>
      <c r="U28" s="260">
        <v>56040</v>
      </c>
      <c r="V28" s="260">
        <v>73998</v>
      </c>
      <c r="W28" s="32">
        <f t="shared" ref="W28" si="9">U28+V28</f>
        <v>130038</v>
      </c>
      <c r="X28" s="260">
        <v>85860</v>
      </c>
      <c r="Y28" s="260">
        <v>96176</v>
      </c>
      <c r="Z28" s="32">
        <f t="shared" ref="Z28" si="10">X28+Y28</f>
        <v>182036</v>
      </c>
      <c r="AA28" s="181">
        <f t="shared" ref="AA28:AC28" si="11">U28/R28%</f>
        <v>14.984558204206051</v>
      </c>
      <c r="AB28" s="181">
        <f t="shared" si="11"/>
        <v>21.261043830539155</v>
      </c>
      <c r="AC28" s="181">
        <f t="shared" si="11"/>
        <v>18.010054983864936</v>
      </c>
      <c r="AD28" s="259">
        <f t="shared" ref="AD28:AF28" si="12">X28/R28%</f>
        <v>22.95814003235424</v>
      </c>
      <c r="AE28" s="259">
        <f t="shared" si="12"/>
        <v>27.633208349495039</v>
      </c>
      <c r="AF28" s="259">
        <f t="shared" si="12"/>
        <v>25.211694804925003</v>
      </c>
    </row>
    <row r="29" spans="1:32">
      <c r="A29" s="247">
        <v>20</v>
      </c>
      <c r="B29" s="43" t="s">
        <v>286</v>
      </c>
      <c r="C29" s="250">
        <v>227855</v>
      </c>
      <c r="D29" s="250">
        <v>219827</v>
      </c>
      <c r="E29" s="250">
        <v>447682</v>
      </c>
      <c r="F29" s="250">
        <v>215457</v>
      </c>
      <c r="G29" s="250">
        <v>212332</v>
      </c>
      <c r="H29" s="250">
        <v>427789</v>
      </c>
      <c r="I29" s="254"/>
      <c r="J29" s="254"/>
      <c r="K29" s="254"/>
      <c r="L29" s="248">
        <v>215457</v>
      </c>
      <c r="M29" s="248">
        <v>212332</v>
      </c>
      <c r="N29" s="250">
        <v>427789</v>
      </c>
      <c r="O29" s="249">
        <v>94.5588203023853</v>
      </c>
      <c r="P29" s="249">
        <v>96.590500711923468</v>
      </c>
      <c r="Q29" s="249">
        <v>95.556444083076826</v>
      </c>
      <c r="R29" s="180">
        <v>215457</v>
      </c>
      <c r="S29" s="180">
        <v>212332</v>
      </c>
      <c r="T29" s="180">
        <v>427789</v>
      </c>
      <c r="U29" s="108"/>
      <c r="V29" s="108"/>
      <c r="W29" s="108"/>
      <c r="X29" s="108"/>
      <c r="Y29" s="108"/>
      <c r="Z29" s="108"/>
      <c r="AA29" s="251"/>
      <c r="AB29" s="251"/>
      <c r="AC29" s="251"/>
      <c r="AD29" s="252"/>
      <c r="AE29" s="252"/>
      <c r="AF29" s="252"/>
    </row>
    <row r="30" spans="1:32" ht="42.75">
      <c r="A30" s="253">
        <v>21</v>
      </c>
      <c r="B30" s="43" t="s">
        <v>271</v>
      </c>
      <c r="C30" s="250">
        <v>960361</v>
      </c>
      <c r="D30" s="250">
        <v>757928</v>
      </c>
      <c r="E30" s="250">
        <v>1718289</v>
      </c>
      <c r="F30" s="250">
        <v>755982</v>
      </c>
      <c r="G30" s="250">
        <v>650816</v>
      </c>
      <c r="H30" s="250">
        <v>1406798</v>
      </c>
      <c r="I30" s="250">
        <v>26354</v>
      </c>
      <c r="J30" s="250">
        <v>13632</v>
      </c>
      <c r="K30" s="250">
        <v>39986</v>
      </c>
      <c r="L30" s="248">
        <v>782336</v>
      </c>
      <c r="M30" s="248">
        <v>664448</v>
      </c>
      <c r="N30" s="250">
        <v>1446784</v>
      </c>
      <c r="O30" s="249">
        <v>81.462699963867763</v>
      </c>
      <c r="P30" s="249">
        <v>87.666374642446243</v>
      </c>
      <c r="Q30" s="249">
        <v>84.199107367852548</v>
      </c>
      <c r="R30" s="180">
        <f>L30</f>
        <v>782336</v>
      </c>
      <c r="S30" s="180">
        <f t="shared" ref="S30:T30" si="13">M30</f>
        <v>664448</v>
      </c>
      <c r="T30" s="180">
        <f t="shared" si="13"/>
        <v>1446784</v>
      </c>
      <c r="U30" s="180">
        <v>150719</v>
      </c>
      <c r="V30" s="180">
        <v>169847</v>
      </c>
      <c r="W30" s="180">
        <v>320566</v>
      </c>
      <c r="X30" s="180">
        <v>261724</v>
      </c>
      <c r="Y30" s="180">
        <v>247651</v>
      </c>
      <c r="Z30" s="180">
        <v>509375</v>
      </c>
      <c r="AA30" s="249">
        <v>19.265350260503215</v>
      </c>
      <c r="AB30" s="249">
        <v>25.562159209086651</v>
      </c>
      <c r="AC30" s="249">
        <v>22.157219589170147</v>
      </c>
      <c r="AD30" s="255">
        <v>33.454339078549772</v>
      </c>
      <c r="AE30" s="255">
        <v>37.271746279236716</v>
      </c>
      <c r="AF30" s="255">
        <v>35.207519600436555</v>
      </c>
    </row>
    <row r="31" spans="1:32" ht="28.5">
      <c r="A31" s="247">
        <v>22</v>
      </c>
      <c r="B31" s="43" t="s">
        <v>272</v>
      </c>
      <c r="C31" s="250">
        <v>603627</v>
      </c>
      <c r="D31" s="250">
        <v>480473</v>
      </c>
      <c r="E31" s="250">
        <v>1084100</v>
      </c>
      <c r="F31" s="250">
        <v>241016</v>
      </c>
      <c r="G31" s="250">
        <v>198543</v>
      </c>
      <c r="H31" s="250">
        <v>439559</v>
      </c>
      <c r="I31" s="250">
        <v>73413</v>
      </c>
      <c r="J31" s="250">
        <v>62355</v>
      </c>
      <c r="K31" s="250">
        <v>135768</v>
      </c>
      <c r="L31" s="248">
        <v>314429</v>
      </c>
      <c r="M31" s="248">
        <v>260898</v>
      </c>
      <c r="N31" s="250">
        <v>575327</v>
      </c>
      <c r="O31" s="249">
        <v>52.089949588073424</v>
      </c>
      <c r="P31" s="249">
        <v>54.30024163688698</v>
      </c>
      <c r="Q31" s="249">
        <v>53.069550779448392</v>
      </c>
      <c r="R31" s="180">
        <v>314429</v>
      </c>
      <c r="S31" s="180">
        <v>260898</v>
      </c>
      <c r="T31" s="180">
        <v>575327</v>
      </c>
      <c r="U31" s="180">
        <v>26186</v>
      </c>
      <c r="V31" s="180">
        <v>24289</v>
      </c>
      <c r="W31" s="180">
        <v>50475</v>
      </c>
      <c r="X31" s="180">
        <v>71890</v>
      </c>
      <c r="Y31" s="180">
        <v>61803</v>
      </c>
      <c r="Z31" s="180">
        <v>133693</v>
      </c>
      <c r="AA31" s="249">
        <v>8.328112228833854</v>
      </c>
      <c r="AB31" s="249">
        <v>9.3097685685593596</v>
      </c>
      <c r="AC31" s="249">
        <v>8.7732715481804249</v>
      </c>
      <c r="AD31" s="255">
        <v>22.863667155383251</v>
      </c>
      <c r="AE31" s="255">
        <v>23.688567946093876</v>
      </c>
      <c r="AF31" s="255">
        <v>23.23774131928451</v>
      </c>
    </row>
    <row r="32" spans="1:32" ht="28.5">
      <c r="A32" s="261">
        <v>23</v>
      </c>
      <c r="B32" s="27" t="s">
        <v>141</v>
      </c>
      <c r="C32" s="250">
        <v>18315</v>
      </c>
      <c r="D32" s="250">
        <v>17575</v>
      </c>
      <c r="E32" s="250">
        <v>35890</v>
      </c>
      <c r="F32" s="250">
        <v>12234</v>
      </c>
      <c r="G32" s="250">
        <v>11047</v>
      </c>
      <c r="H32" s="250">
        <v>23281</v>
      </c>
      <c r="I32" s="227">
        <v>2175</v>
      </c>
      <c r="J32" s="227">
        <v>2465</v>
      </c>
      <c r="K32" s="227">
        <v>4640</v>
      </c>
      <c r="L32" s="248">
        <v>14409</v>
      </c>
      <c r="M32" s="248">
        <v>13512</v>
      </c>
      <c r="N32" s="250">
        <v>27921</v>
      </c>
      <c r="O32" s="249">
        <v>78.67321867321867</v>
      </c>
      <c r="P32" s="181">
        <v>76.881934566145091</v>
      </c>
      <c r="Q32" s="249">
        <v>77.796043466146557</v>
      </c>
      <c r="R32" s="180">
        <f t="shared" ref="R32:T32" si="14">L32</f>
        <v>14409</v>
      </c>
      <c r="S32" s="180">
        <f t="shared" si="14"/>
        <v>13512</v>
      </c>
      <c r="T32" s="180">
        <f t="shared" si="14"/>
        <v>27921</v>
      </c>
      <c r="U32" s="32">
        <v>622</v>
      </c>
      <c r="V32" s="32">
        <v>513</v>
      </c>
      <c r="W32" s="32">
        <f t="shared" ref="W32" si="15">U32+V32</f>
        <v>1135</v>
      </c>
      <c r="X32" s="32">
        <v>4089</v>
      </c>
      <c r="Y32" s="32">
        <v>3573</v>
      </c>
      <c r="Z32" s="32">
        <f t="shared" ref="Z32" si="16">X32+Y32</f>
        <v>7662</v>
      </c>
      <c r="AA32" s="249">
        <f t="shared" ref="AA32:AC32" si="17">U32/R32%</f>
        <v>4.3167464778957596</v>
      </c>
      <c r="AB32" s="249">
        <f t="shared" si="17"/>
        <v>3.7966252220248666</v>
      </c>
      <c r="AC32" s="249">
        <f t="shared" si="17"/>
        <v>4.0650406504065044</v>
      </c>
      <c r="AD32" s="255">
        <f t="shared" ref="AD32:AF32" si="18">X32/R32%</f>
        <v>28.378097022694149</v>
      </c>
      <c r="AE32" s="255">
        <f t="shared" si="18"/>
        <v>26.443161634103017</v>
      </c>
      <c r="AF32" s="255">
        <f t="shared" si="18"/>
        <v>27.441710540453425</v>
      </c>
    </row>
    <row r="33" spans="1:32">
      <c r="A33" s="247">
        <v>24</v>
      </c>
      <c r="B33" s="43" t="s">
        <v>158</v>
      </c>
      <c r="C33" s="250">
        <v>19814</v>
      </c>
      <c r="D33" s="250">
        <v>22993</v>
      </c>
      <c r="E33" s="250">
        <v>42807</v>
      </c>
      <c r="F33" s="250">
        <v>10590</v>
      </c>
      <c r="G33" s="250">
        <v>12659</v>
      </c>
      <c r="H33" s="250">
        <v>23249</v>
      </c>
      <c r="I33" s="254"/>
      <c r="J33" s="254"/>
      <c r="K33" s="254"/>
      <c r="L33" s="248">
        <v>10590</v>
      </c>
      <c r="M33" s="248">
        <v>12659</v>
      </c>
      <c r="N33" s="250">
        <v>23249</v>
      </c>
      <c r="O33" s="249">
        <v>53.447057636014939</v>
      </c>
      <c r="P33" s="249">
        <v>55.05588657417475</v>
      </c>
      <c r="Q33" s="249">
        <v>54.311210783283101</v>
      </c>
      <c r="R33" s="180">
        <v>10590</v>
      </c>
      <c r="S33" s="180">
        <v>12659</v>
      </c>
      <c r="T33" s="180">
        <v>23249</v>
      </c>
      <c r="U33" s="180">
        <v>1890</v>
      </c>
      <c r="V33" s="180">
        <v>2253</v>
      </c>
      <c r="W33" s="180">
        <v>4143</v>
      </c>
      <c r="X33" s="180">
        <v>3091</v>
      </c>
      <c r="Y33" s="180">
        <v>3816</v>
      </c>
      <c r="Z33" s="180">
        <v>6907</v>
      </c>
      <c r="AA33" s="249">
        <v>17.847025495750707</v>
      </c>
      <c r="AB33" s="249">
        <v>17.797614345524924</v>
      </c>
      <c r="AC33" s="249">
        <v>17.820121295539593</v>
      </c>
      <c r="AD33" s="255">
        <v>29.187913125590178</v>
      </c>
      <c r="AE33" s="255">
        <v>30.144561181767912</v>
      </c>
      <c r="AF33" s="255">
        <v>29.708804679771173</v>
      </c>
    </row>
    <row r="34" spans="1:32">
      <c r="A34" s="253">
        <v>25</v>
      </c>
      <c r="B34" s="27" t="s">
        <v>159</v>
      </c>
      <c r="C34" s="250">
        <v>8933</v>
      </c>
      <c r="D34" s="250">
        <v>9441</v>
      </c>
      <c r="E34" s="250">
        <v>18374</v>
      </c>
      <c r="F34" s="250">
        <v>6154</v>
      </c>
      <c r="G34" s="250">
        <v>6297</v>
      </c>
      <c r="H34" s="250">
        <v>12451</v>
      </c>
      <c r="I34" s="227">
        <v>66</v>
      </c>
      <c r="J34" s="227">
        <v>83</v>
      </c>
      <c r="K34" s="227">
        <v>149</v>
      </c>
      <c r="L34" s="248">
        <v>6220</v>
      </c>
      <c r="M34" s="248">
        <v>6380</v>
      </c>
      <c r="N34" s="250">
        <v>12600</v>
      </c>
      <c r="O34" s="249">
        <v>69.629463785962159</v>
      </c>
      <c r="P34" s="249">
        <v>67.577587120008474</v>
      </c>
      <c r="Q34" s="249">
        <v>68.575160552955268</v>
      </c>
      <c r="R34" s="180">
        <f t="shared" ref="R34:T34" si="19">L34</f>
        <v>6220</v>
      </c>
      <c r="S34" s="180">
        <f t="shared" si="19"/>
        <v>6380</v>
      </c>
      <c r="T34" s="180">
        <f t="shared" si="19"/>
        <v>12600</v>
      </c>
      <c r="U34" s="32">
        <v>201</v>
      </c>
      <c r="V34" s="32">
        <v>229</v>
      </c>
      <c r="W34" s="180">
        <f t="shared" ref="W34" si="20">U34+V34</f>
        <v>430</v>
      </c>
      <c r="X34" s="32">
        <v>958</v>
      </c>
      <c r="Y34" s="32">
        <v>1000</v>
      </c>
      <c r="Z34" s="180">
        <f t="shared" ref="Z34" si="21">X34+Y34</f>
        <v>1958</v>
      </c>
      <c r="AA34" s="249">
        <f t="shared" ref="AA34:AC34" si="22">U34/R34%</f>
        <v>3.2315112540192925</v>
      </c>
      <c r="AB34" s="249">
        <f t="shared" si="22"/>
        <v>3.5893416927899686</v>
      </c>
      <c r="AC34" s="249">
        <f t="shared" si="22"/>
        <v>3.4126984126984126</v>
      </c>
      <c r="AD34" s="255">
        <f t="shared" ref="AD34:AF34" si="23">X34/R34%</f>
        <v>15.40192926045016</v>
      </c>
      <c r="AE34" s="255">
        <f t="shared" si="23"/>
        <v>15.673981191222571</v>
      </c>
      <c r="AF34" s="255">
        <f t="shared" si="23"/>
        <v>15.53968253968254</v>
      </c>
    </row>
    <row r="35" spans="1:32">
      <c r="A35" s="247">
        <v>26</v>
      </c>
      <c r="B35" s="43" t="s">
        <v>160</v>
      </c>
      <c r="C35" s="250">
        <v>10836</v>
      </c>
      <c r="D35" s="250">
        <v>10842</v>
      </c>
      <c r="E35" s="250">
        <v>21678</v>
      </c>
      <c r="F35" s="250">
        <v>7221</v>
      </c>
      <c r="G35" s="250">
        <v>6910</v>
      </c>
      <c r="H35" s="250">
        <v>14131</v>
      </c>
      <c r="I35" s="254"/>
      <c r="J35" s="254"/>
      <c r="K35" s="254"/>
      <c r="L35" s="248">
        <v>7221</v>
      </c>
      <c r="M35" s="248">
        <v>6910</v>
      </c>
      <c r="N35" s="250">
        <v>14131</v>
      </c>
      <c r="O35" s="249">
        <v>66.638981173864892</v>
      </c>
      <c r="P35" s="249">
        <v>63.733628481829918</v>
      </c>
      <c r="Q35" s="249">
        <v>65.185902758557063</v>
      </c>
      <c r="R35" s="180">
        <v>7221</v>
      </c>
      <c r="S35" s="180">
        <v>6910</v>
      </c>
      <c r="T35" s="180">
        <v>14131</v>
      </c>
      <c r="U35" s="180">
        <v>510</v>
      </c>
      <c r="V35" s="180">
        <v>612</v>
      </c>
      <c r="W35" s="180">
        <v>1122</v>
      </c>
      <c r="X35" s="180">
        <v>1862</v>
      </c>
      <c r="Y35" s="180">
        <v>1931</v>
      </c>
      <c r="Z35" s="180">
        <v>3793</v>
      </c>
      <c r="AA35" s="249">
        <v>7.062733693394267</v>
      </c>
      <c r="AB35" s="249">
        <v>8.8567293777134601</v>
      </c>
      <c r="AC35" s="249">
        <v>7.9399900927039839</v>
      </c>
      <c r="AD35" s="255">
        <v>25.785902229608091</v>
      </c>
      <c r="AE35" s="255">
        <v>27.945007235890017</v>
      </c>
      <c r="AF35" s="255">
        <v>26.841695562946711</v>
      </c>
    </row>
    <row r="36" spans="1:32">
      <c r="A36" s="253">
        <v>27</v>
      </c>
      <c r="B36" s="43" t="s">
        <v>273</v>
      </c>
      <c r="C36" s="250">
        <v>295462</v>
      </c>
      <c r="D36" s="250">
        <v>297407</v>
      </c>
      <c r="E36" s="250">
        <v>592869</v>
      </c>
      <c r="F36" s="250">
        <v>242462</v>
      </c>
      <c r="G36" s="250">
        <v>244849</v>
      </c>
      <c r="H36" s="250">
        <v>487311</v>
      </c>
      <c r="I36" s="250">
        <v>3064</v>
      </c>
      <c r="J36" s="250">
        <v>2079</v>
      </c>
      <c r="K36" s="250">
        <v>5143</v>
      </c>
      <c r="L36" s="248">
        <v>245526</v>
      </c>
      <c r="M36" s="248">
        <v>246928</v>
      </c>
      <c r="N36" s="250">
        <v>492454</v>
      </c>
      <c r="O36" s="249">
        <v>83.099011040336819</v>
      </c>
      <c r="P36" s="249">
        <v>83.026963050634322</v>
      </c>
      <c r="Q36" s="249">
        <v>83.062868863104669</v>
      </c>
      <c r="R36" s="180">
        <v>245526</v>
      </c>
      <c r="S36" s="180">
        <v>246928</v>
      </c>
      <c r="T36" s="180">
        <v>492454</v>
      </c>
      <c r="U36" s="108"/>
      <c r="V36" s="108"/>
      <c r="W36" s="108"/>
      <c r="X36" s="108"/>
      <c r="Y36" s="108"/>
      <c r="Z36" s="108"/>
      <c r="AA36" s="251"/>
      <c r="AB36" s="251"/>
      <c r="AC36" s="251"/>
      <c r="AD36" s="252"/>
      <c r="AE36" s="252"/>
      <c r="AF36" s="252"/>
    </row>
    <row r="37" spans="1:32">
      <c r="A37" s="247">
        <v>28</v>
      </c>
      <c r="B37" s="43" t="s">
        <v>162</v>
      </c>
      <c r="C37" s="250">
        <v>219685</v>
      </c>
      <c r="D37" s="250">
        <v>163816</v>
      </c>
      <c r="E37" s="250">
        <v>383501</v>
      </c>
      <c r="F37" s="250">
        <v>142866</v>
      </c>
      <c r="G37" s="250">
        <v>128359</v>
      </c>
      <c r="H37" s="250">
        <v>271225</v>
      </c>
      <c r="I37" s="254"/>
      <c r="J37" s="254"/>
      <c r="K37" s="254"/>
      <c r="L37" s="248">
        <v>142866</v>
      </c>
      <c r="M37" s="248">
        <v>128359</v>
      </c>
      <c r="N37" s="250">
        <v>271225</v>
      </c>
      <c r="O37" s="249">
        <v>65.032205202904152</v>
      </c>
      <c r="P37" s="249">
        <v>78.355594081164242</v>
      </c>
      <c r="Q37" s="249">
        <v>70.723414019780918</v>
      </c>
      <c r="R37" s="180">
        <v>142866</v>
      </c>
      <c r="S37" s="180">
        <v>128359</v>
      </c>
      <c r="T37" s="180">
        <v>271225</v>
      </c>
      <c r="U37" s="180">
        <v>15877</v>
      </c>
      <c r="V37" s="180">
        <v>30354</v>
      </c>
      <c r="W37" s="180">
        <v>46231</v>
      </c>
      <c r="X37" s="180">
        <v>56079</v>
      </c>
      <c r="Y37" s="180">
        <v>56562</v>
      </c>
      <c r="Z37" s="180">
        <v>112641</v>
      </c>
      <c r="AA37" s="249">
        <v>11.113210980919183</v>
      </c>
      <c r="AB37" s="249">
        <v>23.64773798487056</v>
      </c>
      <c r="AC37" s="249">
        <v>17.045257627431099</v>
      </c>
      <c r="AD37" s="255">
        <v>39.252866322288014</v>
      </c>
      <c r="AE37" s="255">
        <v>44.065472619761763</v>
      </c>
      <c r="AF37" s="255">
        <v>41.530463637201585</v>
      </c>
    </row>
    <row r="38" spans="1:32" ht="28.5">
      <c r="A38" s="253">
        <v>29</v>
      </c>
      <c r="B38" s="43" t="s">
        <v>212</v>
      </c>
      <c r="C38" s="250">
        <v>652675</v>
      </c>
      <c r="D38" s="250">
        <v>451651</v>
      </c>
      <c r="E38" s="250">
        <v>1104326</v>
      </c>
      <c r="F38" s="250">
        <v>435246</v>
      </c>
      <c r="G38" s="250">
        <v>298730</v>
      </c>
      <c r="H38" s="250">
        <v>733976</v>
      </c>
      <c r="I38" s="250">
        <v>20171</v>
      </c>
      <c r="J38" s="250">
        <v>19638</v>
      </c>
      <c r="K38" s="250">
        <v>39809</v>
      </c>
      <c r="L38" s="248">
        <v>455417</v>
      </c>
      <c r="M38" s="248">
        <v>318368</v>
      </c>
      <c r="N38" s="250">
        <v>773785</v>
      </c>
      <c r="O38" s="249">
        <v>69.776994675757464</v>
      </c>
      <c r="P38" s="249">
        <v>70.489825108324794</v>
      </c>
      <c r="Q38" s="249">
        <v>70.068530488279734</v>
      </c>
      <c r="R38" s="180">
        <v>455417</v>
      </c>
      <c r="S38" s="180">
        <v>318368</v>
      </c>
      <c r="T38" s="180">
        <v>773785</v>
      </c>
      <c r="U38" s="108"/>
      <c r="V38" s="108"/>
      <c r="W38" s="108"/>
      <c r="X38" s="108"/>
      <c r="Y38" s="108"/>
      <c r="Z38" s="108"/>
      <c r="AA38" s="251"/>
      <c r="AB38" s="251"/>
      <c r="AC38" s="251"/>
      <c r="AD38" s="252"/>
      <c r="AE38" s="252"/>
      <c r="AF38" s="252"/>
    </row>
    <row r="39" spans="1:32" ht="28.5">
      <c r="A39" s="247">
        <v>30</v>
      </c>
      <c r="B39" s="43" t="s">
        <v>274</v>
      </c>
      <c r="C39" s="250">
        <v>518639</v>
      </c>
      <c r="D39" s="250">
        <v>502110</v>
      </c>
      <c r="E39" s="250">
        <v>1020749</v>
      </c>
      <c r="F39" s="250">
        <v>456328</v>
      </c>
      <c r="G39" s="250">
        <v>469810</v>
      </c>
      <c r="H39" s="250">
        <v>926138</v>
      </c>
      <c r="I39" s="254"/>
      <c r="J39" s="254"/>
      <c r="K39" s="254"/>
      <c r="L39" s="248">
        <v>456328</v>
      </c>
      <c r="M39" s="248">
        <v>469810</v>
      </c>
      <c r="N39" s="250">
        <v>926138</v>
      </c>
      <c r="O39" s="249">
        <v>87.985670186777327</v>
      </c>
      <c r="P39" s="249">
        <v>93.567146641174247</v>
      </c>
      <c r="Q39" s="249">
        <v>90.731217958577474</v>
      </c>
      <c r="R39" s="180">
        <v>456328</v>
      </c>
      <c r="S39" s="180">
        <v>469810</v>
      </c>
      <c r="T39" s="180">
        <v>926138</v>
      </c>
      <c r="U39" s="180">
        <v>194594</v>
      </c>
      <c r="V39" s="180">
        <v>257212</v>
      </c>
      <c r="W39" s="180">
        <v>451806</v>
      </c>
      <c r="X39" s="180">
        <v>133899</v>
      </c>
      <c r="Y39" s="180">
        <v>124305</v>
      </c>
      <c r="Z39" s="180">
        <v>258204</v>
      </c>
      <c r="AA39" s="249">
        <v>42.643449448642208</v>
      </c>
      <c r="AB39" s="249">
        <v>54.748089653264081</v>
      </c>
      <c r="AC39" s="249">
        <v>48.783874541375049</v>
      </c>
      <c r="AD39" s="255">
        <v>29.342709629915326</v>
      </c>
      <c r="AE39" s="255">
        <v>26.458568357421083</v>
      </c>
      <c r="AF39" s="255">
        <v>27.879646445778061</v>
      </c>
    </row>
    <row r="40" spans="1:32" ht="28.5">
      <c r="A40" s="253">
        <v>31</v>
      </c>
      <c r="B40" s="43" t="s">
        <v>165</v>
      </c>
      <c r="C40" s="250">
        <v>24240</v>
      </c>
      <c r="D40" s="250">
        <v>22631</v>
      </c>
      <c r="E40" s="250">
        <v>46871</v>
      </c>
      <c r="F40" s="250">
        <v>14414</v>
      </c>
      <c r="G40" s="250">
        <v>12907</v>
      </c>
      <c r="H40" s="250">
        <v>27321</v>
      </c>
      <c r="I40" s="254"/>
      <c r="J40" s="254"/>
      <c r="K40" s="254"/>
      <c r="L40" s="248">
        <v>14414</v>
      </c>
      <c r="M40" s="248">
        <v>12907</v>
      </c>
      <c r="N40" s="250">
        <v>27321</v>
      </c>
      <c r="O40" s="249">
        <v>59.463696369636963</v>
      </c>
      <c r="P40" s="249">
        <v>57.032389200653967</v>
      </c>
      <c r="Q40" s="249">
        <v>58.289774060719843</v>
      </c>
      <c r="R40" s="180">
        <v>14414</v>
      </c>
      <c r="S40" s="180">
        <v>12907</v>
      </c>
      <c r="T40" s="180">
        <v>27321</v>
      </c>
      <c r="U40" s="180">
        <v>446</v>
      </c>
      <c r="V40" s="180">
        <v>349</v>
      </c>
      <c r="W40" s="180">
        <v>795</v>
      </c>
      <c r="X40" s="180">
        <v>1174</v>
      </c>
      <c r="Y40" s="180">
        <v>845</v>
      </c>
      <c r="Z40" s="180">
        <v>2019</v>
      </c>
      <c r="AA40" s="249">
        <v>3.0942139586513115</v>
      </c>
      <c r="AB40" s="249">
        <v>2.7039590919656002</v>
      </c>
      <c r="AC40" s="249">
        <v>2.9098495662677064</v>
      </c>
      <c r="AD40" s="255">
        <v>8.1448591647009856</v>
      </c>
      <c r="AE40" s="255">
        <v>6.5468350507476565</v>
      </c>
      <c r="AF40" s="255">
        <v>7.3899198418798733</v>
      </c>
    </row>
    <row r="41" spans="1:32" ht="28.5">
      <c r="A41" s="247">
        <v>32</v>
      </c>
      <c r="B41" s="43" t="s">
        <v>275</v>
      </c>
      <c r="C41" s="250">
        <v>1863463</v>
      </c>
      <c r="D41" s="250">
        <v>1525291</v>
      </c>
      <c r="E41" s="250">
        <v>3388754</v>
      </c>
      <c r="F41" s="250">
        <v>1503469</v>
      </c>
      <c r="G41" s="250">
        <v>1368272</v>
      </c>
      <c r="H41" s="250">
        <v>2871741</v>
      </c>
      <c r="I41" s="254"/>
      <c r="J41" s="254"/>
      <c r="K41" s="254"/>
      <c r="L41" s="248">
        <v>1503469</v>
      </c>
      <c r="M41" s="248">
        <v>1368272</v>
      </c>
      <c r="N41" s="250">
        <v>2871741</v>
      </c>
      <c r="O41" s="249">
        <v>80.681451684310346</v>
      </c>
      <c r="P41" s="249">
        <v>89.705636498215739</v>
      </c>
      <c r="Q41" s="249">
        <v>84.743271420705071</v>
      </c>
      <c r="R41" s="180">
        <v>1503469</v>
      </c>
      <c r="S41" s="180">
        <v>1368272</v>
      </c>
      <c r="T41" s="180">
        <v>2871741</v>
      </c>
      <c r="U41" s="180">
        <v>342852</v>
      </c>
      <c r="V41" s="180">
        <v>413837</v>
      </c>
      <c r="W41" s="180">
        <v>756689</v>
      </c>
      <c r="X41" s="180">
        <v>836159</v>
      </c>
      <c r="Y41" s="180">
        <v>769572</v>
      </c>
      <c r="Z41" s="180">
        <v>1605731</v>
      </c>
      <c r="AA41" s="249">
        <v>22.80406180639574</v>
      </c>
      <c r="AB41" s="249">
        <v>30.245229018791587</v>
      </c>
      <c r="AC41" s="249">
        <v>26.349486252416217</v>
      </c>
      <c r="AD41" s="255">
        <v>55.615313651295772</v>
      </c>
      <c r="AE41" s="255">
        <v>56.24408012441971</v>
      </c>
      <c r="AF41" s="255">
        <v>55.914896224972935</v>
      </c>
    </row>
    <row r="42" spans="1:32" ht="28.5">
      <c r="A42" s="253">
        <v>33</v>
      </c>
      <c r="B42" s="43" t="s">
        <v>287</v>
      </c>
      <c r="C42" s="250">
        <v>88043</v>
      </c>
      <c r="D42" s="250">
        <v>82358</v>
      </c>
      <c r="E42" s="250">
        <v>170401</v>
      </c>
      <c r="F42" s="250">
        <v>54178</v>
      </c>
      <c r="G42" s="250">
        <v>60673</v>
      </c>
      <c r="H42" s="250">
        <v>114851</v>
      </c>
      <c r="I42" s="254"/>
      <c r="J42" s="254"/>
      <c r="K42" s="254"/>
      <c r="L42" s="248">
        <v>54178</v>
      </c>
      <c r="M42" s="248">
        <v>60673</v>
      </c>
      <c r="N42" s="250">
        <v>114851</v>
      </c>
      <c r="O42" s="249">
        <v>61.535840441602396</v>
      </c>
      <c r="P42" s="249">
        <v>73.669831710337803</v>
      </c>
      <c r="Q42" s="249">
        <v>67.40042605383772</v>
      </c>
      <c r="R42" s="180">
        <v>54178</v>
      </c>
      <c r="S42" s="180">
        <v>60673</v>
      </c>
      <c r="T42" s="180">
        <v>114851</v>
      </c>
      <c r="U42" s="180">
        <v>2307</v>
      </c>
      <c r="V42" s="180">
        <v>1835</v>
      </c>
      <c r="W42" s="180">
        <v>4142</v>
      </c>
      <c r="X42" s="180">
        <v>9712</v>
      </c>
      <c r="Y42" s="180">
        <v>14098</v>
      </c>
      <c r="Z42" s="180">
        <v>23810</v>
      </c>
      <c r="AA42" s="249">
        <v>4.2581859795488946</v>
      </c>
      <c r="AB42" s="249">
        <v>3.0244095396634418</v>
      </c>
      <c r="AC42" s="249">
        <v>3.6064117857049567</v>
      </c>
      <c r="AD42" s="255">
        <v>17.926095463103106</v>
      </c>
      <c r="AE42" s="255">
        <v>23.236035798460598</v>
      </c>
      <c r="AF42" s="255">
        <v>20.731208261138345</v>
      </c>
    </row>
    <row r="43" spans="1:32" ht="28.5">
      <c r="A43" s="247">
        <v>34</v>
      </c>
      <c r="B43" s="43" t="s">
        <v>172</v>
      </c>
      <c r="C43" s="250">
        <v>489584</v>
      </c>
      <c r="D43" s="250">
        <v>553155</v>
      </c>
      <c r="E43" s="250">
        <v>1042739</v>
      </c>
      <c r="F43" s="250">
        <v>412332</v>
      </c>
      <c r="G43" s="250">
        <v>425541</v>
      </c>
      <c r="H43" s="250">
        <v>837873</v>
      </c>
      <c r="I43" s="254"/>
      <c r="J43" s="254"/>
      <c r="K43" s="254"/>
      <c r="L43" s="248">
        <v>412332</v>
      </c>
      <c r="M43" s="248">
        <v>425541</v>
      </c>
      <c r="N43" s="250">
        <v>837873</v>
      </c>
      <c r="O43" s="249">
        <v>84.220889571554622</v>
      </c>
      <c r="P43" s="249">
        <v>76.929793638311139</v>
      </c>
      <c r="Q43" s="249">
        <v>80.353089315734806</v>
      </c>
      <c r="R43" s="180">
        <v>412332</v>
      </c>
      <c r="S43" s="180">
        <v>425541</v>
      </c>
      <c r="T43" s="180">
        <v>837873</v>
      </c>
      <c r="U43" s="180">
        <v>26357</v>
      </c>
      <c r="V43" s="180">
        <v>18379</v>
      </c>
      <c r="W43" s="180">
        <v>44736</v>
      </c>
      <c r="X43" s="180">
        <v>37160</v>
      </c>
      <c r="Y43" s="180">
        <v>31020</v>
      </c>
      <c r="Z43" s="180">
        <v>68180</v>
      </c>
      <c r="AA43" s="249">
        <v>6.3921791177982792</v>
      </c>
      <c r="AB43" s="249">
        <v>4.3189727899309354</v>
      </c>
      <c r="AC43" s="249">
        <v>5.3392339889219489</v>
      </c>
      <c r="AD43" s="255">
        <v>9.0121552535335603</v>
      </c>
      <c r="AE43" s="255">
        <v>7.2895443682277383</v>
      </c>
      <c r="AF43" s="255">
        <v>8.1372714003196194</v>
      </c>
    </row>
    <row r="44" spans="1:32" ht="28.5">
      <c r="A44" s="253">
        <v>35</v>
      </c>
      <c r="B44" s="43" t="s">
        <v>277</v>
      </c>
      <c r="C44" s="250">
        <v>13330</v>
      </c>
      <c r="D44" s="250">
        <v>27711</v>
      </c>
      <c r="E44" s="250">
        <v>41041</v>
      </c>
      <c r="F44" s="250">
        <v>11254</v>
      </c>
      <c r="G44" s="250">
        <v>21001</v>
      </c>
      <c r="H44" s="250">
        <v>32255</v>
      </c>
      <c r="I44" s="254"/>
      <c r="J44" s="254"/>
      <c r="K44" s="254"/>
      <c r="L44" s="248">
        <v>11254</v>
      </c>
      <c r="M44" s="248">
        <v>21001</v>
      </c>
      <c r="N44" s="250">
        <v>32255</v>
      </c>
      <c r="O44" s="249">
        <v>84.426106526631656</v>
      </c>
      <c r="P44" s="249">
        <v>75.785789036844577</v>
      </c>
      <c r="Q44" s="249">
        <v>78.592139567749314</v>
      </c>
      <c r="R44" s="180">
        <v>11254</v>
      </c>
      <c r="S44" s="180">
        <v>21001</v>
      </c>
      <c r="T44" s="180">
        <v>32255</v>
      </c>
      <c r="U44" s="180">
        <v>264</v>
      </c>
      <c r="V44" s="180">
        <v>197</v>
      </c>
      <c r="W44" s="180">
        <v>461</v>
      </c>
      <c r="X44" s="180">
        <v>895</v>
      </c>
      <c r="Y44" s="180">
        <v>994</v>
      </c>
      <c r="Z44" s="180">
        <v>1889</v>
      </c>
      <c r="AA44" s="249">
        <v>2.3458325928558734</v>
      </c>
      <c r="AB44" s="249">
        <v>0.93805056902052286</v>
      </c>
      <c r="AC44" s="249">
        <v>1.4292357773988529</v>
      </c>
      <c r="AD44" s="255">
        <v>7.9527279189621467</v>
      </c>
      <c r="AE44" s="255">
        <v>4.7331079472406081</v>
      </c>
      <c r="AF44" s="255">
        <v>5.8564563633545186</v>
      </c>
    </row>
    <row r="45" spans="1:32">
      <c r="A45" s="483" t="s">
        <v>256</v>
      </c>
      <c r="B45" s="483"/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</row>
    <row r="46" spans="1:32" ht="28.5">
      <c r="A46" s="166">
        <v>1</v>
      </c>
      <c r="B46" s="43" t="s">
        <v>280</v>
      </c>
      <c r="C46" s="167">
        <f>90781+99636</f>
        <v>190417</v>
      </c>
      <c r="D46" s="167">
        <f>41725+41772</f>
        <v>83497</v>
      </c>
      <c r="E46" s="168">
        <f t="shared" ref="E46:E51" si="24">C46+D46</f>
        <v>273914</v>
      </c>
      <c r="F46" s="167">
        <v>104822</v>
      </c>
      <c r="G46" s="167">
        <v>45328</v>
      </c>
      <c r="H46" s="168">
        <f t="shared" ref="H46:H50" si="25">F46+G46</f>
        <v>150150</v>
      </c>
      <c r="I46" s="167"/>
      <c r="J46" s="167"/>
      <c r="K46" s="168"/>
      <c r="L46" s="167">
        <v>104822</v>
      </c>
      <c r="M46" s="167">
        <v>45328</v>
      </c>
      <c r="N46" s="168">
        <f t="shared" ref="N46:N50" si="26">L46+M46</f>
        <v>150150</v>
      </c>
      <c r="O46" s="167">
        <f>+L46/C46%</f>
        <v>55.048656369966963</v>
      </c>
      <c r="P46" s="167">
        <f t="shared" ref="P46:Q46" si="27">+M46/D46%</f>
        <v>54.286980370552236</v>
      </c>
      <c r="Q46" s="167">
        <f t="shared" si="27"/>
        <v>54.816475244054708</v>
      </c>
      <c r="R46" s="172">
        <f t="shared" ref="R46:T50" si="28">F46</f>
        <v>104822</v>
      </c>
      <c r="S46" s="172">
        <f t="shared" si="28"/>
        <v>45328</v>
      </c>
      <c r="T46" s="172">
        <f t="shared" si="28"/>
        <v>150150</v>
      </c>
      <c r="U46" s="172">
        <v>2262</v>
      </c>
      <c r="V46" s="172">
        <v>652</v>
      </c>
      <c r="W46" s="172">
        <f>U46+V46</f>
        <v>2914</v>
      </c>
      <c r="X46" s="172">
        <v>21486</v>
      </c>
      <c r="Y46" s="172">
        <v>8467</v>
      </c>
      <c r="Z46" s="172">
        <f t="shared" ref="Z46:Z51" si="29">X46+Y46</f>
        <v>29953</v>
      </c>
      <c r="AA46" s="177">
        <f t="shared" ref="AA46:AC49" si="30">U46/R46%</f>
        <v>2.1579439430653871</v>
      </c>
      <c r="AB46" s="177">
        <f t="shared" si="30"/>
        <v>1.4384045181786094</v>
      </c>
      <c r="AC46" s="177">
        <f t="shared" si="30"/>
        <v>1.9407259407259407</v>
      </c>
      <c r="AD46" s="178">
        <f>X46/R46%</f>
        <v>20.497605464501728</v>
      </c>
      <c r="AE46" s="178">
        <f>Y46/S46%</f>
        <v>18.6794034592305</v>
      </c>
      <c r="AF46" s="178">
        <f>Z46/T46%</f>
        <v>19.948717948717949</v>
      </c>
    </row>
    <row r="47" spans="1:32">
      <c r="A47" s="166">
        <v>2</v>
      </c>
      <c r="B47" s="53" t="s">
        <v>288</v>
      </c>
      <c r="C47" s="264">
        <v>27079</v>
      </c>
      <c r="D47" s="264">
        <v>14099</v>
      </c>
      <c r="E47" s="168">
        <f t="shared" si="24"/>
        <v>41178</v>
      </c>
      <c r="F47" s="264">
        <v>20828</v>
      </c>
      <c r="G47" s="264">
        <v>11662</v>
      </c>
      <c r="H47" s="168">
        <f t="shared" si="25"/>
        <v>32490</v>
      </c>
      <c r="I47" s="265"/>
      <c r="J47" s="265"/>
      <c r="K47" s="168"/>
      <c r="L47" s="264">
        <v>20828</v>
      </c>
      <c r="M47" s="264">
        <v>11662</v>
      </c>
      <c r="N47" s="168">
        <f t="shared" si="26"/>
        <v>32490</v>
      </c>
      <c r="O47" s="167">
        <f t="shared" ref="O47:Q52" si="31">+L47/C47%</f>
        <v>76.91569112596477</v>
      </c>
      <c r="P47" s="167">
        <f t="shared" ref="P47:P50" si="32">+M47/D47%</f>
        <v>82.715086176324562</v>
      </c>
      <c r="Q47" s="167">
        <f t="shared" ref="Q47:Q50" si="33">+N47/E47%</f>
        <v>78.901355092525137</v>
      </c>
      <c r="R47" s="168">
        <f t="shared" si="28"/>
        <v>20828</v>
      </c>
      <c r="S47" s="168">
        <f t="shared" si="28"/>
        <v>11662</v>
      </c>
      <c r="T47" s="168">
        <f t="shared" si="28"/>
        <v>32490</v>
      </c>
      <c r="U47" s="108"/>
      <c r="V47" s="108"/>
      <c r="W47" s="108"/>
      <c r="X47" s="108"/>
      <c r="Y47" s="108"/>
      <c r="Z47" s="108"/>
      <c r="AA47" s="251"/>
      <c r="AB47" s="251"/>
      <c r="AC47" s="251"/>
      <c r="AD47" s="252"/>
      <c r="AE47" s="252"/>
      <c r="AF47" s="252"/>
    </row>
    <row r="48" spans="1:32">
      <c r="A48" s="166">
        <v>3</v>
      </c>
      <c r="B48" s="43" t="s">
        <v>223</v>
      </c>
      <c r="C48" s="167">
        <v>35425</v>
      </c>
      <c r="D48" s="167">
        <v>42697</v>
      </c>
      <c r="E48" s="168">
        <f t="shared" si="24"/>
        <v>78122</v>
      </c>
      <c r="F48" s="167">
        <v>26675</v>
      </c>
      <c r="G48" s="167">
        <v>29823</v>
      </c>
      <c r="H48" s="168">
        <f t="shared" si="25"/>
        <v>56498</v>
      </c>
      <c r="I48" s="167"/>
      <c r="J48" s="167"/>
      <c r="K48" s="168"/>
      <c r="L48" s="167">
        <v>26675</v>
      </c>
      <c r="M48" s="167">
        <v>29823</v>
      </c>
      <c r="N48" s="168">
        <f t="shared" si="26"/>
        <v>56498</v>
      </c>
      <c r="O48" s="167">
        <f t="shared" si="31"/>
        <v>75.299929428369794</v>
      </c>
      <c r="P48" s="167">
        <f t="shared" si="32"/>
        <v>69.84799868843244</v>
      </c>
      <c r="Q48" s="167">
        <f t="shared" si="33"/>
        <v>72.320217096336492</v>
      </c>
      <c r="R48" s="172">
        <f t="shared" si="28"/>
        <v>26675</v>
      </c>
      <c r="S48" s="172">
        <f t="shared" si="28"/>
        <v>29823</v>
      </c>
      <c r="T48" s="172">
        <f t="shared" si="28"/>
        <v>56498</v>
      </c>
      <c r="U48" s="172">
        <v>10</v>
      </c>
      <c r="V48" s="172">
        <v>15</v>
      </c>
      <c r="W48" s="172">
        <f>U48+V48</f>
        <v>25</v>
      </c>
      <c r="X48" s="172">
        <v>918</v>
      </c>
      <c r="Y48" s="172">
        <v>806</v>
      </c>
      <c r="Z48" s="172">
        <f t="shared" si="29"/>
        <v>1724</v>
      </c>
      <c r="AA48" s="177">
        <f t="shared" si="30"/>
        <v>3.7488284910965321E-2</v>
      </c>
      <c r="AB48" s="177">
        <f t="shared" si="30"/>
        <v>5.0296750829896389E-2</v>
      </c>
      <c r="AC48" s="177">
        <f t="shared" si="30"/>
        <v>4.4249353959432192E-2</v>
      </c>
      <c r="AD48" s="178">
        <f>X48/R48%</f>
        <v>3.4414245548266167</v>
      </c>
      <c r="AE48" s="178">
        <f>Y48/S48%</f>
        <v>2.7026120779264327</v>
      </c>
      <c r="AF48" s="178">
        <f>Z48/T48%</f>
        <v>3.0514354490424438</v>
      </c>
    </row>
    <row r="49" spans="1:32" ht="28.5">
      <c r="A49" s="166">
        <v>4</v>
      </c>
      <c r="B49" s="43" t="s">
        <v>289</v>
      </c>
      <c r="C49" s="167">
        <v>77407</v>
      </c>
      <c r="D49" s="167">
        <v>56404</v>
      </c>
      <c r="E49" s="168">
        <f t="shared" si="24"/>
        <v>133811</v>
      </c>
      <c r="F49" s="30">
        <f>6240+3328</f>
        <v>9568</v>
      </c>
      <c r="G49" s="167">
        <f>5674+2875</f>
        <v>8549</v>
      </c>
      <c r="H49" s="168">
        <f t="shared" si="25"/>
        <v>18117</v>
      </c>
      <c r="I49" s="167"/>
      <c r="J49" s="167"/>
      <c r="K49" s="168"/>
      <c r="L49" s="30">
        <f>6240+3328</f>
        <v>9568</v>
      </c>
      <c r="M49" s="167">
        <f>5674+2875</f>
        <v>8549</v>
      </c>
      <c r="N49" s="168">
        <f t="shared" si="26"/>
        <v>18117</v>
      </c>
      <c r="O49" s="167">
        <f t="shared" si="31"/>
        <v>12.360639218675313</v>
      </c>
      <c r="P49" s="167">
        <f t="shared" si="32"/>
        <v>15.156726473299766</v>
      </c>
      <c r="Q49" s="167">
        <f t="shared" si="33"/>
        <v>13.539245652450099</v>
      </c>
      <c r="R49" s="172">
        <f t="shared" si="28"/>
        <v>9568</v>
      </c>
      <c r="S49" s="172">
        <f t="shared" si="28"/>
        <v>8549</v>
      </c>
      <c r="T49" s="172">
        <f t="shared" si="28"/>
        <v>18117</v>
      </c>
      <c r="U49" s="172">
        <v>22</v>
      </c>
      <c r="V49" s="172">
        <v>7</v>
      </c>
      <c r="W49" s="172">
        <f>U49+V49</f>
        <v>29</v>
      </c>
      <c r="X49" s="172">
        <v>283</v>
      </c>
      <c r="Y49" s="172">
        <v>187</v>
      </c>
      <c r="Z49" s="172">
        <f t="shared" si="29"/>
        <v>470</v>
      </c>
      <c r="AA49" s="177">
        <v>0</v>
      </c>
      <c r="AB49" s="177">
        <v>0</v>
      </c>
      <c r="AC49" s="177">
        <f t="shared" si="30"/>
        <v>0.16007065187393058</v>
      </c>
      <c r="AD49" s="178">
        <v>0</v>
      </c>
      <c r="AE49" s="178">
        <v>0</v>
      </c>
      <c r="AF49" s="178">
        <v>0</v>
      </c>
    </row>
    <row r="50" spans="1:32" ht="28.5">
      <c r="A50" s="266">
        <v>5</v>
      </c>
      <c r="B50" s="27" t="s">
        <v>282</v>
      </c>
      <c r="C50" s="167">
        <v>19600</v>
      </c>
      <c r="D50" s="167">
        <v>18105</v>
      </c>
      <c r="E50" s="168">
        <f t="shared" si="24"/>
        <v>37705</v>
      </c>
      <c r="F50" s="167">
        <f>7993+4981</f>
        <v>12974</v>
      </c>
      <c r="G50" s="167">
        <f>10585+6145</f>
        <v>16730</v>
      </c>
      <c r="H50" s="168">
        <f t="shared" si="25"/>
        <v>29704</v>
      </c>
      <c r="I50" s="167"/>
      <c r="J50" s="167"/>
      <c r="K50" s="168"/>
      <c r="L50" s="167">
        <f>7993+4981</f>
        <v>12974</v>
      </c>
      <c r="M50" s="167">
        <f>10585+6145</f>
        <v>16730</v>
      </c>
      <c r="N50" s="168">
        <f t="shared" si="26"/>
        <v>29704</v>
      </c>
      <c r="O50" s="167">
        <f t="shared" si="31"/>
        <v>66.193877551020407</v>
      </c>
      <c r="P50" s="167">
        <f t="shared" si="32"/>
        <v>92.405412869373095</v>
      </c>
      <c r="Q50" s="167">
        <f t="shared" si="33"/>
        <v>78.78000265216815</v>
      </c>
      <c r="R50" s="172">
        <f t="shared" si="28"/>
        <v>12974</v>
      </c>
      <c r="S50" s="172">
        <f t="shared" si="28"/>
        <v>16730</v>
      </c>
      <c r="T50" s="172">
        <f t="shared" si="28"/>
        <v>29704</v>
      </c>
      <c r="U50" s="108"/>
      <c r="V50" s="108"/>
      <c r="W50" s="108"/>
      <c r="X50" s="108"/>
      <c r="Y50" s="108"/>
      <c r="Z50" s="108"/>
      <c r="AA50" s="251"/>
      <c r="AB50" s="251"/>
      <c r="AC50" s="251"/>
      <c r="AD50" s="252"/>
      <c r="AE50" s="252"/>
      <c r="AF50" s="252"/>
    </row>
    <row r="51" spans="1:32" ht="28.5">
      <c r="A51" s="267">
        <v>6</v>
      </c>
      <c r="B51" s="210" t="s">
        <v>308</v>
      </c>
      <c r="C51" s="188">
        <f>9624+8619+1369+568+1406+664</f>
        <v>22250</v>
      </c>
      <c r="D51" s="188">
        <f>9547+10472+1586+652+1208+684+69+60+1</f>
        <v>24279</v>
      </c>
      <c r="E51" s="168">
        <f t="shared" si="24"/>
        <v>46529</v>
      </c>
      <c r="F51" s="188">
        <f>2009+1999+350+84+318+95+17</f>
        <v>4872</v>
      </c>
      <c r="G51" s="188">
        <f>2804+2375+268+99+393+128+22</f>
        <v>6089</v>
      </c>
      <c r="H51" s="168">
        <f>F51+G51</f>
        <v>10961</v>
      </c>
      <c r="I51" s="188"/>
      <c r="J51" s="188"/>
      <c r="K51" s="170"/>
      <c r="L51" s="188">
        <f>2009+1999+350+84+318+95+17</f>
        <v>4872</v>
      </c>
      <c r="M51" s="188">
        <f>2804+2375+268+99+393+128+22</f>
        <v>6089</v>
      </c>
      <c r="N51" s="168">
        <f>L51+M51</f>
        <v>10961</v>
      </c>
      <c r="O51" s="167">
        <f>+L51/C51%</f>
        <v>21.896629213483145</v>
      </c>
      <c r="P51" s="167">
        <f>+M51/D51%</f>
        <v>25.079286626302565</v>
      </c>
      <c r="Q51" s="167">
        <f>+N51/E51%</f>
        <v>23.557351329278514</v>
      </c>
      <c r="R51" s="172">
        <f>F51</f>
        <v>4872</v>
      </c>
      <c r="S51" s="172">
        <f>G51</f>
        <v>6089</v>
      </c>
      <c r="T51" s="172">
        <f>H51</f>
        <v>10961</v>
      </c>
      <c r="U51" s="212"/>
      <c r="V51" s="212"/>
      <c r="W51" s="212"/>
      <c r="X51" s="213">
        <f>174+25+5+170+12+1</f>
        <v>387</v>
      </c>
      <c r="Y51" s="213">
        <f>221+19+4+264+32+2</f>
        <v>542</v>
      </c>
      <c r="Z51" s="172">
        <f t="shared" si="29"/>
        <v>929</v>
      </c>
      <c r="AA51" s="228"/>
      <c r="AB51" s="228"/>
      <c r="AC51" s="228"/>
      <c r="AD51" s="178">
        <f>X51/R51%</f>
        <v>7.9433497536945818</v>
      </c>
      <c r="AE51" s="178">
        <f>Y51/S51%</f>
        <v>8.9012974215798977</v>
      </c>
      <c r="AF51" s="178">
        <f>Z51/T51%</f>
        <v>8.4755040598485536</v>
      </c>
    </row>
    <row r="52" spans="1:32">
      <c r="A52" s="482" t="s">
        <v>3</v>
      </c>
      <c r="B52" s="482"/>
      <c r="C52" s="217">
        <f>SUM(C9:C51)</f>
        <v>10601867</v>
      </c>
      <c r="D52" s="217">
        <f t="shared" ref="D52:K52" si="34">SUM(D9:D51)</f>
        <v>8864399</v>
      </c>
      <c r="E52" s="217">
        <f t="shared" si="34"/>
        <v>19466266</v>
      </c>
      <c r="F52" s="217">
        <f t="shared" si="34"/>
        <v>7955772</v>
      </c>
      <c r="G52" s="217">
        <f t="shared" si="34"/>
        <v>6959340</v>
      </c>
      <c r="H52" s="217">
        <f t="shared" si="34"/>
        <v>14915112</v>
      </c>
      <c r="I52" s="217">
        <f t="shared" si="34"/>
        <v>265683</v>
      </c>
      <c r="J52" s="217">
        <f t="shared" si="34"/>
        <v>212579</v>
      </c>
      <c r="K52" s="217">
        <f t="shared" si="34"/>
        <v>478262</v>
      </c>
      <c r="L52" s="217">
        <f>SUM(L9:L51)</f>
        <v>8221455</v>
      </c>
      <c r="M52" s="217">
        <f>SUM(M9:M51)</f>
        <v>7171919</v>
      </c>
      <c r="N52" s="217">
        <f>SUM(N9:N51)</f>
        <v>15393374</v>
      </c>
      <c r="O52" s="218">
        <f t="shared" si="31"/>
        <v>77.547237670497097</v>
      </c>
      <c r="P52" s="218">
        <f t="shared" si="31"/>
        <v>80.906996627746551</v>
      </c>
      <c r="Q52" s="218">
        <f t="shared" si="31"/>
        <v>79.077178951525681</v>
      </c>
      <c r="R52" s="217">
        <f t="shared" ref="R52:Z52" si="35">SUM(R9:R51)</f>
        <v>8221455</v>
      </c>
      <c r="S52" s="217">
        <f t="shared" si="35"/>
        <v>7171919</v>
      </c>
      <c r="T52" s="217">
        <f t="shared" si="35"/>
        <v>15393374</v>
      </c>
      <c r="U52" s="217">
        <f t="shared" si="35"/>
        <v>953457</v>
      </c>
      <c r="V52" s="217">
        <f t="shared" si="35"/>
        <v>1115694</v>
      </c>
      <c r="W52" s="217">
        <f t="shared" si="35"/>
        <v>2069151</v>
      </c>
      <c r="X52" s="217">
        <f t="shared" si="35"/>
        <v>2014122</v>
      </c>
      <c r="Y52" s="217">
        <f t="shared" si="35"/>
        <v>1825260</v>
      </c>
      <c r="Z52" s="217">
        <f t="shared" si="35"/>
        <v>3839382</v>
      </c>
      <c r="AA52" s="219">
        <f>+U52/R52%</f>
        <v>11.597180790991375</v>
      </c>
      <c r="AB52" s="219">
        <f t="shared" ref="AB52:AC52" si="36">+V52/S52%</f>
        <v>15.556422207222361</v>
      </c>
      <c r="AC52" s="219">
        <f t="shared" si="36"/>
        <v>13.441828932370512</v>
      </c>
      <c r="AD52" s="219">
        <f>+X52/R52%</f>
        <v>24.49836434061854</v>
      </c>
      <c r="AE52" s="219">
        <f t="shared" ref="AE52:AF52" si="37">+Y52/S52%</f>
        <v>25.450092227756613</v>
      </c>
      <c r="AF52" s="219">
        <f t="shared" si="37"/>
        <v>24.941783393296365</v>
      </c>
    </row>
    <row r="53" spans="1:32">
      <c r="A53" s="196"/>
      <c r="B53" s="197"/>
      <c r="C53" s="200" t="s">
        <v>278</v>
      </c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3"/>
      <c r="P53" s="263"/>
      <c r="Q53" s="263"/>
      <c r="R53" s="484" t="s">
        <v>278</v>
      </c>
      <c r="S53" s="484"/>
      <c r="T53" s="484"/>
      <c r="U53" s="484"/>
      <c r="V53" s="484"/>
      <c r="W53" s="484"/>
      <c r="X53" s="484"/>
      <c r="Y53" s="484"/>
      <c r="Z53" s="484"/>
      <c r="AA53" s="484"/>
      <c r="AB53" s="484"/>
      <c r="AC53" s="484"/>
      <c r="AD53" s="484"/>
      <c r="AE53" s="484"/>
      <c r="AF53" s="484"/>
    </row>
    <row r="54" spans="1:32">
      <c r="A54" s="198"/>
      <c r="B54" s="199"/>
      <c r="C54" s="200" t="s">
        <v>248</v>
      </c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201"/>
      <c r="P54" s="201"/>
      <c r="Q54" s="201"/>
      <c r="R54" s="484" t="s">
        <v>248</v>
      </c>
      <c r="S54" s="484"/>
      <c r="T54" s="484"/>
      <c r="U54" s="484"/>
      <c r="V54" s="484"/>
      <c r="W54" s="484"/>
      <c r="X54" s="484"/>
      <c r="Y54" s="484"/>
      <c r="Z54" s="484"/>
      <c r="AA54" s="484"/>
      <c r="AB54" s="484"/>
      <c r="AC54" s="484"/>
      <c r="AD54" s="484"/>
      <c r="AE54" s="484"/>
      <c r="AF54" s="484"/>
    </row>
    <row r="55" spans="1:32">
      <c r="A55" s="202"/>
      <c r="B55" s="203"/>
      <c r="C55" s="200" t="s">
        <v>228</v>
      </c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201"/>
      <c r="P55" s="201"/>
      <c r="Q55" s="201"/>
      <c r="R55" s="484" t="s">
        <v>228</v>
      </c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/>
      <c r="AD55" s="484"/>
      <c r="AE55" s="484"/>
      <c r="AF55" s="484"/>
    </row>
    <row r="56" spans="1:32">
      <c r="A56" s="202"/>
      <c r="B56" s="203"/>
      <c r="C56" s="368" t="s">
        <v>332</v>
      </c>
      <c r="D56" s="368"/>
      <c r="E56" s="368"/>
      <c r="F56" s="369" t="s">
        <v>333</v>
      </c>
      <c r="G56" s="368"/>
      <c r="H56" s="368"/>
      <c r="I56" s="368"/>
      <c r="R56" s="368" t="s">
        <v>332</v>
      </c>
      <c r="S56" s="368"/>
      <c r="T56" s="368"/>
      <c r="U56" s="369" t="s">
        <v>333</v>
      </c>
      <c r="V56" s="368"/>
      <c r="W56" s="368"/>
      <c r="X56" s="368"/>
    </row>
    <row r="57" spans="1:32">
      <c r="A57" s="204"/>
      <c r="B57" s="144"/>
    </row>
    <row r="58" spans="1:32">
      <c r="A58" s="204"/>
      <c r="B58" s="144"/>
    </row>
    <row r="59" spans="1:32">
      <c r="A59" s="204"/>
      <c r="B59" s="144"/>
    </row>
    <row r="60" spans="1:32">
      <c r="A60" s="204"/>
      <c r="B60" s="144"/>
    </row>
    <row r="61" spans="1:32">
      <c r="A61" s="204"/>
      <c r="B61" s="144"/>
    </row>
    <row r="62" spans="1:32">
      <c r="A62" s="204"/>
      <c r="B62" s="144"/>
    </row>
    <row r="63" spans="1:32">
      <c r="A63" s="204"/>
      <c r="B63" s="144"/>
    </row>
    <row r="64" spans="1:32">
      <c r="A64" s="204"/>
      <c r="B64" s="144"/>
    </row>
    <row r="65" spans="1:2">
      <c r="A65" s="204"/>
      <c r="B65" s="144"/>
    </row>
    <row r="66" spans="1:2">
      <c r="A66" s="204"/>
      <c r="B66" s="144"/>
    </row>
    <row r="67" spans="1:2">
      <c r="A67" s="204"/>
      <c r="B67" s="144"/>
    </row>
    <row r="68" spans="1:2">
      <c r="A68" s="204"/>
      <c r="B68" s="144"/>
    </row>
    <row r="69" spans="1:2">
      <c r="A69" s="204"/>
      <c r="B69" s="144"/>
    </row>
    <row r="70" spans="1:2">
      <c r="A70" s="204"/>
      <c r="B70" s="144"/>
    </row>
    <row r="71" spans="1:2">
      <c r="A71" s="204"/>
      <c r="B71" s="144"/>
    </row>
    <row r="72" spans="1:2">
      <c r="A72" s="204"/>
      <c r="B72" s="144"/>
    </row>
    <row r="73" spans="1:2">
      <c r="A73" s="204"/>
      <c r="B73" s="144"/>
    </row>
    <row r="74" spans="1:2">
      <c r="A74" s="204"/>
      <c r="B74" s="144"/>
    </row>
    <row r="75" spans="1:2">
      <c r="A75" s="204"/>
      <c r="B75" s="144"/>
    </row>
    <row r="76" spans="1:2">
      <c r="A76" s="204"/>
      <c r="B76" s="144"/>
    </row>
    <row r="77" spans="1:2">
      <c r="A77" s="204"/>
      <c r="B77" s="144"/>
    </row>
    <row r="78" spans="1:2">
      <c r="A78" s="204"/>
      <c r="B78" s="144"/>
    </row>
    <row r="79" spans="1:2">
      <c r="A79" s="204"/>
      <c r="B79" s="144"/>
    </row>
    <row r="80" spans="1:2">
      <c r="A80" s="204"/>
      <c r="B80" s="144"/>
    </row>
    <row r="81" spans="1:2">
      <c r="A81" s="204"/>
      <c r="B81" s="144"/>
    </row>
    <row r="82" spans="1:2">
      <c r="A82" s="204"/>
      <c r="B82" s="144"/>
    </row>
    <row r="83" spans="1:2">
      <c r="A83" s="204"/>
      <c r="B83" s="144"/>
    </row>
    <row r="84" spans="1:2">
      <c r="A84" s="204"/>
      <c r="B84" s="144"/>
    </row>
    <row r="85" spans="1:2">
      <c r="A85" s="204"/>
      <c r="B85" s="144"/>
    </row>
    <row r="86" spans="1:2">
      <c r="A86" s="204"/>
      <c r="B86" s="144"/>
    </row>
    <row r="87" spans="1:2">
      <c r="A87" s="204"/>
      <c r="B87" s="144"/>
    </row>
    <row r="88" spans="1:2">
      <c r="A88" s="204"/>
      <c r="B88" s="144"/>
    </row>
    <row r="89" spans="1:2">
      <c r="A89" s="204"/>
      <c r="B89" s="144"/>
    </row>
    <row r="90" spans="1:2">
      <c r="A90" s="204"/>
      <c r="B90" s="144"/>
    </row>
    <row r="91" spans="1:2">
      <c r="A91" s="204"/>
      <c r="B91" s="144"/>
    </row>
    <row r="92" spans="1:2">
      <c r="A92" s="204"/>
      <c r="B92" s="144"/>
    </row>
    <row r="93" spans="1:2">
      <c r="A93" s="204"/>
      <c r="B93" s="144"/>
    </row>
  </sheetData>
  <mergeCells count="43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I45:J45"/>
    <mergeCell ref="K45:L45"/>
    <mergeCell ref="M45:N45"/>
    <mergeCell ref="R55:AF55"/>
    <mergeCell ref="R53:AF53"/>
    <mergeCell ref="R54:AF54"/>
    <mergeCell ref="AA45:AB45"/>
    <mergeCell ref="AC45:AD45"/>
    <mergeCell ref="AE45:AF45"/>
    <mergeCell ref="O45:P45"/>
    <mergeCell ref="Q45:R45"/>
    <mergeCell ref="S45:T45"/>
    <mergeCell ref="U45:V45"/>
    <mergeCell ref="W45:X45"/>
    <mergeCell ref="Y45:Z45"/>
    <mergeCell ref="A52:B52"/>
    <mergeCell ref="A45:B45"/>
    <mergeCell ref="C45:D45"/>
    <mergeCell ref="E45:F45"/>
    <mergeCell ref="G45:H45"/>
  </mergeCells>
  <hyperlinks>
    <hyperlink ref="F56" r:id="rId1"/>
    <hyperlink ref="U56" r:id="rId2"/>
  </hyperlinks>
  <pageMargins left="0.23622047244094491" right="0.23622047244094491" top="0.74803149606299213" bottom="0.74803149606299213" header="0.31496062992125984" footer="0.31496062992125984"/>
  <pageSetup paperSize="9" scale="65" firstPageNumber="73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F94"/>
  <sheetViews>
    <sheetView view="pageBreakPreview" zoomScale="60" workbookViewId="0">
      <selection activeCell="R3" sqref="R3:T5"/>
    </sheetView>
  </sheetViews>
  <sheetFormatPr defaultRowHeight="15"/>
  <cols>
    <col min="1" max="1" width="9.28515625" bestFit="1" customWidth="1"/>
    <col min="2" max="2" width="36.140625" customWidth="1"/>
    <col min="3" max="3" width="12" customWidth="1"/>
    <col min="4" max="4" width="10.42578125" bestFit="1" customWidth="1"/>
    <col min="5" max="5" width="11.7109375" bestFit="1" customWidth="1"/>
    <col min="6" max="7" width="9.28515625" bestFit="1" customWidth="1"/>
    <col min="8" max="8" width="9.85546875" bestFit="1" customWidth="1"/>
    <col min="9" max="11" width="9.28515625" bestFit="1" customWidth="1"/>
    <col min="12" max="13" width="10.42578125" bestFit="1" customWidth="1"/>
    <col min="14" max="14" width="11.7109375" bestFit="1" customWidth="1"/>
    <col min="15" max="17" width="9.28515625" bestFit="1" customWidth="1"/>
  </cols>
  <sheetData>
    <row r="1" spans="1:32" ht="18" customHeight="1">
      <c r="A1" s="144"/>
      <c r="B1" s="163"/>
      <c r="C1" s="450" t="s">
        <v>290</v>
      </c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157" t="s">
        <v>290</v>
      </c>
      <c r="S1" s="157"/>
      <c r="T1" s="157"/>
      <c r="U1" s="144"/>
      <c r="V1" s="144"/>
      <c r="W1" s="34"/>
      <c r="X1" s="144"/>
      <c r="Y1" s="144"/>
      <c r="Z1" s="34"/>
      <c r="AA1" s="144"/>
      <c r="AB1" s="144"/>
      <c r="AC1" s="144"/>
      <c r="AD1" s="144"/>
      <c r="AE1" s="144"/>
      <c r="AF1" s="144"/>
    </row>
    <row r="2" spans="1:32" ht="15.75" customHeight="1">
      <c r="A2" s="164"/>
      <c r="B2" s="165"/>
      <c r="C2" s="452" t="s">
        <v>339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146" t="s">
        <v>340</v>
      </c>
      <c r="S2" s="146"/>
      <c r="T2" s="146"/>
      <c r="U2" s="146"/>
      <c r="V2" s="146"/>
      <c r="W2" s="268"/>
      <c r="X2" s="146"/>
      <c r="Y2" s="146"/>
      <c r="Z2" s="268"/>
      <c r="AA2" s="146"/>
      <c r="AB2" s="146"/>
      <c r="AC2" s="146"/>
      <c r="AD2" s="146"/>
      <c r="AE2" s="146"/>
      <c r="AF2" s="146"/>
    </row>
    <row r="3" spans="1:32" ht="15" customHeight="1">
      <c r="A3" s="458" t="s">
        <v>192</v>
      </c>
      <c r="B3" s="517" t="s">
        <v>260</v>
      </c>
      <c r="C3" s="517" t="s">
        <v>188</v>
      </c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446" t="s">
        <v>189</v>
      </c>
      <c r="P3" s="446"/>
      <c r="Q3" s="446"/>
      <c r="R3" s="489" t="s">
        <v>193</v>
      </c>
      <c r="S3" s="490"/>
      <c r="T3" s="491"/>
      <c r="U3" s="489" t="s">
        <v>194</v>
      </c>
      <c r="V3" s="490"/>
      <c r="W3" s="490"/>
      <c r="X3" s="490"/>
      <c r="Y3" s="490"/>
      <c r="Z3" s="491"/>
      <c r="AA3" s="489" t="s">
        <v>195</v>
      </c>
      <c r="AB3" s="490"/>
      <c r="AC3" s="490"/>
      <c r="AD3" s="490"/>
      <c r="AE3" s="490"/>
      <c r="AF3" s="491"/>
    </row>
    <row r="4" spans="1:32">
      <c r="A4" s="458"/>
      <c r="B4" s="517"/>
      <c r="C4" s="517" t="s">
        <v>5</v>
      </c>
      <c r="D4" s="517"/>
      <c r="E4" s="517"/>
      <c r="F4" s="517" t="s">
        <v>6</v>
      </c>
      <c r="G4" s="517"/>
      <c r="H4" s="517"/>
      <c r="I4" s="517"/>
      <c r="J4" s="517"/>
      <c r="K4" s="517"/>
      <c r="L4" s="517"/>
      <c r="M4" s="517"/>
      <c r="N4" s="517"/>
      <c r="O4" s="446"/>
      <c r="P4" s="446"/>
      <c r="Q4" s="446"/>
      <c r="R4" s="492"/>
      <c r="S4" s="493"/>
      <c r="T4" s="494"/>
      <c r="U4" s="495"/>
      <c r="V4" s="496"/>
      <c r="W4" s="496"/>
      <c r="X4" s="496"/>
      <c r="Y4" s="496"/>
      <c r="Z4" s="497"/>
      <c r="AA4" s="495"/>
      <c r="AB4" s="496"/>
      <c r="AC4" s="496"/>
      <c r="AD4" s="496"/>
      <c r="AE4" s="496"/>
      <c r="AF4" s="497"/>
    </row>
    <row r="5" spans="1:32" ht="15" customHeight="1">
      <c r="A5" s="458"/>
      <c r="B5" s="517"/>
      <c r="C5" s="517"/>
      <c r="D5" s="517"/>
      <c r="E5" s="517"/>
      <c r="F5" s="517" t="s">
        <v>51</v>
      </c>
      <c r="G5" s="517"/>
      <c r="H5" s="517"/>
      <c r="I5" s="517" t="s">
        <v>190</v>
      </c>
      <c r="J5" s="517"/>
      <c r="K5" s="517"/>
      <c r="L5" s="517" t="s">
        <v>262</v>
      </c>
      <c r="M5" s="517"/>
      <c r="N5" s="517"/>
      <c r="O5" s="446"/>
      <c r="P5" s="446"/>
      <c r="Q5" s="446"/>
      <c r="R5" s="495"/>
      <c r="S5" s="496"/>
      <c r="T5" s="497"/>
      <c r="U5" s="498" t="s">
        <v>229</v>
      </c>
      <c r="V5" s="499"/>
      <c r="W5" s="500"/>
      <c r="X5" s="498" t="s">
        <v>230</v>
      </c>
      <c r="Y5" s="499"/>
      <c r="Z5" s="500"/>
      <c r="AA5" s="498" t="s">
        <v>229</v>
      </c>
      <c r="AB5" s="499"/>
      <c r="AC5" s="500"/>
      <c r="AD5" s="498" t="s">
        <v>230</v>
      </c>
      <c r="AE5" s="499"/>
      <c r="AF5" s="500"/>
    </row>
    <row r="6" spans="1:32">
      <c r="A6" s="458"/>
      <c r="B6" s="517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269" t="s">
        <v>3</v>
      </c>
      <c r="X6" s="158" t="s">
        <v>43</v>
      </c>
      <c r="Y6" s="158" t="s">
        <v>44</v>
      </c>
      <c r="Z6" s="269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270">
        <v>8</v>
      </c>
      <c r="X7" s="78">
        <v>9</v>
      </c>
      <c r="Y7" s="78">
        <v>10</v>
      </c>
      <c r="Z7" s="270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>
      <c r="A8" s="512" t="s">
        <v>216</v>
      </c>
      <c r="B8" s="512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485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7"/>
    </row>
    <row r="9" spans="1:32" ht="28.5">
      <c r="A9" s="166">
        <v>1</v>
      </c>
      <c r="B9" s="27" t="s">
        <v>143</v>
      </c>
      <c r="C9" s="274">
        <v>746079</v>
      </c>
      <c r="D9" s="274">
        <v>508924</v>
      </c>
      <c r="E9" s="274">
        <v>1255003</v>
      </c>
      <c r="F9" s="274">
        <v>735948</v>
      </c>
      <c r="G9" s="274">
        <v>503506</v>
      </c>
      <c r="H9" s="274">
        <v>1239454</v>
      </c>
      <c r="I9" s="274">
        <v>1202</v>
      </c>
      <c r="J9" s="274">
        <v>622</v>
      </c>
      <c r="K9" s="274">
        <v>1824</v>
      </c>
      <c r="L9" s="271">
        <v>737150</v>
      </c>
      <c r="M9" s="271">
        <v>504128</v>
      </c>
      <c r="N9" s="271">
        <v>1241278</v>
      </c>
      <c r="O9" s="273">
        <v>98.803209847750708</v>
      </c>
      <c r="P9" s="273">
        <v>99.05761960528487</v>
      </c>
      <c r="Q9" s="273">
        <v>98.906377116230004</v>
      </c>
      <c r="R9" s="276">
        <f>L9</f>
        <v>737150</v>
      </c>
      <c r="S9" s="276">
        <f>M9</f>
        <v>504128</v>
      </c>
      <c r="T9" s="276">
        <f>N9</f>
        <v>1241278</v>
      </c>
      <c r="U9" s="277">
        <v>0</v>
      </c>
      <c r="V9" s="277">
        <v>0</v>
      </c>
      <c r="W9" s="277">
        <v>0</v>
      </c>
      <c r="X9" s="277"/>
      <c r="Y9" s="277"/>
      <c r="Z9" s="277"/>
      <c r="AA9" s="278"/>
      <c r="AB9" s="278"/>
      <c r="AC9" s="278"/>
      <c r="AD9" s="278"/>
      <c r="AE9" s="278"/>
      <c r="AF9" s="278"/>
    </row>
    <row r="10" spans="1:32" ht="28.5">
      <c r="A10" s="279">
        <v>2</v>
      </c>
      <c r="B10" s="27" t="s">
        <v>231</v>
      </c>
      <c r="C10" s="274">
        <v>78457</v>
      </c>
      <c r="D10" s="274">
        <v>62453</v>
      </c>
      <c r="E10" s="274">
        <v>140910</v>
      </c>
      <c r="F10" s="274">
        <v>76681</v>
      </c>
      <c r="G10" s="274">
        <v>61701</v>
      </c>
      <c r="H10" s="274">
        <v>138382</v>
      </c>
      <c r="I10" s="277">
        <v>0</v>
      </c>
      <c r="J10" s="277">
        <v>0</v>
      </c>
      <c r="K10" s="277">
        <v>0</v>
      </c>
      <c r="L10" s="271">
        <v>76681</v>
      </c>
      <c r="M10" s="271">
        <v>61701</v>
      </c>
      <c r="N10" s="271">
        <v>138382</v>
      </c>
      <c r="O10" s="273">
        <v>97.736339651019037</v>
      </c>
      <c r="P10" s="273">
        <v>98.795894512673527</v>
      </c>
      <c r="Q10" s="273">
        <v>98.205947058406068</v>
      </c>
      <c r="R10" s="276">
        <v>76681</v>
      </c>
      <c r="S10" s="276">
        <v>61701</v>
      </c>
      <c r="T10" s="276">
        <v>138382</v>
      </c>
      <c r="U10" s="276">
        <v>39100</v>
      </c>
      <c r="V10" s="276">
        <v>35863</v>
      </c>
      <c r="W10" s="272">
        <v>74963</v>
      </c>
      <c r="X10" s="276">
        <v>24662</v>
      </c>
      <c r="Y10" s="276">
        <v>19039</v>
      </c>
      <c r="Z10" s="272">
        <v>43701</v>
      </c>
      <c r="AA10" s="280">
        <v>50.990466999647893</v>
      </c>
      <c r="AB10" s="280">
        <v>58.123855367011878</v>
      </c>
      <c r="AC10" s="280">
        <v>54.171062710468128</v>
      </c>
      <c r="AD10" s="280">
        <v>32.161813226222925</v>
      </c>
      <c r="AE10" s="280">
        <v>30.856874280805823</v>
      </c>
      <c r="AF10" s="280">
        <v>31.579974274110796</v>
      </c>
    </row>
    <row r="11" spans="1:32">
      <c r="A11" s="512" t="s">
        <v>217</v>
      </c>
      <c r="B11" s="512"/>
      <c r="C11" s="513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5"/>
      <c r="R11" s="281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3"/>
    </row>
    <row r="12" spans="1:32" ht="28.5">
      <c r="A12" s="166">
        <v>3</v>
      </c>
      <c r="B12" s="27" t="s">
        <v>263</v>
      </c>
      <c r="C12" s="274">
        <v>635913</v>
      </c>
      <c r="D12" s="274">
        <v>556163</v>
      </c>
      <c r="E12" s="274">
        <v>1192076</v>
      </c>
      <c r="F12" s="274">
        <v>511895</v>
      </c>
      <c r="G12" s="274">
        <v>477583</v>
      </c>
      <c r="H12" s="274">
        <v>989478</v>
      </c>
      <c r="I12" s="277"/>
      <c r="J12" s="277"/>
      <c r="K12" s="277"/>
      <c r="L12" s="271">
        <v>511895</v>
      </c>
      <c r="M12" s="271">
        <v>477583</v>
      </c>
      <c r="N12" s="274">
        <v>989478</v>
      </c>
      <c r="O12" s="273">
        <v>80.497646690663657</v>
      </c>
      <c r="P12" s="273">
        <v>85.871048595465709</v>
      </c>
      <c r="Q12" s="273">
        <v>83.004607088809777</v>
      </c>
      <c r="R12" s="276">
        <v>511895</v>
      </c>
      <c r="S12" s="276">
        <v>477583</v>
      </c>
      <c r="T12" s="276">
        <v>989478</v>
      </c>
      <c r="U12" s="274">
        <v>218580</v>
      </c>
      <c r="V12" s="274">
        <v>222405</v>
      </c>
      <c r="W12" s="272">
        <v>440985</v>
      </c>
      <c r="X12" s="276">
        <v>324524</v>
      </c>
      <c r="Y12" s="276">
        <v>292119</v>
      </c>
      <c r="Z12" s="272">
        <v>616643</v>
      </c>
      <c r="AA12" s="280">
        <v>42.700163119389721</v>
      </c>
      <c r="AB12" s="280">
        <v>46.56886865738521</v>
      </c>
      <c r="AC12" s="280">
        <v>44.567438588831685</v>
      </c>
      <c r="AD12" s="280">
        <v>63.396595004834978</v>
      </c>
      <c r="AE12" s="280">
        <v>61.16612190969947</v>
      </c>
      <c r="AF12" s="280">
        <v>62.320031370075938</v>
      </c>
    </row>
    <row r="13" spans="1:32" ht="28.5">
      <c r="A13" s="166">
        <v>4</v>
      </c>
      <c r="B13" s="284" t="s">
        <v>291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1"/>
      <c r="M13" s="271"/>
      <c r="N13" s="271"/>
      <c r="O13" s="273"/>
      <c r="P13" s="273"/>
      <c r="Q13" s="273"/>
      <c r="R13" s="276"/>
      <c r="S13" s="276"/>
      <c r="T13" s="276"/>
      <c r="U13" s="277"/>
      <c r="V13" s="277"/>
      <c r="W13" s="277"/>
      <c r="X13" s="277"/>
      <c r="Y13" s="277"/>
      <c r="Z13" s="277"/>
      <c r="AA13" s="278"/>
      <c r="AB13" s="278"/>
      <c r="AC13" s="278"/>
      <c r="AD13" s="278"/>
      <c r="AE13" s="278"/>
      <c r="AF13" s="278"/>
    </row>
    <row r="14" spans="1:32">
      <c r="A14" s="166">
        <v>5</v>
      </c>
      <c r="B14" s="27" t="s">
        <v>264</v>
      </c>
      <c r="C14" s="274">
        <v>187142</v>
      </c>
      <c r="D14" s="274">
        <v>197566</v>
      </c>
      <c r="E14" s="274">
        <v>384708</v>
      </c>
      <c r="F14" s="274">
        <v>135602</v>
      </c>
      <c r="G14" s="274">
        <v>133574</v>
      </c>
      <c r="H14" s="274">
        <v>269176</v>
      </c>
      <c r="I14" s="277">
        <v>0</v>
      </c>
      <c r="J14" s="277">
        <v>0</v>
      </c>
      <c r="K14" s="277">
        <v>0</v>
      </c>
      <c r="L14" s="271">
        <v>135602</v>
      </c>
      <c r="M14" s="271">
        <v>133574</v>
      </c>
      <c r="N14" s="271">
        <v>269176</v>
      </c>
      <c r="O14" s="273">
        <v>72.459415844652725</v>
      </c>
      <c r="P14" s="273">
        <v>67.609811404796375</v>
      </c>
      <c r="Q14" s="273">
        <v>69.968911486114152</v>
      </c>
      <c r="R14" s="274">
        <v>135602</v>
      </c>
      <c r="S14" s="274">
        <v>133574</v>
      </c>
      <c r="T14" s="274">
        <v>269176</v>
      </c>
      <c r="U14" s="274">
        <v>3462</v>
      </c>
      <c r="V14" s="274">
        <v>2991</v>
      </c>
      <c r="W14" s="274">
        <v>6453</v>
      </c>
      <c r="X14" s="274">
        <v>15764</v>
      </c>
      <c r="Y14" s="274">
        <v>12902</v>
      </c>
      <c r="Z14" s="274">
        <v>28666</v>
      </c>
      <c r="AA14" s="285">
        <v>2.5530596893851123</v>
      </c>
      <c r="AB14" s="285">
        <v>2.2392082291463908</v>
      </c>
      <c r="AC14" s="285">
        <v>2.3973162540493949</v>
      </c>
      <c r="AD14" s="285">
        <v>11.625197268476866</v>
      </c>
      <c r="AE14" s="285">
        <v>9.6590653869765077</v>
      </c>
      <c r="AF14" s="285">
        <v>10.649537848842392</v>
      </c>
    </row>
    <row r="15" spans="1:32">
      <c r="A15" s="166">
        <v>6</v>
      </c>
      <c r="B15" s="27" t="s">
        <v>265</v>
      </c>
      <c r="C15" s="274">
        <v>5860</v>
      </c>
      <c r="D15" s="274">
        <v>3972</v>
      </c>
      <c r="E15" s="274">
        <v>9832</v>
      </c>
      <c r="F15" s="274">
        <v>2633</v>
      </c>
      <c r="G15" s="274">
        <v>1991</v>
      </c>
      <c r="H15" s="274">
        <v>4624</v>
      </c>
      <c r="I15" s="277"/>
      <c r="J15" s="277"/>
      <c r="K15" s="277"/>
      <c r="L15" s="271">
        <v>2633</v>
      </c>
      <c r="M15" s="271">
        <v>1991</v>
      </c>
      <c r="N15" s="274">
        <v>4624</v>
      </c>
      <c r="O15" s="273">
        <v>44.931740614334473</v>
      </c>
      <c r="P15" s="273">
        <v>50.125881168177244</v>
      </c>
      <c r="Q15" s="273">
        <v>47.030105777054516</v>
      </c>
      <c r="R15" s="276">
        <v>2633</v>
      </c>
      <c r="S15" s="276">
        <v>1991</v>
      </c>
      <c r="T15" s="276">
        <v>4624</v>
      </c>
      <c r="U15" s="277"/>
      <c r="V15" s="277"/>
      <c r="W15" s="277">
        <v>0</v>
      </c>
      <c r="X15" s="277"/>
      <c r="Y15" s="277"/>
      <c r="Z15" s="277">
        <v>0</v>
      </c>
      <c r="AA15" s="278"/>
      <c r="AB15" s="278"/>
      <c r="AC15" s="278"/>
      <c r="AD15" s="278"/>
      <c r="AE15" s="278"/>
      <c r="AF15" s="278"/>
    </row>
    <row r="16" spans="1:32">
      <c r="A16" s="166">
        <v>7</v>
      </c>
      <c r="B16" s="27" t="s">
        <v>266</v>
      </c>
      <c r="C16" s="274">
        <v>19</v>
      </c>
      <c r="D16" s="274">
        <v>165</v>
      </c>
      <c r="E16" s="274">
        <v>184</v>
      </c>
      <c r="F16" s="274">
        <v>19</v>
      </c>
      <c r="G16" s="274">
        <v>160</v>
      </c>
      <c r="H16" s="274">
        <v>179</v>
      </c>
      <c r="I16" s="274">
        <v>0</v>
      </c>
      <c r="J16" s="274">
        <v>3</v>
      </c>
      <c r="K16" s="274">
        <v>3</v>
      </c>
      <c r="L16" s="271">
        <v>19</v>
      </c>
      <c r="M16" s="271">
        <v>163</v>
      </c>
      <c r="N16" s="274">
        <v>182</v>
      </c>
      <c r="O16" s="273">
        <v>100</v>
      </c>
      <c r="P16" s="273">
        <v>98.787878787878796</v>
      </c>
      <c r="Q16" s="273">
        <v>98.91304347826086</v>
      </c>
      <c r="R16" s="276">
        <v>19</v>
      </c>
      <c r="S16" s="276">
        <v>163</v>
      </c>
      <c r="T16" s="276">
        <v>182</v>
      </c>
      <c r="U16" s="286">
        <v>14</v>
      </c>
      <c r="V16" s="286">
        <v>57</v>
      </c>
      <c r="W16" s="272">
        <v>71</v>
      </c>
      <c r="X16" s="276">
        <v>2</v>
      </c>
      <c r="Y16" s="276">
        <v>80</v>
      </c>
      <c r="Z16" s="272">
        <v>82</v>
      </c>
      <c r="AA16" s="280">
        <v>73.684210526315795</v>
      </c>
      <c r="AB16" s="280">
        <v>34.969325153374236</v>
      </c>
      <c r="AC16" s="280">
        <v>39.010989010989007</v>
      </c>
      <c r="AD16" s="280">
        <v>10.526315789473685</v>
      </c>
      <c r="AE16" s="280">
        <v>49.079754601226995</v>
      </c>
      <c r="AF16" s="280">
        <v>45.054945054945051</v>
      </c>
    </row>
    <row r="17" spans="1:32">
      <c r="A17" s="166">
        <v>8</v>
      </c>
      <c r="B17" s="27" t="s">
        <v>138</v>
      </c>
      <c r="C17" s="274">
        <v>669881</v>
      </c>
      <c r="D17" s="274">
        <v>536811</v>
      </c>
      <c r="E17" s="274">
        <v>1206692</v>
      </c>
      <c r="F17" s="274">
        <v>519063</v>
      </c>
      <c r="G17" s="274">
        <v>376146</v>
      </c>
      <c r="H17" s="274">
        <v>895209</v>
      </c>
      <c r="I17" s="274">
        <v>19025</v>
      </c>
      <c r="J17" s="274">
        <v>26189</v>
      </c>
      <c r="K17" s="274">
        <v>45214</v>
      </c>
      <c r="L17" s="271">
        <v>538088</v>
      </c>
      <c r="M17" s="271">
        <v>402335</v>
      </c>
      <c r="N17" s="274">
        <v>940423</v>
      </c>
      <c r="O17" s="273">
        <v>80.325908631533053</v>
      </c>
      <c r="P17" s="273">
        <v>74.949097540847703</v>
      </c>
      <c r="Q17" s="273">
        <v>77.933971551978459</v>
      </c>
      <c r="R17" s="276">
        <v>538088</v>
      </c>
      <c r="S17" s="276">
        <v>402335</v>
      </c>
      <c r="T17" s="276">
        <v>940423</v>
      </c>
      <c r="U17" s="286">
        <v>11740</v>
      </c>
      <c r="V17" s="286">
        <v>5427</v>
      </c>
      <c r="W17" s="272">
        <v>17167</v>
      </c>
      <c r="X17" s="276">
        <v>139373</v>
      </c>
      <c r="Y17" s="276">
        <v>77829</v>
      </c>
      <c r="Z17" s="272">
        <v>217202</v>
      </c>
      <c r="AA17" s="280">
        <v>2.1817992596006599</v>
      </c>
      <c r="AB17" s="280">
        <v>1.3488759367194005</v>
      </c>
      <c r="AC17" s="280">
        <v>1.8254551409312618</v>
      </c>
      <c r="AD17" s="280">
        <v>25.901525401049643</v>
      </c>
      <c r="AE17" s="280">
        <v>19.344327488287124</v>
      </c>
      <c r="AF17" s="280">
        <v>23.096202453576744</v>
      </c>
    </row>
    <row r="18" spans="1:32">
      <c r="A18" s="166">
        <v>9</v>
      </c>
      <c r="B18" s="27" t="s">
        <v>267</v>
      </c>
      <c r="C18" s="274">
        <v>18565</v>
      </c>
      <c r="D18" s="274">
        <v>32168</v>
      </c>
      <c r="E18" s="274">
        <v>50733</v>
      </c>
      <c r="F18" s="274">
        <v>16592</v>
      </c>
      <c r="G18" s="274">
        <v>29490</v>
      </c>
      <c r="H18" s="274">
        <v>46082</v>
      </c>
      <c r="I18" s="277">
        <v>0</v>
      </c>
      <c r="J18" s="277">
        <v>0</v>
      </c>
      <c r="K18" s="277">
        <v>0</v>
      </c>
      <c r="L18" s="271">
        <v>16592</v>
      </c>
      <c r="M18" s="271">
        <v>29490</v>
      </c>
      <c r="N18" s="274">
        <v>46082</v>
      </c>
      <c r="O18" s="273">
        <v>89.372475087530304</v>
      </c>
      <c r="P18" s="273">
        <v>91.674956478487928</v>
      </c>
      <c r="Q18" s="273">
        <v>90.832397059113404</v>
      </c>
      <c r="R18" s="276">
        <v>16592</v>
      </c>
      <c r="S18" s="276">
        <v>29490</v>
      </c>
      <c r="T18" s="276">
        <v>46082</v>
      </c>
      <c r="U18" s="277"/>
      <c r="V18" s="277"/>
      <c r="W18" s="277">
        <v>0</v>
      </c>
      <c r="X18" s="276">
        <v>11136</v>
      </c>
      <c r="Y18" s="276">
        <v>18063</v>
      </c>
      <c r="Z18" s="272">
        <v>29199</v>
      </c>
      <c r="AA18" s="278">
        <v>0</v>
      </c>
      <c r="AB18" s="278">
        <v>0</v>
      </c>
      <c r="AC18" s="278">
        <v>0</v>
      </c>
      <c r="AD18" s="280">
        <v>67.11668273866924</v>
      </c>
      <c r="AE18" s="280">
        <v>61.251271617497459</v>
      </c>
      <c r="AF18" s="280">
        <v>63.363135280586782</v>
      </c>
    </row>
    <row r="19" spans="1:32" ht="28.5">
      <c r="A19" s="166">
        <v>10</v>
      </c>
      <c r="B19" s="27" t="s">
        <v>145</v>
      </c>
      <c r="C19" s="274">
        <v>225767</v>
      </c>
      <c r="D19" s="274">
        <v>225878</v>
      </c>
      <c r="E19" s="274">
        <v>451645</v>
      </c>
      <c r="F19" s="274">
        <v>122297</v>
      </c>
      <c r="G19" s="274">
        <v>125918</v>
      </c>
      <c r="H19" s="274">
        <v>248215</v>
      </c>
      <c r="I19" s="274">
        <v>1243</v>
      </c>
      <c r="J19" s="274">
        <v>1181</v>
      </c>
      <c r="K19" s="274">
        <v>2424</v>
      </c>
      <c r="L19" s="274">
        <v>123540</v>
      </c>
      <c r="M19" s="274">
        <v>127099</v>
      </c>
      <c r="N19" s="274">
        <v>250639</v>
      </c>
      <c r="O19" s="273">
        <v>54.720131817316087</v>
      </c>
      <c r="P19" s="273">
        <v>56.268870806364504</v>
      </c>
      <c r="Q19" s="273">
        <v>55.494691627273632</v>
      </c>
      <c r="R19" s="276">
        <v>123540</v>
      </c>
      <c r="S19" s="276">
        <v>127099</v>
      </c>
      <c r="T19" s="276">
        <v>250639</v>
      </c>
      <c r="U19" s="286">
        <v>5388</v>
      </c>
      <c r="V19" s="286">
        <v>4709</v>
      </c>
      <c r="W19" s="272">
        <v>10097</v>
      </c>
      <c r="X19" s="276">
        <v>11573</v>
      </c>
      <c r="Y19" s="276">
        <v>11460</v>
      </c>
      <c r="Z19" s="272">
        <v>23033</v>
      </c>
      <c r="AA19" s="280">
        <v>4.3613404565322966</v>
      </c>
      <c r="AB19" s="280">
        <v>3.7049858771508823</v>
      </c>
      <c r="AC19" s="280">
        <v>4.0285031459589291</v>
      </c>
      <c r="AD19" s="280">
        <v>9.3678160919540225</v>
      </c>
      <c r="AE19" s="280">
        <v>9.0165933642278855</v>
      </c>
      <c r="AF19" s="280">
        <v>9.189711098432408</v>
      </c>
    </row>
    <row r="20" spans="1:32">
      <c r="A20" s="166">
        <v>11</v>
      </c>
      <c r="B20" s="27" t="s">
        <v>268</v>
      </c>
      <c r="C20" s="274">
        <v>120</v>
      </c>
      <c r="D20" s="274">
        <v>81</v>
      </c>
      <c r="E20" s="274">
        <v>201</v>
      </c>
      <c r="F20" s="274">
        <v>44</v>
      </c>
      <c r="G20" s="274">
        <v>37</v>
      </c>
      <c r="H20" s="274">
        <v>81</v>
      </c>
      <c r="I20" s="274">
        <v>12</v>
      </c>
      <c r="J20" s="274">
        <v>18</v>
      </c>
      <c r="K20" s="274">
        <v>30</v>
      </c>
      <c r="L20" s="274">
        <v>56</v>
      </c>
      <c r="M20" s="274">
        <v>55</v>
      </c>
      <c r="N20" s="274">
        <v>111</v>
      </c>
      <c r="O20" s="273">
        <v>46.666666666666664</v>
      </c>
      <c r="P20" s="273">
        <v>67.901234567901241</v>
      </c>
      <c r="Q20" s="273">
        <v>55.223880597014926</v>
      </c>
      <c r="R20" s="276">
        <v>56</v>
      </c>
      <c r="S20" s="276">
        <v>55</v>
      </c>
      <c r="T20" s="276">
        <v>111</v>
      </c>
      <c r="U20" s="277">
        <v>0</v>
      </c>
      <c r="V20" s="277">
        <v>0</v>
      </c>
      <c r="W20" s="277">
        <v>0</v>
      </c>
      <c r="X20" s="276">
        <v>5</v>
      </c>
      <c r="Y20" s="276">
        <v>2</v>
      </c>
      <c r="Z20" s="272">
        <v>7</v>
      </c>
      <c r="AA20" s="278">
        <v>0</v>
      </c>
      <c r="AB20" s="278">
        <v>0</v>
      </c>
      <c r="AC20" s="278">
        <v>0</v>
      </c>
      <c r="AD20" s="280">
        <v>1</v>
      </c>
      <c r="AE20" s="280">
        <v>3.6363636363636362</v>
      </c>
      <c r="AF20" s="280">
        <v>6.3063063063063058</v>
      </c>
    </row>
    <row r="21" spans="1:32">
      <c r="A21" s="166">
        <v>12</v>
      </c>
      <c r="B21" s="27" t="s">
        <v>144</v>
      </c>
      <c r="C21" s="289">
        <v>320</v>
      </c>
      <c r="D21" s="289">
        <v>208</v>
      </c>
      <c r="E21" s="289">
        <v>528</v>
      </c>
      <c r="F21" s="289">
        <v>288</v>
      </c>
      <c r="G21" s="289">
        <v>190</v>
      </c>
      <c r="H21" s="289">
        <v>478</v>
      </c>
      <c r="I21" s="289">
        <v>21</v>
      </c>
      <c r="J21" s="289">
        <v>13</v>
      </c>
      <c r="K21" s="289">
        <v>34</v>
      </c>
      <c r="L21" s="288">
        <v>309</v>
      </c>
      <c r="M21" s="288">
        <v>203</v>
      </c>
      <c r="N21" s="289">
        <v>512</v>
      </c>
      <c r="O21" s="273">
        <v>96.5625</v>
      </c>
      <c r="P21" s="273">
        <v>97.59615384615384</v>
      </c>
      <c r="Q21" s="273">
        <v>96.969696969696969</v>
      </c>
      <c r="R21" s="290">
        <v>309</v>
      </c>
      <c r="S21" s="290">
        <v>203</v>
      </c>
      <c r="T21" s="290">
        <v>512</v>
      </c>
      <c r="U21" s="287"/>
      <c r="V21" s="287"/>
      <c r="W21" s="277">
        <v>0</v>
      </c>
      <c r="X21" s="290">
        <v>56</v>
      </c>
      <c r="Y21" s="290">
        <v>27</v>
      </c>
      <c r="Z21" s="272">
        <v>83</v>
      </c>
      <c r="AA21" s="291">
        <v>0</v>
      </c>
      <c r="AB21" s="291">
        <v>0</v>
      </c>
      <c r="AC21" s="291">
        <v>0</v>
      </c>
      <c r="AD21" s="292">
        <v>18.122977346278319</v>
      </c>
      <c r="AE21" s="292">
        <v>13.300492610837439</v>
      </c>
      <c r="AF21" s="292">
        <v>16.2109375</v>
      </c>
    </row>
    <row r="22" spans="1:32" ht="28.5">
      <c r="A22" s="166">
        <v>13</v>
      </c>
      <c r="B22" s="27" t="s">
        <v>148</v>
      </c>
      <c r="C22" s="274">
        <v>10352</v>
      </c>
      <c r="D22" s="274">
        <v>10177</v>
      </c>
      <c r="E22" s="274">
        <v>20529</v>
      </c>
      <c r="F22" s="274">
        <v>8396</v>
      </c>
      <c r="G22" s="274">
        <v>8352</v>
      </c>
      <c r="H22" s="274">
        <v>16748</v>
      </c>
      <c r="I22" s="274">
        <v>396</v>
      </c>
      <c r="J22" s="274">
        <v>359</v>
      </c>
      <c r="K22" s="274">
        <v>755</v>
      </c>
      <c r="L22" s="271">
        <v>8792</v>
      </c>
      <c r="M22" s="271">
        <v>8711</v>
      </c>
      <c r="N22" s="274">
        <v>17503</v>
      </c>
      <c r="O22" s="273">
        <v>84.930448222565687</v>
      </c>
      <c r="P22" s="273">
        <v>85.594969047852999</v>
      </c>
      <c r="Q22" s="273">
        <v>85.259876272589992</v>
      </c>
      <c r="R22" s="274">
        <v>8792</v>
      </c>
      <c r="S22" s="274">
        <v>8711</v>
      </c>
      <c r="T22" s="274">
        <v>17503</v>
      </c>
      <c r="U22" s="274">
        <v>1251</v>
      </c>
      <c r="V22" s="274">
        <v>1880</v>
      </c>
      <c r="W22" s="272">
        <v>3131</v>
      </c>
      <c r="X22" s="274">
        <v>2155</v>
      </c>
      <c r="Y22" s="274">
        <v>2482</v>
      </c>
      <c r="Z22" s="272">
        <v>4637</v>
      </c>
      <c r="AA22" s="285">
        <v>14.22884440400364</v>
      </c>
      <c r="AB22" s="285">
        <v>21.581907932499139</v>
      </c>
      <c r="AC22" s="285">
        <v>17.888361995086555</v>
      </c>
      <c r="AD22" s="285">
        <v>24.510919017288444</v>
      </c>
      <c r="AE22" s="285">
        <v>28.492710366203649</v>
      </c>
      <c r="AF22" s="285">
        <v>26.492601268353997</v>
      </c>
    </row>
    <row r="23" spans="1:32" ht="28.5">
      <c r="A23" s="166">
        <v>14</v>
      </c>
      <c r="B23" s="27" t="s">
        <v>149</v>
      </c>
      <c r="C23" s="274">
        <v>618184</v>
      </c>
      <c r="D23" s="274">
        <v>353944</v>
      </c>
      <c r="E23" s="274">
        <v>972128</v>
      </c>
      <c r="F23" s="274">
        <v>375282</v>
      </c>
      <c r="G23" s="274">
        <v>256081</v>
      </c>
      <c r="H23" s="274">
        <v>631363</v>
      </c>
      <c r="I23" s="274">
        <v>25726</v>
      </c>
      <c r="J23" s="274">
        <v>14703</v>
      </c>
      <c r="K23" s="274">
        <v>40429</v>
      </c>
      <c r="L23" s="271">
        <v>401008</v>
      </c>
      <c r="M23" s="271">
        <v>270784</v>
      </c>
      <c r="N23" s="274">
        <v>671792</v>
      </c>
      <c r="O23" s="273">
        <v>64.868712228074486</v>
      </c>
      <c r="P23" s="273">
        <v>76.504757814795568</v>
      </c>
      <c r="Q23" s="273">
        <v>69.105303005365542</v>
      </c>
      <c r="R23" s="276">
        <v>401008</v>
      </c>
      <c r="S23" s="276">
        <v>270784</v>
      </c>
      <c r="T23" s="276">
        <v>671792</v>
      </c>
      <c r="U23" s="286">
        <v>45916</v>
      </c>
      <c r="V23" s="286">
        <v>37912</v>
      </c>
      <c r="W23" s="272">
        <v>83828</v>
      </c>
      <c r="X23" s="276">
        <v>116243</v>
      </c>
      <c r="Y23" s="276">
        <v>94395</v>
      </c>
      <c r="Z23" s="272">
        <v>210638</v>
      </c>
      <c r="AA23" s="280">
        <v>11.450145633004828</v>
      </c>
      <c r="AB23" s="280">
        <v>14.000827227605766</v>
      </c>
      <c r="AC23" s="280">
        <v>12.478267082668445</v>
      </c>
      <c r="AD23" s="280">
        <v>28.987700993496389</v>
      </c>
      <c r="AE23" s="280">
        <v>34.859888324273221</v>
      </c>
      <c r="AF23" s="280">
        <v>31.354645485507419</v>
      </c>
    </row>
    <row r="24" spans="1:32">
      <c r="A24" s="166">
        <v>15</v>
      </c>
      <c r="B24" s="27" t="s">
        <v>140</v>
      </c>
      <c r="C24" s="272">
        <v>218980</v>
      </c>
      <c r="D24" s="272">
        <v>174083</v>
      </c>
      <c r="E24" s="272">
        <v>393063</v>
      </c>
      <c r="F24" s="272">
        <v>104714</v>
      </c>
      <c r="G24" s="272">
        <v>91780</v>
      </c>
      <c r="H24" s="272">
        <v>196494</v>
      </c>
      <c r="I24" s="272">
        <v>38603</v>
      </c>
      <c r="J24" s="272">
        <v>27607</v>
      </c>
      <c r="K24" s="272">
        <v>66210</v>
      </c>
      <c r="L24" s="275">
        <v>143317</v>
      </c>
      <c r="M24" s="275">
        <v>119387</v>
      </c>
      <c r="N24" s="272">
        <v>262704</v>
      </c>
      <c r="O24" s="273">
        <v>65.447529454744725</v>
      </c>
      <c r="P24" s="273">
        <v>68.580504701780185</v>
      </c>
      <c r="Q24" s="273">
        <v>66.83508750505645</v>
      </c>
      <c r="R24" s="272">
        <v>143317</v>
      </c>
      <c r="S24" s="272">
        <v>119387</v>
      </c>
      <c r="T24" s="272">
        <v>262704</v>
      </c>
      <c r="U24" s="272">
        <v>1375</v>
      </c>
      <c r="V24" s="272">
        <v>2267</v>
      </c>
      <c r="W24" s="272">
        <v>3642</v>
      </c>
      <c r="X24" s="272">
        <v>29511</v>
      </c>
      <c r="Y24" s="272">
        <v>34142</v>
      </c>
      <c r="Z24" s="272">
        <v>63653</v>
      </c>
      <c r="AA24" s="293">
        <v>0.95941165388614047</v>
      </c>
      <c r="AB24" s="293">
        <v>1.8988667107809061</v>
      </c>
      <c r="AC24" s="293">
        <v>1.3863511785126987</v>
      </c>
      <c r="AD24" s="293">
        <v>20.591416231151921</v>
      </c>
      <c r="AE24" s="293">
        <v>28.597753524253061</v>
      </c>
      <c r="AF24" s="293">
        <v>24.229931786345087</v>
      </c>
    </row>
    <row r="25" spans="1:32">
      <c r="A25" s="166">
        <v>16</v>
      </c>
      <c r="B25" s="27" t="s">
        <v>150</v>
      </c>
      <c r="C25" s="274">
        <v>76719</v>
      </c>
      <c r="D25" s="274">
        <v>69551</v>
      </c>
      <c r="E25" s="274">
        <v>146270</v>
      </c>
      <c r="F25" s="274">
        <v>46160</v>
      </c>
      <c r="G25" s="274">
        <v>43534</v>
      </c>
      <c r="H25" s="274">
        <v>89694</v>
      </c>
      <c r="I25" s="274">
        <v>2770</v>
      </c>
      <c r="J25" s="274">
        <v>3076</v>
      </c>
      <c r="K25" s="274">
        <v>5846</v>
      </c>
      <c r="L25" s="271">
        <v>48930</v>
      </c>
      <c r="M25" s="271">
        <v>46610</v>
      </c>
      <c r="N25" s="274">
        <v>95540</v>
      </c>
      <c r="O25" s="273">
        <v>63.778203574082035</v>
      </c>
      <c r="P25" s="273">
        <v>67.01557130738594</v>
      </c>
      <c r="Q25" s="273">
        <v>65.317563410131953</v>
      </c>
      <c r="R25" s="274">
        <v>48930</v>
      </c>
      <c r="S25" s="274">
        <v>46610</v>
      </c>
      <c r="T25" s="274">
        <v>95540</v>
      </c>
      <c r="U25" s="274">
        <v>4501</v>
      </c>
      <c r="V25" s="274">
        <v>5559</v>
      </c>
      <c r="W25" s="274">
        <v>10060</v>
      </c>
      <c r="X25" s="274">
        <v>13154</v>
      </c>
      <c r="Y25" s="274">
        <v>14591</v>
      </c>
      <c r="Z25" s="274">
        <v>27745</v>
      </c>
      <c r="AA25" s="285">
        <v>9.1988555078683838</v>
      </c>
      <c r="AB25" s="285">
        <v>11.926625187727955</v>
      </c>
      <c r="AC25" s="285">
        <v>10.529621101109484</v>
      </c>
      <c r="AD25" s="285">
        <v>26.883302677294093</v>
      </c>
      <c r="AE25" s="285">
        <v>31.304441107058569</v>
      </c>
      <c r="AF25" s="285">
        <v>29.040192589491312</v>
      </c>
    </row>
    <row r="26" spans="1:32">
      <c r="A26" s="166">
        <v>17</v>
      </c>
      <c r="B26" s="27" t="s">
        <v>151</v>
      </c>
      <c r="C26" s="274">
        <v>160655</v>
      </c>
      <c r="D26" s="274">
        <v>124458</v>
      </c>
      <c r="E26" s="274">
        <v>285113</v>
      </c>
      <c r="F26" s="274">
        <v>81043</v>
      </c>
      <c r="G26" s="274">
        <v>65829</v>
      </c>
      <c r="H26" s="274">
        <v>146872</v>
      </c>
      <c r="I26" s="274">
        <v>33780</v>
      </c>
      <c r="J26" s="274">
        <v>25401</v>
      </c>
      <c r="K26" s="274">
        <v>59181</v>
      </c>
      <c r="L26" s="271">
        <v>114823</v>
      </c>
      <c r="M26" s="271">
        <v>91230</v>
      </c>
      <c r="N26" s="274">
        <v>206053</v>
      </c>
      <c r="O26" s="273">
        <v>71.471787370452205</v>
      </c>
      <c r="P26" s="273">
        <v>73.301836764209611</v>
      </c>
      <c r="Q26" s="273">
        <v>72.270643569391794</v>
      </c>
      <c r="R26" s="276">
        <v>114823</v>
      </c>
      <c r="S26" s="276">
        <v>91230</v>
      </c>
      <c r="T26" s="276">
        <v>206053</v>
      </c>
      <c r="U26" s="277"/>
      <c r="V26" s="277"/>
      <c r="W26" s="277">
        <v>0</v>
      </c>
      <c r="X26" s="277"/>
      <c r="Y26" s="277"/>
      <c r="Z26" s="277">
        <v>0</v>
      </c>
      <c r="AA26" s="278"/>
      <c r="AB26" s="278"/>
      <c r="AC26" s="278"/>
      <c r="AD26" s="278"/>
      <c r="AE26" s="278"/>
      <c r="AF26" s="278"/>
    </row>
    <row r="27" spans="1:32">
      <c r="A27" s="166">
        <v>18</v>
      </c>
      <c r="B27" s="27" t="s">
        <v>152</v>
      </c>
      <c r="C27" s="274">
        <v>242394</v>
      </c>
      <c r="D27" s="274">
        <v>226774</v>
      </c>
      <c r="E27" s="274">
        <v>469168</v>
      </c>
      <c r="F27" s="274">
        <v>182941</v>
      </c>
      <c r="G27" s="274">
        <v>160960</v>
      </c>
      <c r="H27" s="274">
        <v>343901</v>
      </c>
      <c r="I27" s="274">
        <v>4174</v>
      </c>
      <c r="J27" s="274">
        <v>6501</v>
      </c>
      <c r="K27" s="274">
        <v>10675</v>
      </c>
      <c r="L27" s="271">
        <v>187115</v>
      </c>
      <c r="M27" s="271">
        <v>167461</v>
      </c>
      <c r="N27" s="274">
        <v>354576</v>
      </c>
      <c r="O27" s="273">
        <v>77.194567522298414</v>
      </c>
      <c r="P27" s="273">
        <v>73.844885216118257</v>
      </c>
      <c r="Q27" s="273">
        <v>75.575486819220401</v>
      </c>
      <c r="R27" s="276">
        <v>187115</v>
      </c>
      <c r="S27" s="276">
        <v>167461</v>
      </c>
      <c r="T27" s="276">
        <v>354576</v>
      </c>
      <c r="U27" s="286">
        <v>9396</v>
      </c>
      <c r="V27" s="286">
        <v>6362</v>
      </c>
      <c r="W27" s="272">
        <v>15758</v>
      </c>
      <c r="X27" s="276">
        <v>43122</v>
      </c>
      <c r="Y27" s="276">
        <v>34151</v>
      </c>
      <c r="Z27" s="272">
        <v>77273</v>
      </c>
      <c r="AA27" s="280">
        <v>5.0215108355823954</v>
      </c>
      <c r="AB27" s="280">
        <v>3.7990935202823346</v>
      </c>
      <c r="AC27" s="280">
        <v>4.4441812192590584</v>
      </c>
      <c r="AD27" s="280">
        <v>23.045720546188171</v>
      </c>
      <c r="AE27" s="280">
        <v>20.393405031619302</v>
      </c>
      <c r="AF27" s="280">
        <v>21.793071161048687</v>
      </c>
    </row>
    <row r="28" spans="1:32" ht="28.5">
      <c r="A28" s="166">
        <v>19</v>
      </c>
      <c r="B28" s="27" t="s">
        <v>285</v>
      </c>
      <c r="C28" s="274">
        <v>402470</v>
      </c>
      <c r="D28" s="274">
        <v>373797</v>
      </c>
      <c r="E28" s="274">
        <v>776267</v>
      </c>
      <c r="F28" s="274">
        <v>313373</v>
      </c>
      <c r="G28" s="274">
        <v>315786</v>
      </c>
      <c r="H28" s="274">
        <v>629159</v>
      </c>
      <c r="I28" s="274">
        <v>43740</v>
      </c>
      <c r="J28" s="274">
        <v>26322</v>
      </c>
      <c r="K28" s="274">
        <v>70062</v>
      </c>
      <c r="L28" s="271">
        <v>357113</v>
      </c>
      <c r="M28" s="271">
        <v>342108</v>
      </c>
      <c r="N28" s="274">
        <v>699221</v>
      </c>
      <c r="O28" s="273">
        <v>88.730340149576364</v>
      </c>
      <c r="P28" s="273">
        <v>91.522403871620156</v>
      </c>
      <c r="Q28" s="273">
        <v>90.074806735311427</v>
      </c>
      <c r="R28" s="276">
        <v>357113</v>
      </c>
      <c r="S28" s="276">
        <v>342108</v>
      </c>
      <c r="T28" s="276">
        <v>699221</v>
      </c>
      <c r="U28" s="286">
        <v>43965</v>
      </c>
      <c r="V28" s="286">
        <v>58390</v>
      </c>
      <c r="W28" s="272">
        <v>102355</v>
      </c>
      <c r="X28" s="276">
        <v>77185</v>
      </c>
      <c r="Y28" s="276">
        <v>88666</v>
      </c>
      <c r="Z28" s="272">
        <v>165851</v>
      </c>
      <c r="AA28" s="280">
        <v>12.311229218762689</v>
      </c>
      <c r="AB28" s="280">
        <v>17.067709612169256</v>
      </c>
      <c r="AC28" s="280">
        <v>14.638433342248016</v>
      </c>
      <c r="AD28" s="280">
        <v>21.613606897536634</v>
      </c>
      <c r="AE28" s="280">
        <v>25.9175465057818</v>
      </c>
      <c r="AF28" s="280">
        <v>23.719396299596266</v>
      </c>
    </row>
    <row r="29" spans="1:32">
      <c r="A29" s="166">
        <v>20</v>
      </c>
      <c r="B29" s="27" t="s">
        <v>286</v>
      </c>
      <c r="C29" s="274">
        <v>233518</v>
      </c>
      <c r="D29" s="274">
        <v>229058</v>
      </c>
      <c r="E29" s="274">
        <v>462576</v>
      </c>
      <c r="F29" s="274">
        <v>217196</v>
      </c>
      <c r="G29" s="274">
        <v>218602</v>
      </c>
      <c r="H29" s="274">
        <v>435798</v>
      </c>
      <c r="I29" s="277">
        <v>0</v>
      </c>
      <c r="J29" s="277">
        <v>0</v>
      </c>
      <c r="K29" s="277">
        <v>0</v>
      </c>
      <c r="L29" s="271">
        <v>217196</v>
      </c>
      <c r="M29" s="271">
        <v>218602</v>
      </c>
      <c r="N29" s="274">
        <v>435798</v>
      </c>
      <c r="O29" s="273">
        <v>93.01038892076842</v>
      </c>
      <c r="P29" s="273">
        <v>95.435217281212616</v>
      </c>
      <c r="Q29" s="273">
        <v>94.21111341703849</v>
      </c>
      <c r="R29" s="276">
        <v>217196</v>
      </c>
      <c r="S29" s="276">
        <v>218602</v>
      </c>
      <c r="T29" s="276">
        <v>435798</v>
      </c>
      <c r="U29" s="277">
        <v>0</v>
      </c>
      <c r="V29" s="277">
        <v>0</v>
      </c>
      <c r="W29" s="277">
        <v>0</v>
      </c>
      <c r="X29" s="277">
        <v>0</v>
      </c>
      <c r="Y29" s="277">
        <v>0</v>
      </c>
      <c r="Z29" s="277">
        <v>0</v>
      </c>
      <c r="AA29" s="278">
        <v>0</v>
      </c>
      <c r="AB29" s="278">
        <v>0</v>
      </c>
      <c r="AC29" s="278">
        <v>0</v>
      </c>
      <c r="AD29" s="278">
        <v>0</v>
      </c>
      <c r="AE29" s="278">
        <v>0</v>
      </c>
      <c r="AF29" s="278">
        <v>0</v>
      </c>
    </row>
    <row r="30" spans="1:32" ht="28.5">
      <c r="A30" s="166">
        <v>21</v>
      </c>
      <c r="B30" s="27" t="s">
        <v>271</v>
      </c>
      <c r="C30" s="274">
        <v>961014</v>
      </c>
      <c r="D30" s="274">
        <v>770882</v>
      </c>
      <c r="E30" s="274">
        <v>1731896</v>
      </c>
      <c r="F30" s="274">
        <v>705397</v>
      </c>
      <c r="G30" s="274">
        <v>614774</v>
      </c>
      <c r="H30" s="274">
        <v>1320171</v>
      </c>
      <c r="I30" s="274">
        <v>23833</v>
      </c>
      <c r="J30" s="274">
        <v>14506</v>
      </c>
      <c r="K30" s="274">
        <v>38339</v>
      </c>
      <c r="L30" s="271">
        <v>729230</v>
      </c>
      <c r="M30" s="271">
        <v>629280</v>
      </c>
      <c r="N30" s="274">
        <v>1358510</v>
      </c>
      <c r="O30" s="273">
        <v>75.881308701017886</v>
      </c>
      <c r="P30" s="273">
        <v>81.631170529341716</v>
      </c>
      <c r="Q30" s="273">
        <v>78.440622300646226</v>
      </c>
      <c r="R30" s="276">
        <v>729230</v>
      </c>
      <c r="S30" s="276">
        <v>629280</v>
      </c>
      <c r="T30" s="276">
        <v>1358510</v>
      </c>
      <c r="U30" s="286">
        <v>126607</v>
      </c>
      <c r="V30" s="286">
        <v>140451</v>
      </c>
      <c r="W30" s="272">
        <v>267058</v>
      </c>
      <c r="X30" s="276">
        <v>250772</v>
      </c>
      <c r="Y30" s="276">
        <v>247030</v>
      </c>
      <c r="Z30" s="272">
        <v>497802</v>
      </c>
      <c r="AA30" s="280">
        <v>17.361737723352029</v>
      </c>
      <c r="AB30" s="280">
        <v>22.319317315026698</v>
      </c>
      <c r="AC30" s="280">
        <v>19.658154890284209</v>
      </c>
      <c r="AD30" s="280">
        <v>34.388601675740162</v>
      </c>
      <c r="AE30" s="280">
        <v>39.255975082634123</v>
      </c>
      <c r="AF30" s="280">
        <v>36.643234131511726</v>
      </c>
    </row>
    <row r="31" spans="1:32" ht="28.5">
      <c r="A31" s="166">
        <v>22</v>
      </c>
      <c r="B31" s="27" t="s">
        <v>272</v>
      </c>
      <c r="C31" s="274">
        <v>588448</v>
      </c>
      <c r="D31" s="274">
        <v>465345</v>
      </c>
      <c r="E31" s="274">
        <v>1053793</v>
      </c>
      <c r="F31" s="274">
        <v>269239</v>
      </c>
      <c r="G31" s="274">
        <v>215917</v>
      </c>
      <c r="H31" s="274">
        <v>485156</v>
      </c>
      <c r="I31" s="274">
        <v>69263</v>
      </c>
      <c r="J31" s="274">
        <v>60166</v>
      </c>
      <c r="K31" s="274">
        <v>129429</v>
      </c>
      <c r="L31" s="271">
        <v>338502</v>
      </c>
      <c r="M31" s="271">
        <v>276083</v>
      </c>
      <c r="N31" s="274">
        <v>614585</v>
      </c>
      <c r="O31" s="273">
        <v>57.52453912665181</v>
      </c>
      <c r="P31" s="273">
        <v>59.328670126465312</v>
      </c>
      <c r="Q31" s="273">
        <v>58.321226274989492</v>
      </c>
      <c r="R31" s="276">
        <v>338502</v>
      </c>
      <c r="S31" s="276">
        <v>276083</v>
      </c>
      <c r="T31" s="276">
        <v>614585</v>
      </c>
      <c r="U31" s="286">
        <v>34605</v>
      </c>
      <c r="V31" s="286">
        <v>30409</v>
      </c>
      <c r="W31" s="272">
        <v>65014</v>
      </c>
      <c r="X31" s="276">
        <v>84338</v>
      </c>
      <c r="Y31" s="276">
        <v>68907</v>
      </c>
      <c r="Z31" s="272">
        <v>153245</v>
      </c>
      <c r="AA31" s="280">
        <v>10.222982434372618</v>
      </c>
      <c r="AB31" s="280">
        <v>11.014441309316402</v>
      </c>
      <c r="AC31" s="280">
        <v>10.578520465029246</v>
      </c>
      <c r="AD31" s="280">
        <v>24.915066971539311</v>
      </c>
      <c r="AE31" s="280">
        <v>24.958798622153484</v>
      </c>
      <c r="AF31" s="280">
        <v>24.934712041458869</v>
      </c>
    </row>
    <row r="32" spans="1:32" ht="28.5">
      <c r="A32" s="166">
        <v>23</v>
      </c>
      <c r="B32" s="27" t="s">
        <v>141</v>
      </c>
      <c r="C32" s="274">
        <v>16777</v>
      </c>
      <c r="D32" s="274">
        <v>16802</v>
      </c>
      <c r="E32" s="274">
        <v>33579</v>
      </c>
      <c r="F32" s="274">
        <v>12769</v>
      </c>
      <c r="G32" s="274">
        <v>11498</v>
      </c>
      <c r="H32" s="274">
        <v>24267</v>
      </c>
      <c r="I32" s="272">
        <v>1778</v>
      </c>
      <c r="J32" s="272">
        <v>2155</v>
      </c>
      <c r="K32" s="272">
        <v>3933</v>
      </c>
      <c r="L32" s="271">
        <v>14547</v>
      </c>
      <c r="M32" s="271">
        <v>13653</v>
      </c>
      <c r="N32" s="274">
        <v>28200</v>
      </c>
      <c r="O32" s="273">
        <v>86.707993085772188</v>
      </c>
      <c r="P32" s="273">
        <v>81.258183549577438</v>
      </c>
      <c r="Q32" s="273">
        <v>83.98105959081569</v>
      </c>
      <c r="R32" s="276">
        <v>14547</v>
      </c>
      <c r="S32" s="276">
        <v>13653</v>
      </c>
      <c r="T32" s="276">
        <v>28200</v>
      </c>
      <c r="U32" s="286">
        <v>784</v>
      </c>
      <c r="V32" s="286">
        <v>612</v>
      </c>
      <c r="W32" s="272">
        <v>1396</v>
      </c>
      <c r="X32" s="276">
        <v>4982</v>
      </c>
      <c r="Y32" s="276">
        <v>4437</v>
      </c>
      <c r="Z32" s="272">
        <v>9419</v>
      </c>
      <c r="AA32" s="280">
        <v>5.3894273733415821</v>
      </c>
      <c r="AB32" s="280">
        <v>4.4825313117996046</v>
      </c>
      <c r="AC32" s="280">
        <v>4.9503546099290778</v>
      </c>
      <c r="AD32" s="280">
        <v>34.247611191310924</v>
      </c>
      <c r="AE32" s="280">
        <v>32.49835201054713</v>
      </c>
      <c r="AF32" s="280">
        <v>33.400709219858157</v>
      </c>
    </row>
    <row r="33" spans="1:32">
      <c r="A33" s="166">
        <v>24</v>
      </c>
      <c r="B33" s="27" t="s">
        <v>158</v>
      </c>
      <c r="C33" s="274">
        <v>18860</v>
      </c>
      <c r="D33" s="274">
        <v>22147</v>
      </c>
      <c r="E33" s="274">
        <v>41007</v>
      </c>
      <c r="F33" s="274">
        <v>10635</v>
      </c>
      <c r="G33" s="274">
        <v>12462</v>
      </c>
      <c r="H33" s="274">
        <v>23097</v>
      </c>
      <c r="I33" s="277">
        <v>0</v>
      </c>
      <c r="J33" s="277">
        <v>0</v>
      </c>
      <c r="K33" s="277">
        <v>0</v>
      </c>
      <c r="L33" s="271">
        <v>10635</v>
      </c>
      <c r="M33" s="271">
        <v>12462</v>
      </c>
      <c r="N33" s="274">
        <v>23097</v>
      </c>
      <c r="O33" s="273">
        <v>56.389183457051963</v>
      </c>
      <c r="P33" s="273">
        <v>56.269472163272681</v>
      </c>
      <c r="Q33" s="273">
        <v>56.324529958299806</v>
      </c>
      <c r="R33" s="276">
        <v>10635</v>
      </c>
      <c r="S33" s="276">
        <v>12462</v>
      </c>
      <c r="T33" s="276">
        <v>23097</v>
      </c>
      <c r="U33" s="277">
        <v>0</v>
      </c>
      <c r="V33" s="277">
        <v>0</v>
      </c>
      <c r="W33" s="277">
        <v>0</v>
      </c>
      <c r="X33" s="277">
        <v>0</v>
      </c>
      <c r="Y33" s="277">
        <v>0</v>
      </c>
      <c r="Z33" s="277">
        <v>0</v>
      </c>
      <c r="AA33" s="278">
        <v>0</v>
      </c>
      <c r="AB33" s="278">
        <v>0</v>
      </c>
      <c r="AC33" s="278">
        <v>0</v>
      </c>
      <c r="AD33" s="278">
        <v>0</v>
      </c>
      <c r="AE33" s="278">
        <v>0</v>
      </c>
      <c r="AF33" s="278">
        <v>0</v>
      </c>
    </row>
    <row r="34" spans="1:32">
      <c r="A34" s="166">
        <v>25</v>
      </c>
      <c r="B34" s="27" t="s">
        <v>159</v>
      </c>
      <c r="C34" s="274">
        <v>7960</v>
      </c>
      <c r="D34" s="274">
        <v>8184</v>
      </c>
      <c r="E34" s="274">
        <v>16144</v>
      </c>
      <c r="F34" s="274">
        <v>4789</v>
      </c>
      <c r="G34" s="274">
        <v>4677</v>
      </c>
      <c r="H34" s="274">
        <v>9466</v>
      </c>
      <c r="I34" s="274">
        <v>59</v>
      </c>
      <c r="J34" s="274">
        <v>65</v>
      </c>
      <c r="K34" s="274">
        <v>124</v>
      </c>
      <c r="L34" s="271">
        <v>4848</v>
      </c>
      <c r="M34" s="271">
        <v>4742</v>
      </c>
      <c r="N34" s="274">
        <v>9590</v>
      </c>
      <c r="O34" s="273">
        <v>60.904522613065325</v>
      </c>
      <c r="P34" s="273">
        <v>57.94232649071359</v>
      </c>
      <c r="Q34" s="273">
        <v>59.402874132804762</v>
      </c>
      <c r="R34" s="274">
        <v>4848</v>
      </c>
      <c r="S34" s="274">
        <v>4742</v>
      </c>
      <c r="T34" s="274">
        <v>9590</v>
      </c>
      <c r="U34" s="274">
        <v>374</v>
      </c>
      <c r="V34" s="274">
        <v>0</v>
      </c>
      <c r="W34" s="272">
        <v>374</v>
      </c>
      <c r="X34" s="274">
        <v>1550</v>
      </c>
      <c r="Y34" s="274">
        <v>20</v>
      </c>
      <c r="Z34" s="272">
        <v>1570</v>
      </c>
      <c r="AA34" s="285">
        <v>7.714521452145215</v>
      </c>
      <c r="AB34" s="285">
        <v>0</v>
      </c>
      <c r="AC34" s="285">
        <v>3.8998957247132426</v>
      </c>
      <c r="AD34" s="285">
        <v>31.971947194719473</v>
      </c>
      <c r="AE34" s="285">
        <v>0.42176296921130324</v>
      </c>
      <c r="AF34" s="285">
        <v>16.371220020855056</v>
      </c>
    </row>
    <row r="35" spans="1:32">
      <c r="A35" s="166">
        <v>26</v>
      </c>
      <c r="B35" s="27" t="s">
        <v>160</v>
      </c>
      <c r="C35" s="274">
        <v>10689</v>
      </c>
      <c r="D35" s="274">
        <v>10621</v>
      </c>
      <c r="E35" s="274">
        <v>21310</v>
      </c>
      <c r="F35" s="274">
        <v>6859</v>
      </c>
      <c r="G35" s="274">
        <v>6676</v>
      </c>
      <c r="H35" s="274">
        <v>13535</v>
      </c>
      <c r="I35" s="277">
        <v>0</v>
      </c>
      <c r="J35" s="277">
        <v>0</v>
      </c>
      <c r="K35" s="277">
        <v>0</v>
      </c>
      <c r="L35" s="271">
        <v>6859</v>
      </c>
      <c r="M35" s="271">
        <v>6676</v>
      </c>
      <c r="N35" s="274">
        <v>13535</v>
      </c>
      <c r="O35" s="273">
        <v>64.168771634390495</v>
      </c>
      <c r="P35" s="273">
        <v>62.856604839468979</v>
      </c>
      <c r="Q35" s="273">
        <v>63.514781792585637</v>
      </c>
      <c r="R35" s="276">
        <v>6859</v>
      </c>
      <c r="S35" s="276">
        <v>6676</v>
      </c>
      <c r="T35" s="276">
        <v>13535</v>
      </c>
      <c r="U35" s="286">
        <v>451</v>
      </c>
      <c r="V35" s="286">
        <v>540</v>
      </c>
      <c r="W35" s="272">
        <v>991</v>
      </c>
      <c r="X35" s="276">
        <v>1598</v>
      </c>
      <c r="Y35" s="276">
        <v>1634</v>
      </c>
      <c r="Z35" s="272">
        <v>3232</v>
      </c>
      <c r="AA35" s="280">
        <v>6.575302522233561</v>
      </c>
      <c r="AB35" s="280">
        <v>8.0886758538046735</v>
      </c>
      <c r="AC35" s="280">
        <v>7.3217584041374222</v>
      </c>
      <c r="AD35" s="280">
        <v>23.297856830441756</v>
      </c>
      <c r="AE35" s="280">
        <v>24.475733972438583</v>
      </c>
      <c r="AF35" s="280">
        <v>23.878832656076838</v>
      </c>
    </row>
    <row r="36" spans="1:32">
      <c r="A36" s="166">
        <v>27</v>
      </c>
      <c r="B36" s="27" t="s">
        <v>273</v>
      </c>
      <c r="C36" s="289">
        <v>286440</v>
      </c>
      <c r="D36" s="289">
        <v>281970</v>
      </c>
      <c r="E36" s="289">
        <v>568410</v>
      </c>
      <c r="F36" s="289">
        <v>209148</v>
      </c>
      <c r="G36" s="289">
        <v>201765</v>
      </c>
      <c r="H36" s="289">
        <v>410913</v>
      </c>
      <c r="I36" s="289">
        <v>9520</v>
      </c>
      <c r="J36" s="289">
        <v>12237</v>
      </c>
      <c r="K36" s="289">
        <v>21757</v>
      </c>
      <c r="L36" s="288">
        <v>218668</v>
      </c>
      <c r="M36" s="288">
        <v>214002</v>
      </c>
      <c r="N36" s="289">
        <v>432670</v>
      </c>
      <c r="O36" s="273">
        <v>76.339896662477301</v>
      </c>
      <c r="P36" s="273">
        <v>75.895308011490584</v>
      </c>
      <c r="Q36" s="273">
        <v>76.119350468851707</v>
      </c>
      <c r="R36" s="290">
        <v>218668</v>
      </c>
      <c r="S36" s="290">
        <v>214002</v>
      </c>
      <c r="T36" s="290">
        <v>432670</v>
      </c>
      <c r="U36" s="294">
        <v>54358</v>
      </c>
      <c r="V36" s="294">
        <v>50790</v>
      </c>
      <c r="W36" s="272">
        <v>105148</v>
      </c>
      <c r="X36" s="290">
        <v>62897</v>
      </c>
      <c r="Y36" s="290">
        <v>64311</v>
      </c>
      <c r="Z36" s="272">
        <v>127208</v>
      </c>
      <c r="AA36" s="292">
        <v>24.858689886037283</v>
      </c>
      <c r="AB36" s="292">
        <v>23.733423052121008</v>
      </c>
      <c r="AC36" s="292">
        <v>24.302124020616176</v>
      </c>
      <c r="AD36" s="292">
        <v>28.763696562825839</v>
      </c>
      <c r="AE36" s="292">
        <v>30.051588302913057</v>
      </c>
      <c r="AF36" s="292">
        <v>29.400697991540898</v>
      </c>
    </row>
    <row r="37" spans="1:32">
      <c r="A37" s="166">
        <v>28</v>
      </c>
      <c r="B37" s="27" t="s">
        <v>162</v>
      </c>
      <c r="C37" s="274">
        <v>244960</v>
      </c>
      <c r="D37" s="274">
        <v>183236</v>
      </c>
      <c r="E37" s="274">
        <v>428196</v>
      </c>
      <c r="F37" s="274">
        <v>152583</v>
      </c>
      <c r="G37" s="274">
        <v>138450</v>
      </c>
      <c r="H37" s="274">
        <v>291033</v>
      </c>
      <c r="I37" s="277">
        <v>0</v>
      </c>
      <c r="J37" s="277">
        <v>0</v>
      </c>
      <c r="K37" s="277">
        <v>0</v>
      </c>
      <c r="L37" s="271">
        <v>152583</v>
      </c>
      <c r="M37" s="271">
        <v>138450</v>
      </c>
      <c r="N37" s="274">
        <v>291033</v>
      </c>
      <c r="O37" s="273">
        <v>62.288945133899411</v>
      </c>
      <c r="P37" s="273">
        <v>75.55829640463665</v>
      </c>
      <c r="Q37" s="273">
        <v>67.967239301628226</v>
      </c>
      <c r="R37" s="276">
        <v>152583</v>
      </c>
      <c r="S37" s="276">
        <v>138450</v>
      </c>
      <c r="T37" s="276">
        <v>291033</v>
      </c>
      <c r="U37" s="277"/>
      <c r="V37" s="277"/>
      <c r="W37" s="277">
        <v>0</v>
      </c>
      <c r="X37" s="277"/>
      <c r="Y37" s="277"/>
      <c r="Z37" s="277">
        <v>0</v>
      </c>
      <c r="AA37" s="278">
        <v>0</v>
      </c>
      <c r="AB37" s="278">
        <v>0</v>
      </c>
      <c r="AC37" s="278">
        <v>0</v>
      </c>
      <c r="AD37" s="278">
        <v>0</v>
      </c>
      <c r="AE37" s="278">
        <v>0</v>
      </c>
      <c r="AF37" s="278">
        <v>0</v>
      </c>
    </row>
    <row r="38" spans="1:32" ht="28.5">
      <c r="A38" s="166">
        <v>29</v>
      </c>
      <c r="B38" s="27" t="s">
        <v>212</v>
      </c>
      <c r="C38" s="274">
        <v>697513</v>
      </c>
      <c r="D38" s="274">
        <v>473277</v>
      </c>
      <c r="E38" s="274">
        <v>1170790</v>
      </c>
      <c r="F38" s="274">
        <v>458752</v>
      </c>
      <c r="G38" s="274">
        <v>308811</v>
      </c>
      <c r="H38" s="274">
        <v>767563</v>
      </c>
      <c r="I38" s="274">
        <v>17670</v>
      </c>
      <c r="J38" s="274">
        <v>15997</v>
      </c>
      <c r="K38" s="274">
        <v>33667</v>
      </c>
      <c r="L38" s="271">
        <v>476422</v>
      </c>
      <c r="M38" s="271">
        <v>324808</v>
      </c>
      <c r="N38" s="274">
        <v>801230</v>
      </c>
      <c r="O38" s="273">
        <v>68.302956360669981</v>
      </c>
      <c r="P38" s="273">
        <v>68.629576336902062</v>
      </c>
      <c r="Q38" s="273">
        <v>68.434988341205511</v>
      </c>
      <c r="R38" s="276">
        <v>476422</v>
      </c>
      <c r="S38" s="276">
        <v>324808</v>
      </c>
      <c r="T38" s="276">
        <v>801230</v>
      </c>
      <c r="U38" s="277">
        <v>0</v>
      </c>
      <c r="V38" s="277">
        <v>0</v>
      </c>
      <c r="W38" s="277">
        <v>0</v>
      </c>
      <c r="X38" s="277">
        <v>0</v>
      </c>
      <c r="Y38" s="277">
        <v>0</v>
      </c>
      <c r="Z38" s="277">
        <v>0</v>
      </c>
      <c r="AA38" s="278">
        <v>0</v>
      </c>
      <c r="AB38" s="278">
        <v>0</v>
      </c>
      <c r="AC38" s="278">
        <v>0</v>
      </c>
      <c r="AD38" s="278">
        <v>0</v>
      </c>
      <c r="AE38" s="278">
        <v>0</v>
      </c>
      <c r="AF38" s="278">
        <v>0</v>
      </c>
    </row>
    <row r="39" spans="1:32" ht="28.5">
      <c r="A39" s="166">
        <v>30</v>
      </c>
      <c r="B39" s="27" t="s">
        <v>274</v>
      </c>
      <c r="C39" s="274">
        <v>570460</v>
      </c>
      <c r="D39" s="274">
        <v>533830</v>
      </c>
      <c r="E39" s="274">
        <v>1104290</v>
      </c>
      <c r="F39" s="274">
        <v>467840</v>
      </c>
      <c r="G39" s="274">
        <v>483830</v>
      </c>
      <c r="H39" s="274">
        <v>951670</v>
      </c>
      <c r="I39" s="274">
        <v>6780</v>
      </c>
      <c r="J39" s="274">
        <v>3859</v>
      </c>
      <c r="K39" s="274">
        <v>10639</v>
      </c>
      <c r="L39" s="271">
        <v>474620</v>
      </c>
      <c r="M39" s="271">
        <v>487689</v>
      </c>
      <c r="N39" s="274">
        <v>962309</v>
      </c>
      <c r="O39" s="273">
        <v>83.199523191810115</v>
      </c>
      <c r="P39" s="273">
        <v>91.356611655395909</v>
      </c>
      <c r="Q39" s="273">
        <v>87.142779523494724</v>
      </c>
      <c r="R39" s="276">
        <v>474620</v>
      </c>
      <c r="S39" s="276">
        <v>487689</v>
      </c>
      <c r="T39" s="276">
        <v>962309</v>
      </c>
      <c r="U39" s="277"/>
      <c r="V39" s="277"/>
      <c r="W39" s="277">
        <v>0</v>
      </c>
      <c r="X39" s="277"/>
      <c r="Y39" s="277"/>
      <c r="Z39" s="277">
        <v>0</v>
      </c>
      <c r="AA39" s="278">
        <v>0</v>
      </c>
      <c r="AB39" s="278">
        <v>0</v>
      </c>
      <c r="AC39" s="278">
        <v>0</v>
      </c>
      <c r="AD39" s="278">
        <v>0</v>
      </c>
      <c r="AE39" s="278">
        <v>0</v>
      </c>
      <c r="AF39" s="278">
        <v>0</v>
      </c>
    </row>
    <row r="40" spans="1:32" ht="28.5">
      <c r="A40" s="166">
        <v>31</v>
      </c>
      <c r="B40" s="284" t="s">
        <v>292</v>
      </c>
      <c r="C40" s="274">
        <v>24270</v>
      </c>
      <c r="D40" s="274">
        <v>21578</v>
      </c>
      <c r="E40" s="274">
        <v>45848</v>
      </c>
      <c r="F40" s="274">
        <v>14415</v>
      </c>
      <c r="G40" s="274">
        <v>11819</v>
      </c>
      <c r="H40" s="274">
        <v>26234</v>
      </c>
      <c r="I40" s="277">
        <v>0</v>
      </c>
      <c r="J40" s="277">
        <v>0</v>
      </c>
      <c r="K40" s="277">
        <v>0</v>
      </c>
      <c r="L40" s="271">
        <v>14415</v>
      </c>
      <c r="M40" s="271">
        <v>11819</v>
      </c>
      <c r="N40" s="274">
        <v>26234</v>
      </c>
      <c r="O40" s="273">
        <v>59.394313967861557</v>
      </c>
      <c r="P40" s="273">
        <v>54.773380294744648</v>
      </c>
      <c r="Q40" s="273">
        <v>57.219507939277612</v>
      </c>
      <c r="R40" s="276">
        <v>14415</v>
      </c>
      <c r="S40" s="276">
        <v>11819</v>
      </c>
      <c r="T40" s="276">
        <v>26234</v>
      </c>
      <c r="U40" s="295">
        <v>0</v>
      </c>
      <c r="V40" s="295">
        <v>0</v>
      </c>
      <c r="W40" s="295">
        <v>0</v>
      </c>
      <c r="X40" s="276">
        <v>1382</v>
      </c>
      <c r="Y40" s="276">
        <v>939</v>
      </c>
      <c r="Z40" s="272">
        <v>2321</v>
      </c>
      <c r="AA40" s="278">
        <v>0</v>
      </c>
      <c r="AB40" s="278">
        <v>0</v>
      </c>
      <c r="AC40" s="278">
        <v>0</v>
      </c>
      <c r="AD40" s="280">
        <v>9.5872355185570584</v>
      </c>
      <c r="AE40" s="280">
        <v>7.9448345883746514</v>
      </c>
      <c r="AF40" s="280">
        <v>8.8472974003201958</v>
      </c>
    </row>
    <row r="41" spans="1:32" ht="25.5">
      <c r="A41" s="166">
        <v>32</v>
      </c>
      <c r="B41" s="296" t="s">
        <v>275</v>
      </c>
      <c r="C41" s="274">
        <v>1991950</v>
      </c>
      <c r="D41" s="274">
        <v>1555441</v>
      </c>
      <c r="E41" s="274">
        <v>3547391</v>
      </c>
      <c r="F41" s="274">
        <v>1513134</v>
      </c>
      <c r="G41" s="274">
        <v>1354437</v>
      </c>
      <c r="H41" s="274">
        <v>2867571</v>
      </c>
      <c r="I41" s="277"/>
      <c r="J41" s="277"/>
      <c r="K41" s="277"/>
      <c r="L41" s="271">
        <v>1513134</v>
      </c>
      <c r="M41" s="271">
        <v>1354437</v>
      </c>
      <c r="N41" s="274">
        <v>2867571</v>
      </c>
      <c r="O41" s="273">
        <v>75.96244885664801</v>
      </c>
      <c r="P41" s="273">
        <v>87.077362625776217</v>
      </c>
      <c r="Q41" s="273">
        <v>80.83605669631568</v>
      </c>
      <c r="R41" s="276">
        <v>1513134</v>
      </c>
      <c r="S41" s="276">
        <v>1354437</v>
      </c>
      <c r="T41" s="276">
        <v>2867571</v>
      </c>
      <c r="U41" s="286">
        <v>272342</v>
      </c>
      <c r="V41" s="286">
        <v>346166</v>
      </c>
      <c r="W41" s="272">
        <v>618508</v>
      </c>
      <c r="X41" s="276">
        <v>845754</v>
      </c>
      <c r="Y41" s="276">
        <v>799148</v>
      </c>
      <c r="Z41" s="272">
        <v>1644902</v>
      </c>
      <c r="AA41" s="280">
        <v>17.998538133436959</v>
      </c>
      <c r="AB41" s="280">
        <v>25.557925543971404</v>
      </c>
      <c r="AC41" s="280">
        <v>21.569056180300333</v>
      </c>
      <c r="AD41" s="280">
        <v>55.894190468259914</v>
      </c>
      <c r="AE41" s="280">
        <v>59.002227493785234</v>
      </c>
      <c r="AF41" s="280">
        <v>57.362206550421945</v>
      </c>
    </row>
    <row r="42" spans="1:32" ht="28.5">
      <c r="A42" s="166">
        <v>33</v>
      </c>
      <c r="B42" s="27" t="s">
        <v>276</v>
      </c>
      <c r="C42" s="274">
        <v>92608</v>
      </c>
      <c r="D42" s="274">
        <v>84215</v>
      </c>
      <c r="E42" s="274">
        <v>176823</v>
      </c>
      <c r="F42" s="274">
        <v>61758</v>
      </c>
      <c r="G42" s="274">
        <v>64561</v>
      </c>
      <c r="H42" s="274">
        <v>126319</v>
      </c>
      <c r="I42" s="277"/>
      <c r="J42" s="277"/>
      <c r="K42" s="277"/>
      <c r="L42" s="271">
        <v>61758</v>
      </c>
      <c r="M42" s="271">
        <v>64561</v>
      </c>
      <c r="N42" s="274">
        <v>126319</v>
      </c>
      <c r="O42" s="273">
        <v>66.687543192812711</v>
      </c>
      <c r="P42" s="273">
        <v>76.662114825149914</v>
      </c>
      <c r="Q42" s="273">
        <v>71.438104771438105</v>
      </c>
      <c r="R42" s="276">
        <v>61758</v>
      </c>
      <c r="S42" s="276">
        <v>64561</v>
      </c>
      <c r="T42" s="276">
        <v>126319</v>
      </c>
      <c r="U42" s="286">
        <v>2198</v>
      </c>
      <c r="V42" s="286">
        <v>1589</v>
      </c>
      <c r="W42" s="272">
        <v>3787</v>
      </c>
      <c r="X42" s="276">
        <v>10536</v>
      </c>
      <c r="Y42" s="276">
        <v>14017</v>
      </c>
      <c r="Z42" s="272">
        <v>24553</v>
      </c>
      <c r="AA42" s="280">
        <v>3.5590530781437222</v>
      </c>
      <c r="AB42" s="280">
        <v>2.4612382088257618</v>
      </c>
      <c r="AC42" s="280">
        <v>2.9979654683776786</v>
      </c>
      <c r="AD42" s="280">
        <v>17.060137957835423</v>
      </c>
      <c r="AE42" s="280">
        <v>21.711249825746194</v>
      </c>
      <c r="AF42" s="280">
        <v>19.437297635351769</v>
      </c>
    </row>
    <row r="43" spans="1:32" ht="28.5">
      <c r="A43" s="166">
        <v>34</v>
      </c>
      <c r="B43" s="27" t="s">
        <v>172</v>
      </c>
      <c r="C43" s="274">
        <v>447050</v>
      </c>
      <c r="D43" s="274">
        <v>474442</v>
      </c>
      <c r="E43" s="274">
        <v>921492</v>
      </c>
      <c r="F43" s="274">
        <v>385863</v>
      </c>
      <c r="G43" s="274">
        <v>367912</v>
      </c>
      <c r="H43" s="274">
        <v>753775</v>
      </c>
      <c r="I43" s="277"/>
      <c r="J43" s="277"/>
      <c r="K43" s="277"/>
      <c r="L43" s="271">
        <v>385863</v>
      </c>
      <c r="M43" s="271">
        <v>367912</v>
      </c>
      <c r="N43" s="274">
        <v>753775</v>
      </c>
      <c r="O43" s="273">
        <v>86.31316407560675</v>
      </c>
      <c r="P43" s="273">
        <v>77.5462543366734</v>
      </c>
      <c r="Q43" s="273">
        <v>81.799407916726352</v>
      </c>
      <c r="R43" s="276">
        <v>385863</v>
      </c>
      <c r="S43" s="276">
        <v>367912</v>
      </c>
      <c r="T43" s="276">
        <v>753775</v>
      </c>
      <c r="U43" s="277"/>
      <c r="V43" s="277"/>
      <c r="W43" s="277">
        <v>0</v>
      </c>
      <c r="X43" s="277"/>
      <c r="Y43" s="277"/>
      <c r="Z43" s="277">
        <v>0</v>
      </c>
      <c r="AA43" s="278"/>
      <c r="AB43" s="278"/>
      <c r="AC43" s="278"/>
      <c r="AD43" s="278"/>
      <c r="AE43" s="278"/>
      <c r="AF43" s="278"/>
    </row>
    <row r="44" spans="1:32" ht="28.5">
      <c r="A44" s="267">
        <v>35</v>
      </c>
      <c r="B44" s="80" t="s">
        <v>277</v>
      </c>
      <c r="C44" s="300">
        <v>16650</v>
      </c>
      <c r="D44" s="300">
        <v>29007</v>
      </c>
      <c r="E44" s="300">
        <v>45657</v>
      </c>
      <c r="F44" s="300">
        <v>14093</v>
      </c>
      <c r="G44" s="300">
        <v>21678</v>
      </c>
      <c r="H44" s="300">
        <v>35771</v>
      </c>
      <c r="I44" s="300">
        <v>554</v>
      </c>
      <c r="J44" s="300">
        <v>1457</v>
      </c>
      <c r="K44" s="300">
        <v>2011</v>
      </c>
      <c r="L44" s="297">
        <v>14647</v>
      </c>
      <c r="M44" s="297">
        <v>23135</v>
      </c>
      <c r="N44" s="300">
        <v>37782</v>
      </c>
      <c r="O44" s="299">
        <v>87.969969969969981</v>
      </c>
      <c r="P44" s="299">
        <v>79.756610473334021</v>
      </c>
      <c r="Q44" s="299">
        <v>82.751823378671389</v>
      </c>
      <c r="R44" s="301">
        <v>14647</v>
      </c>
      <c r="S44" s="301">
        <v>23135</v>
      </c>
      <c r="T44" s="301">
        <v>37782</v>
      </c>
      <c r="U44" s="302">
        <v>306</v>
      </c>
      <c r="V44" s="302">
        <v>178</v>
      </c>
      <c r="W44" s="298">
        <v>484</v>
      </c>
      <c r="X44" s="301">
        <v>1473</v>
      </c>
      <c r="Y44" s="301">
        <v>1058</v>
      </c>
      <c r="Z44" s="298">
        <v>2531</v>
      </c>
      <c r="AA44" s="303">
        <v>2.0891650167269749</v>
      </c>
      <c r="AB44" s="303">
        <v>0.76939701750594336</v>
      </c>
      <c r="AC44" s="303">
        <v>1.2810332962786513</v>
      </c>
      <c r="AD44" s="303">
        <v>10.056666894244556</v>
      </c>
      <c r="AE44" s="303">
        <v>4.5731575534903826</v>
      </c>
      <c r="AF44" s="303">
        <v>6.6989571753745167</v>
      </c>
    </row>
    <row r="45" spans="1:32">
      <c r="A45" s="483" t="s">
        <v>256</v>
      </c>
      <c r="B45" s="483"/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</row>
    <row r="46" spans="1:32" ht="28.5">
      <c r="A46" s="166">
        <v>1</v>
      </c>
      <c r="B46" s="27" t="s">
        <v>249</v>
      </c>
      <c r="C46" s="169">
        <v>204970</v>
      </c>
      <c r="D46" s="169">
        <v>86747</v>
      </c>
      <c r="E46" s="170">
        <v>291717</v>
      </c>
      <c r="F46" s="169">
        <v>114454</v>
      </c>
      <c r="G46" s="169">
        <v>47832</v>
      </c>
      <c r="H46" s="170">
        <v>162286</v>
      </c>
      <c r="I46" s="169"/>
      <c r="J46" s="169"/>
      <c r="K46" s="170"/>
      <c r="L46" s="169">
        <v>114454</v>
      </c>
      <c r="M46" s="169">
        <v>47832</v>
      </c>
      <c r="N46" s="170">
        <v>162286</v>
      </c>
      <c r="O46" s="169">
        <f>+L46/C46%</f>
        <v>55.839391130409332</v>
      </c>
      <c r="P46" s="169">
        <f t="shared" ref="P46:Q46" si="0">+M46/D46%</f>
        <v>55.13965900838069</v>
      </c>
      <c r="Q46" s="169">
        <f t="shared" si="0"/>
        <v>55.631313910399463</v>
      </c>
      <c r="R46" s="214">
        <v>114454</v>
      </c>
      <c r="S46" s="214">
        <v>47832</v>
      </c>
      <c r="T46" s="214">
        <v>162286</v>
      </c>
      <c r="U46" s="214">
        <v>1187</v>
      </c>
      <c r="V46" s="214">
        <v>576</v>
      </c>
      <c r="W46" s="214">
        <v>1763</v>
      </c>
      <c r="X46" s="214">
        <v>17977</v>
      </c>
      <c r="Y46" s="214">
        <v>6795</v>
      </c>
      <c r="Z46" s="214">
        <v>24772</v>
      </c>
      <c r="AA46" s="312">
        <v>1.0370978733814458</v>
      </c>
      <c r="AB46" s="312">
        <v>1.2042147516307076</v>
      </c>
      <c r="AC46" s="312">
        <v>1.0863537212082375</v>
      </c>
      <c r="AD46" s="312">
        <v>15.70674681531445</v>
      </c>
      <c r="AE46" s="312">
        <v>14.205970898143503</v>
      </c>
      <c r="AF46" s="312">
        <v>15.26440974575749</v>
      </c>
    </row>
    <row r="47" spans="1:32">
      <c r="A47" s="166">
        <v>2</v>
      </c>
      <c r="B47" s="53" t="s">
        <v>294</v>
      </c>
      <c r="C47" s="264">
        <v>72552</v>
      </c>
      <c r="D47" s="264">
        <v>32938</v>
      </c>
      <c r="E47" s="170">
        <v>105490</v>
      </c>
      <c r="F47" s="264">
        <v>38513</v>
      </c>
      <c r="G47" s="264">
        <v>19319</v>
      </c>
      <c r="H47" s="170">
        <v>57832</v>
      </c>
      <c r="I47" s="313"/>
      <c r="J47" s="313"/>
      <c r="K47" s="170"/>
      <c r="L47" s="264">
        <v>38513</v>
      </c>
      <c r="M47" s="264">
        <v>19319</v>
      </c>
      <c r="N47" s="170">
        <v>57832</v>
      </c>
      <c r="O47" s="169">
        <f t="shared" ref="O47:Q52" si="1">+L47/C47%</f>
        <v>53.083305766898228</v>
      </c>
      <c r="P47" s="169">
        <f t="shared" ref="P47:P51" si="2">+M47/D47%</f>
        <v>58.65262007407857</v>
      </c>
      <c r="Q47" s="169">
        <f t="shared" ref="Q47:Q51" si="3">+N47/E47%</f>
        <v>54.822258033936862</v>
      </c>
      <c r="R47" s="170">
        <v>38513</v>
      </c>
      <c r="S47" s="170">
        <v>19319</v>
      </c>
      <c r="T47" s="170">
        <v>57832</v>
      </c>
      <c r="U47" s="170">
        <v>205</v>
      </c>
      <c r="V47" s="170">
        <v>166</v>
      </c>
      <c r="W47" s="214">
        <v>371</v>
      </c>
      <c r="X47" s="170">
        <v>6071</v>
      </c>
      <c r="Y47" s="170">
        <v>3994</v>
      </c>
      <c r="Z47" s="214">
        <v>10065</v>
      </c>
      <c r="AA47" s="312">
        <v>0.5322877989250383</v>
      </c>
      <c r="AB47" s="312">
        <v>0.85925772555515301</v>
      </c>
      <c r="AC47" s="312">
        <v>0.64151334901092816</v>
      </c>
      <c r="AD47" s="312">
        <v>15.763508425726378</v>
      </c>
      <c r="AE47" s="312">
        <v>20.673947926911332</v>
      </c>
      <c r="AF47" s="312">
        <v>17.403859454973023</v>
      </c>
    </row>
    <row r="48" spans="1:32">
      <c r="A48" s="166">
        <v>3</v>
      </c>
      <c r="B48" s="35" t="s">
        <v>251</v>
      </c>
      <c r="C48" s="169">
        <v>45786</v>
      </c>
      <c r="D48" s="169">
        <v>36567</v>
      </c>
      <c r="E48" s="170">
        <v>82353</v>
      </c>
      <c r="F48" s="169">
        <v>30810</v>
      </c>
      <c r="G48" s="169">
        <v>26259</v>
      </c>
      <c r="H48" s="170">
        <v>57069</v>
      </c>
      <c r="I48" s="169"/>
      <c r="J48" s="169"/>
      <c r="K48" s="170"/>
      <c r="L48" s="169">
        <v>30810</v>
      </c>
      <c r="M48" s="169">
        <v>26259</v>
      </c>
      <c r="N48" s="170">
        <v>57069</v>
      </c>
      <c r="O48" s="169">
        <f t="shared" si="1"/>
        <v>67.291311754684841</v>
      </c>
      <c r="P48" s="169">
        <f t="shared" si="2"/>
        <v>71.81064894577078</v>
      </c>
      <c r="Q48" s="169">
        <f t="shared" si="3"/>
        <v>69.298021929984344</v>
      </c>
      <c r="R48" s="214">
        <v>30810</v>
      </c>
      <c r="S48" s="214">
        <v>26259</v>
      </c>
      <c r="T48" s="214">
        <v>57069</v>
      </c>
      <c r="U48" s="176"/>
      <c r="V48" s="176"/>
      <c r="W48" s="176">
        <v>0</v>
      </c>
      <c r="X48" s="176"/>
      <c r="Y48" s="176"/>
      <c r="Z48" s="176">
        <v>0</v>
      </c>
      <c r="AA48" s="215">
        <v>0</v>
      </c>
      <c r="AB48" s="215">
        <v>0</v>
      </c>
      <c r="AC48" s="215">
        <v>0</v>
      </c>
      <c r="AD48" s="215">
        <v>0</v>
      </c>
      <c r="AE48" s="215">
        <v>0</v>
      </c>
      <c r="AF48" s="215">
        <v>0</v>
      </c>
    </row>
    <row r="49" spans="1:32" ht="28.5">
      <c r="A49" s="166">
        <v>4</v>
      </c>
      <c r="B49" s="35" t="s">
        <v>252</v>
      </c>
      <c r="C49" s="169">
        <v>45464</v>
      </c>
      <c r="D49" s="169">
        <v>32193</v>
      </c>
      <c r="E49" s="170">
        <v>77657</v>
      </c>
      <c r="F49" s="169">
        <v>22931</v>
      </c>
      <c r="G49" s="169">
        <v>17776</v>
      </c>
      <c r="H49" s="170">
        <v>40707</v>
      </c>
      <c r="I49" s="169"/>
      <c r="J49" s="169"/>
      <c r="K49" s="170"/>
      <c r="L49" s="169">
        <v>22931</v>
      </c>
      <c r="M49" s="169">
        <v>17776</v>
      </c>
      <c r="N49" s="170">
        <v>40707</v>
      </c>
      <c r="O49" s="169">
        <f t="shared" si="1"/>
        <v>50.437708956537044</v>
      </c>
      <c r="P49" s="169">
        <f t="shared" si="2"/>
        <v>55.216972633802378</v>
      </c>
      <c r="Q49" s="169">
        <f t="shared" si="3"/>
        <v>52.418970601491168</v>
      </c>
      <c r="R49" s="214">
        <v>22931</v>
      </c>
      <c r="S49" s="214">
        <v>17776</v>
      </c>
      <c r="T49" s="214">
        <v>40707</v>
      </c>
      <c r="U49" s="214">
        <v>14</v>
      </c>
      <c r="V49" s="214">
        <v>12</v>
      </c>
      <c r="W49" s="214">
        <v>26</v>
      </c>
      <c r="X49" s="214">
        <v>2048</v>
      </c>
      <c r="Y49" s="214">
        <v>1596</v>
      </c>
      <c r="Z49" s="214">
        <v>3644</v>
      </c>
      <c r="AA49" s="312">
        <v>6.1052723387553964E-2</v>
      </c>
      <c r="AB49" s="312">
        <v>6.7506750675067506E-2</v>
      </c>
      <c r="AC49" s="312">
        <v>6.3871078684255775E-2</v>
      </c>
      <c r="AD49" s="312">
        <v>8.9311412498364664</v>
      </c>
      <c r="AE49" s="312">
        <v>8.9783978397839785</v>
      </c>
      <c r="AF49" s="312">
        <v>8.9517773355933876</v>
      </c>
    </row>
    <row r="50" spans="1:32" ht="28.5">
      <c r="A50" s="166">
        <v>5</v>
      </c>
      <c r="B50" s="27" t="s">
        <v>295</v>
      </c>
      <c r="C50" s="167">
        <v>18786</v>
      </c>
      <c r="D50" s="167">
        <v>16960</v>
      </c>
      <c r="E50" s="168">
        <v>35746</v>
      </c>
      <c r="F50" s="167">
        <v>9071</v>
      </c>
      <c r="G50" s="167">
        <v>10801</v>
      </c>
      <c r="H50" s="168">
        <v>19872</v>
      </c>
      <c r="I50" s="176"/>
      <c r="J50" s="176"/>
      <c r="K50" s="176"/>
      <c r="L50" s="167">
        <v>9071</v>
      </c>
      <c r="M50" s="167">
        <v>10801</v>
      </c>
      <c r="N50" s="168">
        <v>19872</v>
      </c>
      <c r="O50" s="169">
        <f t="shared" si="1"/>
        <v>48.28595762802086</v>
      </c>
      <c r="P50" s="169">
        <f t="shared" si="2"/>
        <v>63.685141509433961</v>
      </c>
      <c r="Q50" s="169">
        <f t="shared" si="3"/>
        <v>55.592234096122645</v>
      </c>
      <c r="R50" s="214">
        <v>9071</v>
      </c>
      <c r="S50" s="214">
        <v>10801</v>
      </c>
      <c r="T50" s="214">
        <v>19872</v>
      </c>
      <c r="U50" s="176"/>
      <c r="V50" s="176"/>
      <c r="W50" s="176"/>
      <c r="X50" s="176"/>
      <c r="Y50" s="176"/>
      <c r="Z50" s="176">
        <v>0</v>
      </c>
      <c r="AA50" s="215"/>
      <c r="AB50" s="215"/>
      <c r="AC50" s="215"/>
      <c r="AD50" s="215"/>
      <c r="AE50" s="215"/>
      <c r="AF50" s="215"/>
    </row>
    <row r="51" spans="1:32" ht="28.5">
      <c r="A51" s="267">
        <v>6</v>
      </c>
      <c r="B51" s="80" t="s">
        <v>311</v>
      </c>
      <c r="C51" s="188">
        <v>10053</v>
      </c>
      <c r="D51" s="188">
        <v>7347</v>
      </c>
      <c r="E51" s="170">
        <v>17400</v>
      </c>
      <c r="F51" s="188">
        <v>4347</v>
      </c>
      <c r="G51" s="188">
        <v>6861</v>
      </c>
      <c r="H51" s="170">
        <v>11208</v>
      </c>
      <c r="I51" s="188"/>
      <c r="J51" s="188"/>
      <c r="K51" s="170"/>
      <c r="L51" s="188">
        <v>4347</v>
      </c>
      <c r="M51" s="188">
        <v>6861</v>
      </c>
      <c r="N51" s="170">
        <v>11208</v>
      </c>
      <c r="O51" s="169">
        <f t="shared" si="1"/>
        <v>43.240823634735897</v>
      </c>
      <c r="P51" s="169">
        <f t="shared" si="2"/>
        <v>93.385055124540628</v>
      </c>
      <c r="Q51" s="169">
        <f t="shared" si="3"/>
        <v>64.41379310344827</v>
      </c>
      <c r="R51" s="211">
        <v>4347</v>
      </c>
      <c r="S51" s="211">
        <v>6861</v>
      </c>
      <c r="T51" s="211">
        <v>11208</v>
      </c>
      <c r="U51" s="191"/>
      <c r="V51" s="191"/>
      <c r="W51" s="191"/>
      <c r="X51" s="213">
        <v>675</v>
      </c>
      <c r="Y51" s="213">
        <v>1114</v>
      </c>
      <c r="Z51" s="214">
        <v>1789</v>
      </c>
      <c r="AA51" s="215">
        <v>0</v>
      </c>
      <c r="AB51" s="215">
        <v>0</v>
      </c>
      <c r="AC51" s="215">
        <v>0</v>
      </c>
      <c r="AD51" s="216">
        <v>15.527950310559007</v>
      </c>
      <c r="AE51" s="216">
        <v>16.236700189476753</v>
      </c>
      <c r="AF51" s="216">
        <v>15.961812990720913</v>
      </c>
    </row>
    <row r="52" spans="1:32">
      <c r="A52" s="482" t="s">
        <v>3</v>
      </c>
      <c r="B52" s="482"/>
      <c r="C52" s="217">
        <f>SUM(C9:C51)</f>
        <v>10904655</v>
      </c>
      <c r="D52" s="217">
        <f t="shared" ref="D52:N52" si="4">SUM(D9:D51)</f>
        <v>8829960</v>
      </c>
      <c r="E52" s="217">
        <f t="shared" si="4"/>
        <v>19734615</v>
      </c>
      <c r="F52" s="217">
        <f t="shared" si="4"/>
        <v>7957567</v>
      </c>
      <c r="G52" s="217">
        <f t="shared" si="4"/>
        <v>6819335</v>
      </c>
      <c r="H52" s="217">
        <f t="shared" si="4"/>
        <v>14776902</v>
      </c>
      <c r="I52" s="217">
        <f t="shared" si="4"/>
        <v>300149</v>
      </c>
      <c r="J52" s="217">
        <f t="shared" si="4"/>
        <v>242437</v>
      </c>
      <c r="K52" s="217">
        <f t="shared" si="4"/>
        <v>542586</v>
      </c>
      <c r="L52" s="217">
        <f t="shared" si="4"/>
        <v>8257716</v>
      </c>
      <c r="M52" s="217">
        <f t="shared" si="4"/>
        <v>7061772</v>
      </c>
      <c r="N52" s="217">
        <f t="shared" si="4"/>
        <v>15319488</v>
      </c>
      <c r="O52" s="218">
        <f t="shared" si="1"/>
        <v>75.726522297129065</v>
      </c>
      <c r="P52" s="218">
        <f t="shared" si="1"/>
        <v>79.975130125164782</v>
      </c>
      <c r="Q52" s="218">
        <f t="shared" si="1"/>
        <v>77.627498686951839</v>
      </c>
      <c r="R52" s="217">
        <f t="shared" ref="R52:Z52" si="5">SUM(R9:R51)</f>
        <v>8257716</v>
      </c>
      <c r="S52" s="217">
        <f t="shared" si="5"/>
        <v>7061772</v>
      </c>
      <c r="T52" s="217">
        <f t="shared" si="5"/>
        <v>15319488</v>
      </c>
      <c r="U52" s="217">
        <f t="shared" si="5"/>
        <v>878119</v>
      </c>
      <c r="V52" s="217">
        <f t="shared" si="5"/>
        <v>955311</v>
      </c>
      <c r="W52" s="217">
        <f t="shared" si="5"/>
        <v>1833430</v>
      </c>
      <c r="X52" s="217">
        <f t="shared" si="5"/>
        <v>2100518</v>
      </c>
      <c r="Y52" s="217">
        <f t="shared" si="5"/>
        <v>1914948</v>
      </c>
      <c r="Z52" s="217">
        <f t="shared" si="5"/>
        <v>4015466</v>
      </c>
      <c r="AA52" s="219">
        <f>+U52/R52%</f>
        <v>10.633921050324327</v>
      </c>
      <c r="AB52" s="219">
        <f t="shared" ref="AB52:AC52" si="6">+V52/S52%</f>
        <v>13.527921887027789</v>
      </c>
      <c r="AC52" s="219">
        <f t="shared" si="6"/>
        <v>11.967958720291435</v>
      </c>
      <c r="AD52" s="219">
        <f>+X52/R52%</f>
        <v>25.437033678561964</v>
      </c>
      <c r="AE52" s="219">
        <f t="shared" ref="AE52:AF52" si="7">+Y52/S52%</f>
        <v>27.117103185999209</v>
      </c>
      <c r="AF52" s="219">
        <f t="shared" si="7"/>
        <v>26.211489574586302</v>
      </c>
    </row>
    <row r="53" spans="1:32">
      <c r="A53" s="304"/>
      <c r="B53" s="305"/>
      <c r="C53" s="307" t="s">
        <v>278</v>
      </c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6"/>
      <c r="P53" s="306"/>
      <c r="Q53" s="306"/>
      <c r="R53" s="307" t="s">
        <v>278</v>
      </c>
      <c r="S53" s="305"/>
      <c r="T53" s="305"/>
      <c r="U53" s="305"/>
      <c r="V53" s="305"/>
      <c r="W53" s="305"/>
      <c r="X53" s="305"/>
      <c r="Y53" s="305"/>
      <c r="Z53" s="306"/>
      <c r="AA53" s="305"/>
      <c r="AB53" s="305"/>
      <c r="AC53" s="305"/>
      <c r="AD53" s="305"/>
      <c r="AE53" s="305"/>
      <c r="AF53" s="305"/>
    </row>
    <row r="54" spans="1:32">
      <c r="A54" s="308"/>
      <c r="B54" s="309"/>
      <c r="C54" s="307" t="s">
        <v>248</v>
      </c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10"/>
      <c r="P54" s="310"/>
      <c r="Q54" s="310"/>
      <c r="R54" s="307" t="s">
        <v>248</v>
      </c>
      <c r="S54" s="309"/>
      <c r="T54" s="309"/>
      <c r="U54" s="309"/>
      <c r="V54" s="309"/>
      <c r="W54" s="309"/>
      <c r="X54" s="309"/>
      <c r="Y54" s="309"/>
      <c r="Z54" s="310"/>
      <c r="AA54" s="309"/>
      <c r="AB54" s="309"/>
      <c r="AC54" s="309"/>
      <c r="AD54" s="309"/>
      <c r="AE54" s="309"/>
      <c r="AF54" s="309"/>
    </row>
    <row r="55" spans="1:32">
      <c r="A55" s="311"/>
      <c r="B55" s="309"/>
      <c r="C55" s="307" t="s">
        <v>228</v>
      </c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10"/>
      <c r="P55" s="310"/>
      <c r="Q55" s="310"/>
      <c r="R55" s="307" t="s">
        <v>228</v>
      </c>
      <c r="S55" s="309"/>
      <c r="T55" s="309"/>
      <c r="U55" s="309"/>
      <c r="V55" s="309"/>
      <c r="W55" s="309"/>
      <c r="X55" s="309"/>
      <c r="Y55" s="309"/>
      <c r="Z55" s="310"/>
      <c r="AA55" s="309"/>
      <c r="AB55" s="309"/>
      <c r="AC55" s="309"/>
      <c r="AD55" s="309"/>
      <c r="AE55" s="309"/>
      <c r="AF55" s="309"/>
    </row>
    <row r="56" spans="1:32">
      <c r="A56" s="311"/>
      <c r="B56" s="309"/>
      <c r="C56" s="344" t="s">
        <v>312</v>
      </c>
      <c r="D56" s="144"/>
      <c r="E56" s="144"/>
      <c r="F56" s="144"/>
      <c r="G56" s="144"/>
      <c r="H56" s="309"/>
      <c r="I56" s="309"/>
      <c r="J56" s="309"/>
      <c r="K56" s="309"/>
      <c r="L56" s="309"/>
      <c r="M56" s="309"/>
      <c r="N56" s="309"/>
      <c r="O56" s="310"/>
      <c r="P56" s="310"/>
      <c r="Q56" s="310"/>
      <c r="R56" s="344" t="s">
        <v>312</v>
      </c>
      <c r="S56" s="144"/>
      <c r="T56" s="144"/>
      <c r="U56" s="144"/>
      <c r="V56" s="144"/>
      <c r="W56" s="309"/>
      <c r="X56" s="309"/>
      <c r="Y56" s="309"/>
      <c r="Z56" s="310"/>
      <c r="AA56" s="309"/>
      <c r="AB56" s="309"/>
      <c r="AC56" s="309"/>
      <c r="AD56" s="309"/>
      <c r="AE56" s="309"/>
      <c r="AF56" s="309"/>
    </row>
    <row r="57" spans="1:32">
      <c r="A57" s="311"/>
      <c r="B57" s="309"/>
      <c r="C57" s="199" t="s">
        <v>293</v>
      </c>
      <c r="D57" s="309"/>
      <c r="E57" s="309"/>
      <c r="F57" s="309"/>
      <c r="G57" s="309"/>
      <c r="H57" s="310"/>
      <c r="I57" s="309"/>
      <c r="J57" s="309"/>
      <c r="R57" s="199" t="s">
        <v>293</v>
      </c>
      <c r="S57" s="309"/>
      <c r="T57" s="309"/>
      <c r="U57" s="309"/>
      <c r="V57" s="309"/>
      <c r="W57" s="310"/>
      <c r="X57" s="309"/>
      <c r="Y57" s="309"/>
    </row>
    <row r="58" spans="1:32">
      <c r="A58" s="204"/>
      <c r="B58" s="144"/>
      <c r="C58" s="368" t="s">
        <v>332</v>
      </c>
      <c r="D58" s="368"/>
      <c r="E58" s="368"/>
      <c r="F58" s="369" t="s">
        <v>333</v>
      </c>
      <c r="G58" s="368"/>
      <c r="H58" s="368"/>
      <c r="I58" s="368"/>
      <c r="R58" s="368" t="s">
        <v>332</v>
      </c>
      <c r="S58" s="368"/>
      <c r="T58" s="368"/>
      <c r="U58" s="369" t="s">
        <v>333</v>
      </c>
      <c r="V58" s="368"/>
      <c r="W58" s="368"/>
      <c r="X58" s="368"/>
    </row>
    <row r="59" spans="1:32">
      <c r="A59" s="204"/>
    </row>
    <row r="60" spans="1:32">
      <c r="A60" s="204"/>
    </row>
    <row r="61" spans="1:32">
      <c r="A61" s="204"/>
    </row>
    <row r="62" spans="1:32">
      <c r="A62" s="204"/>
    </row>
    <row r="63" spans="1:32">
      <c r="A63" s="204"/>
    </row>
    <row r="64" spans="1:32">
      <c r="A64" s="204"/>
    </row>
    <row r="65" spans="1:2">
      <c r="A65" s="204"/>
    </row>
    <row r="66" spans="1:2">
      <c r="A66" s="204"/>
    </row>
    <row r="67" spans="1:2">
      <c r="A67" s="204"/>
      <c r="B67" s="144"/>
    </row>
    <row r="68" spans="1:2">
      <c r="A68" s="204"/>
      <c r="B68" s="144"/>
    </row>
    <row r="69" spans="1:2">
      <c r="A69" s="204"/>
      <c r="B69" s="144"/>
    </row>
    <row r="70" spans="1:2">
      <c r="A70" s="204"/>
      <c r="B70" s="144"/>
    </row>
    <row r="71" spans="1:2">
      <c r="A71" s="204"/>
      <c r="B71" s="144"/>
    </row>
    <row r="72" spans="1:2">
      <c r="A72" s="204"/>
      <c r="B72" s="144"/>
    </row>
    <row r="73" spans="1:2">
      <c r="A73" s="204"/>
      <c r="B73" s="144"/>
    </row>
    <row r="74" spans="1:2">
      <c r="A74" s="204"/>
      <c r="B74" s="144"/>
    </row>
    <row r="75" spans="1:2">
      <c r="A75" s="204"/>
      <c r="B75" s="144"/>
    </row>
    <row r="76" spans="1:2">
      <c r="A76" s="204"/>
      <c r="B76" s="144"/>
    </row>
    <row r="77" spans="1:2">
      <c r="A77" s="204"/>
      <c r="B77" s="144"/>
    </row>
    <row r="78" spans="1:2">
      <c r="A78" s="204"/>
      <c r="B78" s="144"/>
    </row>
    <row r="79" spans="1:2">
      <c r="A79" s="204"/>
      <c r="B79" s="144"/>
    </row>
    <row r="80" spans="1:2">
      <c r="A80" s="204"/>
      <c r="B80" s="144"/>
    </row>
    <row r="81" spans="1:2">
      <c r="A81" s="204"/>
      <c r="B81" s="144"/>
    </row>
    <row r="82" spans="1:2">
      <c r="A82" s="204"/>
      <c r="B82" s="144"/>
    </row>
    <row r="83" spans="1:2">
      <c r="A83" s="204"/>
      <c r="B83" s="144"/>
    </row>
    <row r="84" spans="1:2">
      <c r="A84" s="204"/>
      <c r="B84" s="144"/>
    </row>
    <row r="85" spans="1:2">
      <c r="A85" s="204"/>
      <c r="B85" s="144"/>
    </row>
    <row r="86" spans="1:2">
      <c r="A86" s="204"/>
      <c r="B86" s="144"/>
    </row>
    <row r="87" spans="1:2">
      <c r="A87" s="204"/>
      <c r="B87" s="144"/>
    </row>
    <row r="88" spans="1:2">
      <c r="A88" s="204"/>
      <c r="B88" s="144"/>
    </row>
    <row r="89" spans="1:2">
      <c r="A89" s="204"/>
      <c r="B89" s="144"/>
    </row>
    <row r="90" spans="1:2">
      <c r="A90" s="204"/>
      <c r="B90" s="144"/>
    </row>
    <row r="91" spans="1:2">
      <c r="A91" s="204"/>
      <c r="B91" s="144"/>
    </row>
    <row r="92" spans="1:2">
      <c r="A92" s="204"/>
      <c r="B92" s="144"/>
    </row>
    <row r="93" spans="1:2">
      <c r="A93" s="204"/>
      <c r="B93" s="144"/>
    </row>
    <row r="94" spans="1:2">
      <c r="A94" s="204"/>
      <c r="B94" s="144"/>
    </row>
  </sheetData>
  <mergeCells count="40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A45:AB45"/>
    <mergeCell ref="A11:B11"/>
    <mergeCell ref="C11:Q11"/>
    <mergeCell ref="R8:AF8"/>
    <mergeCell ref="A8:B8"/>
    <mergeCell ref="C8:Q8"/>
    <mergeCell ref="AC45:AD45"/>
    <mergeCell ref="AE45:AF45"/>
    <mergeCell ref="K45:L45"/>
    <mergeCell ref="M45:N45"/>
    <mergeCell ref="O45:P45"/>
    <mergeCell ref="Q45:R45"/>
    <mergeCell ref="S45:T45"/>
    <mergeCell ref="U45:V45"/>
    <mergeCell ref="W45:X45"/>
    <mergeCell ref="Y45:Z45"/>
    <mergeCell ref="A52:B52"/>
    <mergeCell ref="C45:D45"/>
    <mergeCell ref="E45:F45"/>
    <mergeCell ref="G45:H45"/>
    <mergeCell ref="I45:J45"/>
    <mergeCell ref="A45:B45"/>
  </mergeCells>
  <hyperlinks>
    <hyperlink ref="F58" r:id="rId1"/>
    <hyperlink ref="U58" r:id="rId2"/>
  </hyperlinks>
  <pageMargins left="0.70866141732283472" right="0.70866141732283472" top="0.74803149606299213" bottom="0.74803149606299213" header="0.31496062992125984" footer="0.31496062992125984"/>
  <pageSetup paperSize="9" scale="65" firstPageNumber="77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F93"/>
  <sheetViews>
    <sheetView view="pageBreakPreview" zoomScale="60" workbookViewId="0">
      <selection activeCell="S9" sqref="S9"/>
    </sheetView>
  </sheetViews>
  <sheetFormatPr defaultRowHeight="15"/>
  <cols>
    <col min="2" max="2" width="37.42578125" customWidth="1"/>
    <col min="3" max="3" width="12.140625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</cols>
  <sheetData>
    <row r="1" spans="1:32" ht="18" customHeight="1">
      <c r="A1" s="144"/>
      <c r="B1" s="163"/>
      <c r="C1" s="450" t="s">
        <v>297</v>
      </c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157" t="s">
        <v>297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>
      <c r="A2" s="164"/>
      <c r="B2" s="165"/>
      <c r="C2" s="452" t="s">
        <v>341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146" t="s">
        <v>259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>
      <c r="A3" s="458" t="s">
        <v>192</v>
      </c>
      <c r="B3" s="448" t="s">
        <v>42</v>
      </c>
      <c r="C3" s="448" t="s">
        <v>188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 t="s">
        <v>189</v>
      </c>
      <c r="P3" s="448"/>
      <c r="Q3" s="448"/>
      <c r="R3" s="489" t="s">
        <v>193</v>
      </c>
      <c r="S3" s="490"/>
      <c r="T3" s="491"/>
      <c r="U3" s="489" t="s">
        <v>194</v>
      </c>
      <c r="V3" s="490"/>
      <c r="W3" s="490"/>
      <c r="X3" s="490"/>
      <c r="Y3" s="490"/>
      <c r="Z3" s="491"/>
      <c r="AA3" s="489" t="s">
        <v>195</v>
      </c>
      <c r="AB3" s="490"/>
      <c r="AC3" s="490"/>
      <c r="AD3" s="490"/>
      <c r="AE3" s="490"/>
      <c r="AF3" s="491"/>
    </row>
    <row r="4" spans="1:32">
      <c r="A4" s="458"/>
      <c r="B4" s="448"/>
      <c r="C4" s="448" t="s">
        <v>5</v>
      </c>
      <c r="D4" s="448"/>
      <c r="E4" s="448"/>
      <c r="F4" s="448" t="s">
        <v>6</v>
      </c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92"/>
      <c r="S4" s="493"/>
      <c r="T4" s="494"/>
      <c r="U4" s="495"/>
      <c r="V4" s="496"/>
      <c r="W4" s="496"/>
      <c r="X4" s="496"/>
      <c r="Y4" s="496"/>
      <c r="Z4" s="497"/>
      <c r="AA4" s="495"/>
      <c r="AB4" s="496"/>
      <c r="AC4" s="496"/>
      <c r="AD4" s="496"/>
      <c r="AE4" s="496"/>
      <c r="AF4" s="497"/>
    </row>
    <row r="5" spans="1:32" ht="15" customHeight="1">
      <c r="A5" s="458"/>
      <c r="B5" s="448"/>
      <c r="C5" s="448"/>
      <c r="D5" s="448"/>
      <c r="E5" s="448"/>
      <c r="F5" s="448" t="s">
        <v>51</v>
      </c>
      <c r="G5" s="448"/>
      <c r="H5" s="448"/>
      <c r="I5" s="448" t="s">
        <v>190</v>
      </c>
      <c r="J5" s="448"/>
      <c r="K5" s="448"/>
      <c r="L5" s="448" t="s">
        <v>262</v>
      </c>
      <c r="M5" s="448"/>
      <c r="N5" s="448"/>
      <c r="O5" s="448"/>
      <c r="P5" s="448"/>
      <c r="Q5" s="448"/>
      <c r="R5" s="495"/>
      <c r="S5" s="496"/>
      <c r="T5" s="497"/>
      <c r="U5" s="498" t="s">
        <v>229</v>
      </c>
      <c r="V5" s="499"/>
      <c r="W5" s="500"/>
      <c r="X5" s="498" t="s">
        <v>230</v>
      </c>
      <c r="Y5" s="499"/>
      <c r="Z5" s="500"/>
      <c r="AA5" s="498" t="s">
        <v>229</v>
      </c>
      <c r="AB5" s="499"/>
      <c r="AC5" s="500"/>
      <c r="AD5" s="498" t="s">
        <v>230</v>
      </c>
      <c r="AE5" s="499"/>
      <c r="AF5" s="500"/>
    </row>
    <row r="6" spans="1:32">
      <c r="A6" s="458"/>
      <c r="B6" s="448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8" t="s">
        <v>43</v>
      </c>
      <c r="P6" s="158" t="s">
        <v>44</v>
      </c>
      <c r="Q6" s="158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>
      <c r="A8" s="457" t="s">
        <v>216</v>
      </c>
      <c r="B8" s="457"/>
      <c r="C8" s="488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5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7"/>
    </row>
    <row r="9" spans="1:32" ht="28.5">
      <c r="A9" s="166">
        <v>1</v>
      </c>
      <c r="B9" s="27" t="s">
        <v>143</v>
      </c>
      <c r="C9" s="170">
        <v>695970</v>
      </c>
      <c r="D9" s="170">
        <v>479848</v>
      </c>
      <c r="E9" s="170">
        <v>1175818</v>
      </c>
      <c r="F9" s="170">
        <v>681927</v>
      </c>
      <c r="G9" s="170">
        <v>472562</v>
      </c>
      <c r="H9" s="170">
        <v>1154489</v>
      </c>
      <c r="I9" s="170">
        <v>2722</v>
      </c>
      <c r="J9" s="170">
        <v>1396</v>
      </c>
      <c r="K9" s="170">
        <v>4118</v>
      </c>
      <c r="L9" s="169">
        <v>684649</v>
      </c>
      <c r="M9" s="169">
        <v>473958</v>
      </c>
      <c r="N9" s="169">
        <v>1158607</v>
      </c>
      <c r="O9" s="314">
        <v>98.373349425981004</v>
      </c>
      <c r="P9" s="314">
        <v>98.772527967189603</v>
      </c>
      <c r="Q9" s="314">
        <v>98.536253059572147</v>
      </c>
      <c r="R9" s="214">
        <f t="shared" ref="R9:T10" si="0">L9</f>
        <v>684649</v>
      </c>
      <c r="S9" s="214">
        <f t="shared" si="0"/>
        <v>473958</v>
      </c>
      <c r="T9" s="214">
        <f t="shared" si="0"/>
        <v>1158607</v>
      </c>
      <c r="U9" s="185"/>
      <c r="V9" s="185"/>
      <c r="W9" s="185">
        <f>U9+V9</f>
        <v>0</v>
      </c>
      <c r="X9" s="185"/>
      <c r="Y9" s="185"/>
      <c r="Z9" s="185">
        <f>X9+Y9</f>
        <v>0</v>
      </c>
      <c r="AA9" s="315">
        <f t="shared" ref="AA9:AC10" si="1">U9/R9%</f>
        <v>0</v>
      </c>
      <c r="AB9" s="315">
        <f t="shared" si="1"/>
        <v>0</v>
      </c>
      <c r="AC9" s="315">
        <f t="shared" si="1"/>
        <v>0</v>
      </c>
      <c r="AD9" s="315">
        <f t="shared" ref="AD9:AF10" si="2">X9/R9%</f>
        <v>0</v>
      </c>
      <c r="AE9" s="315">
        <f t="shared" si="2"/>
        <v>0</v>
      </c>
      <c r="AF9" s="315">
        <f t="shared" si="2"/>
        <v>0</v>
      </c>
    </row>
    <row r="10" spans="1:32" ht="28.5">
      <c r="A10" s="166">
        <v>2</v>
      </c>
      <c r="B10" s="27" t="s">
        <v>231</v>
      </c>
      <c r="C10" s="170">
        <v>73718</v>
      </c>
      <c r="D10" s="170">
        <v>58563</v>
      </c>
      <c r="E10" s="170">
        <v>132281</v>
      </c>
      <c r="F10" s="170">
        <v>72382</v>
      </c>
      <c r="G10" s="170">
        <v>58068</v>
      </c>
      <c r="H10" s="170">
        <v>130450</v>
      </c>
      <c r="I10" s="176">
        <v>0</v>
      </c>
      <c r="J10" s="176">
        <v>0</v>
      </c>
      <c r="K10" s="176">
        <v>0</v>
      </c>
      <c r="L10" s="169">
        <v>72382</v>
      </c>
      <c r="M10" s="169">
        <v>58068</v>
      </c>
      <c r="N10" s="169">
        <v>130450</v>
      </c>
      <c r="O10" s="314">
        <v>98.187688217260373</v>
      </c>
      <c r="P10" s="314">
        <v>99.154756416167203</v>
      </c>
      <c r="Q10" s="314">
        <v>98.615825401985163</v>
      </c>
      <c r="R10" s="214">
        <f t="shared" si="0"/>
        <v>72382</v>
      </c>
      <c r="S10" s="214">
        <f t="shared" si="0"/>
        <v>58068</v>
      </c>
      <c r="T10" s="214">
        <f t="shared" si="0"/>
        <v>130450</v>
      </c>
      <c r="U10" s="214">
        <v>41190</v>
      </c>
      <c r="V10" s="214">
        <v>38405</v>
      </c>
      <c r="W10" s="214">
        <f>U10+V10</f>
        <v>79595</v>
      </c>
      <c r="X10" s="214">
        <v>21996</v>
      </c>
      <c r="Y10" s="214">
        <v>15135</v>
      </c>
      <c r="Z10" s="214">
        <f>X10+Y10</f>
        <v>37131</v>
      </c>
      <c r="AA10" s="312">
        <f t="shared" si="1"/>
        <v>56.906413196651094</v>
      </c>
      <c r="AB10" s="312">
        <f t="shared" si="1"/>
        <v>66.137976165874491</v>
      </c>
      <c r="AC10" s="312">
        <f t="shared" si="1"/>
        <v>61.015714833269449</v>
      </c>
      <c r="AD10" s="312">
        <f t="shared" si="2"/>
        <v>30.388770688845291</v>
      </c>
      <c r="AE10" s="312">
        <f t="shared" si="2"/>
        <v>26.064269477164707</v>
      </c>
      <c r="AF10" s="312">
        <f t="shared" si="2"/>
        <v>28.463779225756994</v>
      </c>
    </row>
    <row r="11" spans="1:32">
      <c r="A11" s="316" t="s">
        <v>217</v>
      </c>
      <c r="B11" s="317"/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318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28.5">
      <c r="A12" s="166">
        <v>3</v>
      </c>
      <c r="B12" s="27" t="s">
        <v>263</v>
      </c>
      <c r="C12" s="170">
        <v>688862</v>
      </c>
      <c r="D12" s="170">
        <v>585184</v>
      </c>
      <c r="E12" s="170">
        <v>1274046</v>
      </c>
      <c r="F12" s="170">
        <v>531341</v>
      </c>
      <c r="G12" s="170">
        <v>493083</v>
      </c>
      <c r="H12" s="170">
        <v>1024424</v>
      </c>
      <c r="I12" s="176">
        <v>0</v>
      </c>
      <c r="J12" s="176">
        <v>0</v>
      </c>
      <c r="K12" s="176">
        <v>0</v>
      </c>
      <c r="L12" s="169">
        <v>531341</v>
      </c>
      <c r="M12" s="169">
        <v>493083</v>
      </c>
      <c r="N12" s="170">
        <v>1024424</v>
      </c>
      <c r="O12" s="314">
        <v>77.133155842534492</v>
      </c>
      <c r="P12" s="314">
        <v>84.261189642915738</v>
      </c>
      <c r="Q12" s="314">
        <v>80.407143855088435</v>
      </c>
      <c r="R12" s="214">
        <f t="shared" ref="R12:T27" si="3">L12</f>
        <v>531341</v>
      </c>
      <c r="S12" s="214">
        <f t="shared" si="3"/>
        <v>493083</v>
      </c>
      <c r="T12" s="214">
        <f t="shared" si="3"/>
        <v>1024424</v>
      </c>
      <c r="U12" s="170">
        <v>209747</v>
      </c>
      <c r="V12" s="170">
        <v>213780</v>
      </c>
      <c r="W12" s="214">
        <f t="shared" ref="W12:W43" si="4">U12+V12</f>
        <v>423527</v>
      </c>
      <c r="X12" s="214">
        <v>257854</v>
      </c>
      <c r="Y12" s="214">
        <v>240946</v>
      </c>
      <c r="Z12" s="214">
        <f t="shared" ref="Z12:Z43" si="5">X12+Y12</f>
        <v>498800</v>
      </c>
      <c r="AA12" s="312">
        <f t="shared" ref="AA12:AC43" si="6">U12/R12%</f>
        <v>39.475026395478608</v>
      </c>
      <c r="AB12" s="312">
        <f t="shared" si="6"/>
        <v>43.355783914675627</v>
      </c>
      <c r="AC12" s="312">
        <f t="shared" si="6"/>
        <v>41.342940032642737</v>
      </c>
      <c r="AD12" s="312">
        <f t="shared" ref="AD12:AF43" si="7">X12/R12%</f>
        <v>48.528910812453773</v>
      </c>
      <c r="AE12" s="312">
        <f t="shared" si="7"/>
        <v>48.865201193308224</v>
      </c>
      <c r="AF12" s="312">
        <f t="shared" si="7"/>
        <v>48.690776475365666</v>
      </c>
    </row>
    <row r="13" spans="1:32">
      <c r="A13" s="166">
        <v>4</v>
      </c>
      <c r="B13" s="27" t="s">
        <v>135</v>
      </c>
      <c r="C13" s="170">
        <v>5110</v>
      </c>
      <c r="D13" s="170">
        <v>2497</v>
      </c>
      <c r="E13" s="170">
        <v>7607</v>
      </c>
      <c r="F13" s="170">
        <v>3170</v>
      </c>
      <c r="G13" s="170">
        <v>1645</v>
      </c>
      <c r="H13" s="170">
        <v>4815</v>
      </c>
      <c r="I13" s="176">
        <v>0</v>
      </c>
      <c r="J13" s="176">
        <v>0</v>
      </c>
      <c r="K13" s="176">
        <v>0</v>
      </c>
      <c r="L13" s="169">
        <v>3170</v>
      </c>
      <c r="M13" s="169">
        <v>1645</v>
      </c>
      <c r="N13" s="170">
        <v>4815</v>
      </c>
      <c r="O13" s="314">
        <v>62.035225048923678</v>
      </c>
      <c r="P13" s="314">
        <v>65.879054865839009</v>
      </c>
      <c r="Q13" s="314">
        <v>63.296963323254893</v>
      </c>
      <c r="R13" s="214">
        <f t="shared" si="3"/>
        <v>3170</v>
      </c>
      <c r="S13" s="214">
        <f t="shared" si="3"/>
        <v>1645</v>
      </c>
      <c r="T13" s="214">
        <f t="shared" si="3"/>
        <v>4815</v>
      </c>
      <c r="U13" s="176"/>
      <c r="V13" s="176"/>
      <c r="W13" s="176">
        <f>U13+V13</f>
        <v>0</v>
      </c>
      <c r="X13" s="176"/>
      <c r="Y13" s="176"/>
      <c r="Z13" s="176">
        <f>X13+Y13</f>
        <v>0</v>
      </c>
      <c r="AA13" s="215">
        <f>U13/R13%</f>
        <v>0</v>
      </c>
      <c r="AB13" s="215">
        <f>V13/S13%</f>
        <v>0</v>
      </c>
      <c r="AC13" s="215">
        <f>W13/T13%</f>
        <v>0</v>
      </c>
      <c r="AD13" s="215">
        <f>X13/R13%</f>
        <v>0</v>
      </c>
      <c r="AE13" s="215">
        <f>Y13/S13%</f>
        <v>0</v>
      </c>
      <c r="AF13" s="215">
        <f>Z13/T13%</f>
        <v>0</v>
      </c>
    </row>
    <row r="14" spans="1:32">
      <c r="A14" s="166">
        <v>5</v>
      </c>
      <c r="B14" s="27" t="s">
        <v>264</v>
      </c>
      <c r="C14" s="170">
        <v>177885</v>
      </c>
      <c r="D14" s="170">
        <v>193753</v>
      </c>
      <c r="E14" s="170">
        <v>371638</v>
      </c>
      <c r="F14" s="170">
        <v>117281</v>
      </c>
      <c r="G14" s="170">
        <v>115631</v>
      </c>
      <c r="H14" s="170">
        <v>232912</v>
      </c>
      <c r="I14" s="176">
        <v>0</v>
      </c>
      <c r="J14" s="176">
        <v>0</v>
      </c>
      <c r="K14" s="176">
        <v>0</v>
      </c>
      <c r="L14" s="169">
        <v>117281</v>
      </c>
      <c r="M14" s="169">
        <v>115631</v>
      </c>
      <c r="N14" s="170">
        <v>232912</v>
      </c>
      <c r="O14" s="314">
        <v>65.930797987463805</v>
      </c>
      <c r="P14" s="314">
        <v>59.679592057929419</v>
      </c>
      <c r="Q14" s="314">
        <v>62.671739703690157</v>
      </c>
      <c r="R14" s="214">
        <f t="shared" si="3"/>
        <v>117281</v>
      </c>
      <c r="S14" s="214">
        <f t="shared" si="3"/>
        <v>115631</v>
      </c>
      <c r="T14" s="214">
        <f t="shared" si="3"/>
        <v>232912</v>
      </c>
      <c r="U14" s="250">
        <v>3982</v>
      </c>
      <c r="V14" s="250">
        <v>3059</v>
      </c>
      <c r="W14" s="214">
        <f>U14+V14</f>
        <v>7041</v>
      </c>
      <c r="X14" s="214">
        <v>14911</v>
      </c>
      <c r="Y14" s="214">
        <v>12510</v>
      </c>
      <c r="Z14" s="214">
        <f>X14+Y14</f>
        <v>27421</v>
      </c>
      <c r="AA14" s="312">
        <f t="shared" si="6"/>
        <v>3.3952643650719216</v>
      </c>
      <c r="AB14" s="312">
        <f t="shared" si="6"/>
        <v>2.6454843424341226</v>
      </c>
      <c r="AC14" s="312">
        <f t="shared" si="6"/>
        <v>3.023030157312633</v>
      </c>
      <c r="AD14" s="312">
        <f t="shared" si="7"/>
        <v>12.713909328876801</v>
      </c>
      <c r="AE14" s="312">
        <f t="shared" si="7"/>
        <v>10.818898046371649</v>
      </c>
      <c r="AF14" s="312">
        <f t="shared" si="7"/>
        <v>11.773116026653843</v>
      </c>
    </row>
    <row r="15" spans="1:32">
      <c r="A15" s="166">
        <v>6</v>
      </c>
      <c r="B15" s="27" t="s">
        <v>266</v>
      </c>
      <c r="C15" s="170">
        <v>15</v>
      </c>
      <c r="D15" s="170">
        <v>162</v>
      </c>
      <c r="E15" s="170">
        <v>177</v>
      </c>
      <c r="F15" s="170">
        <v>12</v>
      </c>
      <c r="G15" s="170">
        <v>158</v>
      </c>
      <c r="H15" s="170">
        <v>170</v>
      </c>
      <c r="I15" s="170">
        <v>3</v>
      </c>
      <c r="J15" s="170">
        <v>4</v>
      </c>
      <c r="K15" s="170">
        <v>7</v>
      </c>
      <c r="L15" s="169">
        <v>15</v>
      </c>
      <c r="M15" s="169">
        <v>162</v>
      </c>
      <c r="N15" s="170">
        <v>177</v>
      </c>
      <c r="O15" s="314">
        <v>100</v>
      </c>
      <c r="P15" s="314">
        <v>100</v>
      </c>
      <c r="Q15" s="314">
        <v>100</v>
      </c>
      <c r="R15" s="214">
        <f t="shared" si="3"/>
        <v>15</v>
      </c>
      <c r="S15" s="214">
        <f t="shared" si="3"/>
        <v>162</v>
      </c>
      <c r="T15" s="214">
        <f t="shared" si="3"/>
        <v>177</v>
      </c>
      <c r="U15" s="250">
        <v>4</v>
      </c>
      <c r="V15" s="250">
        <v>40</v>
      </c>
      <c r="W15" s="214">
        <f t="shared" si="4"/>
        <v>44</v>
      </c>
      <c r="X15" s="214">
        <v>2</v>
      </c>
      <c r="Y15" s="214">
        <v>59</v>
      </c>
      <c r="Z15" s="214">
        <f t="shared" si="5"/>
        <v>61</v>
      </c>
      <c r="AA15" s="312">
        <f t="shared" si="6"/>
        <v>26.666666666666668</v>
      </c>
      <c r="AB15" s="312">
        <f t="shared" si="6"/>
        <v>24.691358024691358</v>
      </c>
      <c r="AC15" s="312">
        <f t="shared" si="6"/>
        <v>24.858757062146893</v>
      </c>
      <c r="AD15" s="312">
        <f t="shared" si="7"/>
        <v>13.333333333333334</v>
      </c>
      <c r="AE15" s="312">
        <f t="shared" si="7"/>
        <v>36.419753086419753</v>
      </c>
      <c r="AF15" s="312">
        <f t="shared" si="7"/>
        <v>34.463276836158194</v>
      </c>
    </row>
    <row r="16" spans="1:32">
      <c r="A16" s="166">
        <v>7</v>
      </c>
      <c r="B16" s="27" t="s">
        <v>138</v>
      </c>
      <c r="C16" s="170">
        <v>609337</v>
      </c>
      <c r="D16" s="170">
        <v>491184</v>
      </c>
      <c r="E16" s="170">
        <v>1100521</v>
      </c>
      <c r="F16" s="170">
        <v>456492</v>
      </c>
      <c r="G16" s="170">
        <v>333875</v>
      </c>
      <c r="H16" s="170">
        <v>790367</v>
      </c>
      <c r="I16" s="170">
        <v>19685</v>
      </c>
      <c r="J16" s="170">
        <v>25203</v>
      </c>
      <c r="K16" s="170">
        <v>44888</v>
      </c>
      <c r="L16" s="169">
        <v>476177</v>
      </c>
      <c r="M16" s="169">
        <v>359078</v>
      </c>
      <c r="N16" s="170">
        <v>835255</v>
      </c>
      <c r="O16" s="314">
        <v>78.14673981721117</v>
      </c>
      <c r="P16" s="314">
        <v>73.10457995374442</v>
      </c>
      <c r="Q16" s="314">
        <v>75.896325467664866</v>
      </c>
      <c r="R16" s="214">
        <f t="shared" si="3"/>
        <v>476177</v>
      </c>
      <c r="S16" s="214">
        <f t="shared" si="3"/>
        <v>359078</v>
      </c>
      <c r="T16" s="214">
        <f t="shared" si="3"/>
        <v>835255</v>
      </c>
      <c r="U16" s="250">
        <v>14607</v>
      </c>
      <c r="V16" s="250">
        <v>6181</v>
      </c>
      <c r="W16" s="214">
        <f t="shared" si="4"/>
        <v>20788</v>
      </c>
      <c r="X16" s="214">
        <v>130162</v>
      </c>
      <c r="Y16" s="214">
        <v>71852</v>
      </c>
      <c r="Z16" s="214">
        <f t="shared" si="5"/>
        <v>202014</v>
      </c>
      <c r="AA16" s="312">
        <f t="shared" si="6"/>
        <v>3.0675568118577754</v>
      </c>
      <c r="AB16" s="312">
        <f t="shared" si="6"/>
        <v>1.7213530207921397</v>
      </c>
      <c r="AC16" s="312">
        <f t="shared" si="6"/>
        <v>2.4888207792829737</v>
      </c>
      <c r="AD16" s="312">
        <f t="shared" si="7"/>
        <v>27.334793574658161</v>
      </c>
      <c r="AE16" s="312">
        <f t="shared" si="7"/>
        <v>20.010137073282127</v>
      </c>
      <c r="AF16" s="312">
        <f t="shared" si="7"/>
        <v>24.18590729777134</v>
      </c>
    </row>
    <row r="17" spans="1:32">
      <c r="A17" s="166">
        <v>8</v>
      </c>
      <c r="B17" s="27" t="s">
        <v>267</v>
      </c>
      <c r="C17" s="170">
        <v>26167</v>
      </c>
      <c r="D17" s="170">
        <v>44631</v>
      </c>
      <c r="E17" s="170">
        <v>70798</v>
      </c>
      <c r="F17" s="170">
        <v>22992</v>
      </c>
      <c r="G17" s="170">
        <v>40457</v>
      </c>
      <c r="H17" s="170">
        <v>63449</v>
      </c>
      <c r="I17" s="176">
        <v>0</v>
      </c>
      <c r="J17" s="176">
        <v>0</v>
      </c>
      <c r="K17" s="176">
        <v>0</v>
      </c>
      <c r="L17" s="169">
        <v>22992</v>
      </c>
      <c r="M17" s="169">
        <v>40457</v>
      </c>
      <c r="N17" s="170">
        <v>63449</v>
      </c>
      <c r="O17" s="314">
        <v>87.86639660641265</v>
      </c>
      <c r="P17" s="314">
        <v>90.647756044005291</v>
      </c>
      <c r="Q17" s="314">
        <v>89.61976327014888</v>
      </c>
      <c r="R17" s="214">
        <f t="shared" si="3"/>
        <v>22992</v>
      </c>
      <c r="S17" s="214">
        <f t="shared" si="3"/>
        <v>40457</v>
      </c>
      <c r="T17" s="214">
        <f t="shared" si="3"/>
        <v>63449</v>
      </c>
      <c r="U17" s="176"/>
      <c r="V17" s="176"/>
      <c r="W17" s="176">
        <f t="shared" si="4"/>
        <v>0</v>
      </c>
      <c r="X17" s="214">
        <v>11140</v>
      </c>
      <c r="Y17" s="214">
        <v>18178</v>
      </c>
      <c r="Z17" s="214">
        <f t="shared" si="5"/>
        <v>29318</v>
      </c>
      <c r="AA17" s="215">
        <f t="shared" si="6"/>
        <v>0</v>
      </c>
      <c r="AB17" s="215">
        <f t="shared" si="6"/>
        <v>0</v>
      </c>
      <c r="AC17" s="215">
        <f t="shared" si="6"/>
        <v>0</v>
      </c>
      <c r="AD17" s="312">
        <f t="shared" si="7"/>
        <v>48.451635351426589</v>
      </c>
      <c r="AE17" s="312">
        <f t="shared" si="7"/>
        <v>44.931655832118054</v>
      </c>
      <c r="AF17" s="312">
        <f t="shared" si="7"/>
        <v>46.207190026635566</v>
      </c>
    </row>
    <row r="18" spans="1:32" ht="28.5">
      <c r="A18" s="166">
        <v>9</v>
      </c>
      <c r="B18" s="27" t="s">
        <v>145</v>
      </c>
      <c r="C18" s="170">
        <v>215153</v>
      </c>
      <c r="D18" s="170">
        <v>214554</v>
      </c>
      <c r="E18" s="170">
        <v>429707</v>
      </c>
      <c r="F18" s="170">
        <v>118112</v>
      </c>
      <c r="G18" s="170">
        <v>117846</v>
      </c>
      <c r="H18" s="170">
        <v>235958</v>
      </c>
      <c r="I18" s="176">
        <v>0</v>
      </c>
      <c r="J18" s="176">
        <v>0</v>
      </c>
      <c r="K18" s="176">
        <v>0</v>
      </c>
      <c r="L18" s="170">
        <v>118112</v>
      </c>
      <c r="M18" s="170">
        <v>117846</v>
      </c>
      <c r="N18" s="170">
        <v>235958</v>
      </c>
      <c r="O18" s="314">
        <v>54.896747895683539</v>
      </c>
      <c r="P18" s="314">
        <v>54.926032607175813</v>
      </c>
      <c r="Q18" s="314">
        <v>54.911369840379606</v>
      </c>
      <c r="R18" s="214">
        <f t="shared" si="3"/>
        <v>118112</v>
      </c>
      <c r="S18" s="214">
        <f t="shared" si="3"/>
        <v>117846</v>
      </c>
      <c r="T18" s="214">
        <f t="shared" si="3"/>
        <v>235958</v>
      </c>
      <c r="U18" s="176"/>
      <c r="V18" s="176"/>
      <c r="W18" s="176"/>
      <c r="X18" s="176"/>
      <c r="Y18" s="176"/>
      <c r="Z18" s="176"/>
      <c r="AA18" s="215"/>
      <c r="AB18" s="215"/>
      <c r="AC18" s="215"/>
      <c r="AD18" s="215"/>
      <c r="AE18" s="215"/>
      <c r="AF18" s="215"/>
    </row>
    <row r="19" spans="1:32">
      <c r="A19" s="166">
        <v>10</v>
      </c>
      <c r="B19" s="27" t="s">
        <v>298</v>
      </c>
      <c r="C19" s="170">
        <v>277</v>
      </c>
      <c r="D19" s="170">
        <v>193</v>
      </c>
      <c r="E19" s="170">
        <v>470</v>
      </c>
      <c r="F19" s="170">
        <v>93</v>
      </c>
      <c r="G19" s="170">
        <v>93</v>
      </c>
      <c r="H19" s="170">
        <v>186</v>
      </c>
      <c r="I19" s="170">
        <v>42</v>
      </c>
      <c r="J19" s="170">
        <v>33</v>
      </c>
      <c r="K19" s="170">
        <v>75</v>
      </c>
      <c r="L19" s="170">
        <v>135</v>
      </c>
      <c r="M19" s="170">
        <v>126</v>
      </c>
      <c r="N19" s="170">
        <v>261</v>
      </c>
      <c r="O19" s="314">
        <v>48.736462093862812</v>
      </c>
      <c r="P19" s="314">
        <v>65.284974093264253</v>
      </c>
      <c r="Q19" s="314">
        <v>55.531914893617021</v>
      </c>
      <c r="R19" s="214">
        <f>L19</f>
        <v>135</v>
      </c>
      <c r="S19" s="214">
        <f>M19</f>
        <v>126</v>
      </c>
      <c r="T19" s="214">
        <f>N19</f>
        <v>261</v>
      </c>
      <c r="U19" s="176"/>
      <c r="V19" s="176"/>
      <c r="W19" s="176"/>
      <c r="X19" s="176"/>
      <c r="Y19" s="176"/>
      <c r="Z19" s="176"/>
      <c r="AA19" s="215"/>
      <c r="AB19" s="215"/>
      <c r="AC19" s="215"/>
      <c r="AD19" s="215"/>
      <c r="AE19" s="215"/>
      <c r="AF19" s="215"/>
    </row>
    <row r="20" spans="1:32">
      <c r="A20" s="166">
        <v>11</v>
      </c>
      <c r="B20" s="27" t="s">
        <v>144</v>
      </c>
      <c r="C20" s="170">
        <v>342</v>
      </c>
      <c r="D20" s="170">
        <v>207</v>
      </c>
      <c r="E20" s="170">
        <v>549</v>
      </c>
      <c r="F20" s="170">
        <v>298</v>
      </c>
      <c r="G20" s="170">
        <v>174</v>
      </c>
      <c r="H20" s="170">
        <v>472</v>
      </c>
      <c r="I20" s="170">
        <v>18</v>
      </c>
      <c r="J20" s="170">
        <v>20</v>
      </c>
      <c r="K20" s="170">
        <v>38</v>
      </c>
      <c r="L20" s="169">
        <v>316</v>
      </c>
      <c r="M20" s="169">
        <v>194</v>
      </c>
      <c r="N20" s="170">
        <v>510</v>
      </c>
      <c r="O20" s="314">
        <v>92.397660818713447</v>
      </c>
      <c r="P20" s="314">
        <v>93.719806763285035</v>
      </c>
      <c r="Q20" s="314">
        <v>92.896174863387984</v>
      </c>
      <c r="R20" s="214">
        <f t="shared" si="3"/>
        <v>316</v>
      </c>
      <c r="S20" s="214">
        <f t="shared" si="3"/>
        <v>194</v>
      </c>
      <c r="T20" s="214">
        <f t="shared" si="3"/>
        <v>510</v>
      </c>
      <c r="U20" s="176"/>
      <c r="V20" s="176"/>
      <c r="W20" s="176">
        <f t="shared" si="4"/>
        <v>0</v>
      </c>
      <c r="X20" s="227">
        <v>80</v>
      </c>
      <c r="Y20" s="227">
        <v>49</v>
      </c>
      <c r="Z20" s="214">
        <f>X20+Y20</f>
        <v>129</v>
      </c>
      <c r="AA20" s="215">
        <f t="shared" si="6"/>
        <v>0</v>
      </c>
      <c r="AB20" s="215">
        <f t="shared" si="6"/>
        <v>0</v>
      </c>
      <c r="AC20" s="215">
        <f t="shared" si="6"/>
        <v>0</v>
      </c>
      <c r="AD20" s="216">
        <f t="shared" si="7"/>
        <v>25.316455696202532</v>
      </c>
      <c r="AE20" s="216">
        <f t="shared" si="7"/>
        <v>25.257731958762886</v>
      </c>
      <c r="AF20" s="312">
        <f t="shared" si="7"/>
        <v>25.294117647058826</v>
      </c>
    </row>
    <row r="21" spans="1:32" ht="28.5">
      <c r="A21" s="166">
        <v>12</v>
      </c>
      <c r="B21" s="27" t="s">
        <v>148</v>
      </c>
      <c r="C21" s="170">
        <v>8196</v>
      </c>
      <c r="D21" s="170">
        <v>7424</v>
      </c>
      <c r="E21" s="170">
        <v>15620</v>
      </c>
      <c r="F21" s="170">
        <v>5787</v>
      </c>
      <c r="G21" s="170">
        <v>5123</v>
      </c>
      <c r="H21" s="170">
        <v>10910</v>
      </c>
      <c r="I21" s="170">
        <v>412</v>
      </c>
      <c r="J21" s="170">
        <v>425</v>
      </c>
      <c r="K21" s="170">
        <v>837</v>
      </c>
      <c r="L21" s="169">
        <v>6199</v>
      </c>
      <c r="M21" s="169">
        <v>5548</v>
      </c>
      <c r="N21" s="170">
        <v>11747</v>
      </c>
      <c r="O21" s="314">
        <v>75.634455832113218</v>
      </c>
      <c r="P21" s="314">
        <v>74.730603448275872</v>
      </c>
      <c r="Q21" s="314">
        <v>75.204865556978234</v>
      </c>
      <c r="R21" s="214">
        <f t="shared" si="3"/>
        <v>6199</v>
      </c>
      <c r="S21" s="214">
        <f t="shared" si="3"/>
        <v>5548</v>
      </c>
      <c r="T21" s="214">
        <f t="shared" si="3"/>
        <v>11747</v>
      </c>
      <c r="U21" s="250">
        <v>630</v>
      </c>
      <c r="V21" s="250">
        <v>842</v>
      </c>
      <c r="W21" s="214">
        <f t="shared" si="4"/>
        <v>1472</v>
      </c>
      <c r="X21" s="214">
        <v>1168</v>
      </c>
      <c r="Y21" s="214">
        <v>1426</v>
      </c>
      <c r="Z21" s="214">
        <f t="shared" si="5"/>
        <v>2594</v>
      </c>
      <c r="AA21" s="312">
        <f t="shared" si="6"/>
        <v>10.162929504758832</v>
      </c>
      <c r="AB21" s="312">
        <f t="shared" si="6"/>
        <v>15.176640230713772</v>
      </c>
      <c r="AC21" s="312">
        <f t="shared" si="6"/>
        <v>12.530858942708777</v>
      </c>
      <c r="AD21" s="312">
        <f t="shared" si="7"/>
        <v>18.841748669140184</v>
      </c>
      <c r="AE21" s="312">
        <f t="shared" si="7"/>
        <v>25.702956020187457</v>
      </c>
      <c r="AF21" s="312">
        <f t="shared" si="7"/>
        <v>22.082233761811526</v>
      </c>
    </row>
    <row r="22" spans="1:32" ht="28.5">
      <c r="A22" s="166">
        <v>13</v>
      </c>
      <c r="B22" s="27" t="s">
        <v>149</v>
      </c>
      <c r="C22" s="170">
        <v>508151</v>
      </c>
      <c r="D22" s="170">
        <v>314039</v>
      </c>
      <c r="E22" s="170">
        <v>822190</v>
      </c>
      <c r="F22" s="170">
        <v>353491</v>
      </c>
      <c r="G22" s="170">
        <v>242926</v>
      </c>
      <c r="H22" s="170">
        <v>596417</v>
      </c>
      <c r="I22" s="170">
        <v>26083</v>
      </c>
      <c r="J22" s="170">
        <v>14579</v>
      </c>
      <c r="K22" s="170">
        <v>40662</v>
      </c>
      <c r="L22" s="169">
        <v>379574</v>
      </c>
      <c r="M22" s="169">
        <v>257505</v>
      </c>
      <c r="N22" s="170">
        <v>637079</v>
      </c>
      <c r="O22" s="314">
        <v>74.697088070278326</v>
      </c>
      <c r="P22" s="314">
        <v>81.997777346125801</v>
      </c>
      <c r="Q22" s="314">
        <v>77.485617679611778</v>
      </c>
      <c r="R22" s="214">
        <f t="shared" si="3"/>
        <v>379574</v>
      </c>
      <c r="S22" s="214">
        <f t="shared" si="3"/>
        <v>257505</v>
      </c>
      <c r="T22" s="214">
        <f t="shared" si="3"/>
        <v>637079</v>
      </c>
      <c r="U22" s="250">
        <v>58544</v>
      </c>
      <c r="V22" s="250">
        <v>45326</v>
      </c>
      <c r="W22" s="214">
        <f t="shared" si="4"/>
        <v>103870</v>
      </c>
      <c r="X22" s="214">
        <v>107923</v>
      </c>
      <c r="Y22" s="214">
        <v>81345</v>
      </c>
      <c r="Z22" s="214">
        <f t="shared" si="5"/>
        <v>189268</v>
      </c>
      <c r="AA22" s="312">
        <f t="shared" si="6"/>
        <v>15.423606464088691</v>
      </c>
      <c r="AB22" s="312">
        <f t="shared" si="6"/>
        <v>17.601988310906584</v>
      </c>
      <c r="AC22" s="312">
        <f t="shared" si="6"/>
        <v>16.304100433384242</v>
      </c>
      <c r="AD22" s="312">
        <f t="shared" si="7"/>
        <v>28.432663986469045</v>
      </c>
      <c r="AE22" s="312">
        <f t="shared" si="7"/>
        <v>31.589677870332611</v>
      </c>
      <c r="AF22" s="312">
        <f t="shared" si="7"/>
        <v>29.708717443205632</v>
      </c>
    </row>
    <row r="23" spans="1:32">
      <c r="A23" s="166">
        <v>14</v>
      </c>
      <c r="B23" s="27" t="s">
        <v>140</v>
      </c>
      <c r="C23" s="170">
        <v>213012</v>
      </c>
      <c r="D23" s="170">
        <v>172087</v>
      </c>
      <c r="E23" s="170">
        <v>385099</v>
      </c>
      <c r="F23" s="170">
        <v>130907</v>
      </c>
      <c r="G23" s="170">
        <v>112912</v>
      </c>
      <c r="H23" s="170">
        <v>243819</v>
      </c>
      <c r="I23" s="170">
        <v>25016</v>
      </c>
      <c r="J23" s="170">
        <v>17213</v>
      </c>
      <c r="K23" s="170">
        <v>42229</v>
      </c>
      <c r="L23" s="169">
        <v>155923</v>
      </c>
      <c r="M23" s="169">
        <v>130125</v>
      </c>
      <c r="N23" s="170">
        <v>286048</v>
      </c>
      <c r="O23" s="314">
        <v>73.199162488498303</v>
      </c>
      <c r="P23" s="314">
        <v>75.615822229453713</v>
      </c>
      <c r="Q23" s="314">
        <v>74.27908148294334</v>
      </c>
      <c r="R23" s="214">
        <v>155923</v>
      </c>
      <c r="S23" s="214">
        <v>130125</v>
      </c>
      <c r="T23" s="214">
        <v>286048</v>
      </c>
      <c r="U23" s="250">
        <v>6023</v>
      </c>
      <c r="V23" s="250">
        <v>8129</v>
      </c>
      <c r="W23" s="214">
        <v>14152</v>
      </c>
      <c r="X23" s="214">
        <v>47382</v>
      </c>
      <c r="Y23" s="214">
        <v>48445</v>
      </c>
      <c r="Z23" s="214">
        <v>95827</v>
      </c>
      <c r="AA23" s="312">
        <v>3.8628040763710292</v>
      </c>
      <c r="AB23" s="312">
        <v>6.2470701248799232</v>
      </c>
      <c r="AC23" s="312">
        <v>4.9474214117910282</v>
      </c>
      <c r="AD23" s="312">
        <v>30.388076165799784</v>
      </c>
      <c r="AE23" s="312">
        <v>37.229586935638807</v>
      </c>
      <c r="AF23" s="312">
        <v>33.500321624342767</v>
      </c>
    </row>
    <row r="24" spans="1:32">
      <c r="A24" s="166">
        <v>15</v>
      </c>
      <c r="B24" s="27" t="s">
        <v>150</v>
      </c>
      <c r="C24" s="170">
        <v>76412</v>
      </c>
      <c r="D24" s="170">
        <v>69400</v>
      </c>
      <c r="E24" s="170">
        <v>145812</v>
      </c>
      <c r="F24" s="170">
        <v>48699</v>
      </c>
      <c r="G24" s="170">
        <v>45456</v>
      </c>
      <c r="H24" s="170">
        <v>94155</v>
      </c>
      <c r="I24" s="170">
        <v>8302</v>
      </c>
      <c r="J24" s="170">
        <v>7814</v>
      </c>
      <c r="K24" s="170">
        <v>16116</v>
      </c>
      <c r="L24" s="169">
        <v>57001</v>
      </c>
      <c r="M24" s="169">
        <v>53270</v>
      </c>
      <c r="N24" s="170">
        <v>110271</v>
      </c>
      <c r="O24" s="314">
        <v>74.59692194943203</v>
      </c>
      <c r="P24" s="314">
        <v>76.757925072046106</v>
      </c>
      <c r="Q24" s="314">
        <v>75.625462924862148</v>
      </c>
      <c r="R24" s="214">
        <f t="shared" si="3"/>
        <v>57001</v>
      </c>
      <c r="S24" s="214">
        <f t="shared" si="3"/>
        <v>53270</v>
      </c>
      <c r="T24" s="214">
        <f t="shared" si="3"/>
        <v>110271</v>
      </c>
      <c r="U24" s="250">
        <v>5265</v>
      </c>
      <c r="V24" s="250">
        <v>6322</v>
      </c>
      <c r="W24" s="214">
        <f t="shared" si="4"/>
        <v>11587</v>
      </c>
      <c r="X24" s="214">
        <v>18585</v>
      </c>
      <c r="Y24" s="214">
        <v>2009</v>
      </c>
      <c r="Z24" s="214">
        <f t="shared" si="5"/>
        <v>20594</v>
      </c>
      <c r="AA24" s="312">
        <f t="shared" si="6"/>
        <v>9.2366800582445929</v>
      </c>
      <c r="AB24" s="312">
        <f t="shared" si="6"/>
        <v>11.86784306363807</v>
      </c>
      <c r="AC24" s="312">
        <f t="shared" si="6"/>
        <v>10.507749090876114</v>
      </c>
      <c r="AD24" s="312">
        <f t="shared" si="7"/>
        <v>32.604691145769372</v>
      </c>
      <c r="AE24" s="312">
        <f t="shared" si="7"/>
        <v>3.7713534822601837</v>
      </c>
      <c r="AF24" s="312">
        <f t="shared" si="7"/>
        <v>18.675807782644576</v>
      </c>
    </row>
    <row r="25" spans="1:32">
      <c r="A25" s="166">
        <v>16</v>
      </c>
      <c r="B25" s="27" t="s">
        <v>151</v>
      </c>
      <c r="C25" s="170">
        <v>141877</v>
      </c>
      <c r="D25" s="170">
        <v>110697</v>
      </c>
      <c r="E25" s="170">
        <v>252574</v>
      </c>
      <c r="F25" s="170">
        <v>66306</v>
      </c>
      <c r="G25" s="170">
        <v>52407</v>
      </c>
      <c r="H25" s="170">
        <v>118713</v>
      </c>
      <c r="I25" s="170">
        <v>39069</v>
      </c>
      <c r="J25" s="170">
        <v>28566</v>
      </c>
      <c r="K25" s="170">
        <v>67635</v>
      </c>
      <c r="L25" s="170">
        <v>105375</v>
      </c>
      <c r="M25" s="170">
        <v>80973</v>
      </c>
      <c r="N25" s="170">
        <v>186348</v>
      </c>
      <c r="O25" s="314">
        <v>74.272080745998295</v>
      </c>
      <c r="P25" s="314">
        <v>73.148323802813081</v>
      </c>
      <c r="Q25" s="314">
        <v>73.779565592657988</v>
      </c>
      <c r="R25" s="214">
        <f t="shared" si="3"/>
        <v>105375</v>
      </c>
      <c r="S25" s="214">
        <f t="shared" si="3"/>
        <v>80973</v>
      </c>
      <c r="T25" s="214">
        <f t="shared" si="3"/>
        <v>186348</v>
      </c>
      <c r="U25" s="176"/>
      <c r="V25" s="176"/>
      <c r="W25" s="176">
        <f t="shared" si="4"/>
        <v>0</v>
      </c>
      <c r="X25" s="176"/>
      <c r="Y25" s="176"/>
      <c r="Z25" s="176">
        <f t="shared" si="5"/>
        <v>0</v>
      </c>
      <c r="AA25" s="215">
        <f t="shared" si="6"/>
        <v>0</v>
      </c>
      <c r="AB25" s="215">
        <f t="shared" si="6"/>
        <v>0</v>
      </c>
      <c r="AC25" s="215">
        <f t="shared" si="6"/>
        <v>0</v>
      </c>
      <c r="AD25" s="215">
        <f t="shared" si="7"/>
        <v>0</v>
      </c>
      <c r="AE25" s="215">
        <f t="shared" si="7"/>
        <v>0</v>
      </c>
      <c r="AF25" s="215">
        <f t="shared" si="7"/>
        <v>0</v>
      </c>
    </row>
    <row r="26" spans="1:32">
      <c r="A26" s="166">
        <v>17</v>
      </c>
      <c r="B26" s="27" t="s">
        <v>152</v>
      </c>
      <c r="C26" s="170">
        <v>174470</v>
      </c>
      <c r="D26" s="170">
        <v>154529</v>
      </c>
      <c r="E26" s="170">
        <v>328999</v>
      </c>
      <c r="F26" s="170">
        <v>119073</v>
      </c>
      <c r="G26" s="170">
        <v>97648</v>
      </c>
      <c r="H26" s="170">
        <v>216721</v>
      </c>
      <c r="I26" s="170">
        <v>3379</v>
      </c>
      <c r="J26" s="170">
        <v>5051</v>
      </c>
      <c r="K26" s="170">
        <v>8430</v>
      </c>
      <c r="L26" s="169">
        <v>122452</v>
      </c>
      <c r="M26" s="169">
        <v>102699</v>
      </c>
      <c r="N26" s="170">
        <v>225151</v>
      </c>
      <c r="O26" s="314">
        <v>70.185132114403629</v>
      </c>
      <c r="P26" s="314">
        <v>66.459370085873843</v>
      </c>
      <c r="Q26" s="314">
        <v>68.435162416907048</v>
      </c>
      <c r="R26" s="214">
        <f t="shared" si="3"/>
        <v>122452</v>
      </c>
      <c r="S26" s="214">
        <f t="shared" si="3"/>
        <v>102699</v>
      </c>
      <c r="T26" s="214">
        <f t="shared" si="3"/>
        <v>225151</v>
      </c>
      <c r="U26" s="250">
        <v>1995</v>
      </c>
      <c r="V26" s="250">
        <v>1093</v>
      </c>
      <c r="W26" s="214">
        <f t="shared" si="4"/>
        <v>3088</v>
      </c>
      <c r="X26" s="214">
        <v>20066</v>
      </c>
      <c r="Y26" s="214">
        <v>14628</v>
      </c>
      <c r="Z26" s="214">
        <f t="shared" si="5"/>
        <v>34694</v>
      </c>
      <c r="AA26" s="312">
        <f t="shared" si="6"/>
        <v>1.6292098128246171</v>
      </c>
      <c r="AB26" s="312">
        <f t="shared" si="6"/>
        <v>1.0642752120273811</v>
      </c>
      <c r="AC26" s="312">
        <f t="shared" si="6"/>
        <v>1.3715239994492583</v>
      </c>
      <c r="AD26" s="312">
        <f t="shared" si="7"/>
        <v>16.386829124881586</v>
      </c>
      <c r="AE26" s="312">
        <f t="shared" si="7"/>
        <v>14.24356614962171</v>
      </c>
      <c r="AF26" s="312">
        <f t="shared" si="7"/>
        <v>15.409214260651739</v>
      </c>
    </row>
    <row r="27" spans="1:32" ht="28.5">
      <c r="A27" s="166">
        <v>18</v>
      </c>
      <c r="B27" s="27" t="s">
        <v>285</v>
      </c>
      <c r="C27" s="170">
        <v>439993</v>
      </c>
      <c r="D27" s="170">
        <v>385150</v>
      </c>
      <c r="E27" s="170">
        <v>825143</v>
      </c>
      <c r="F27" s="170">
        <v>315794</v>
      </c>
      <c r="G27" s="170">
        <v>312679</v>
      </c>
      <c r="H27" s="170">
        <v>628473</v>
      </c>
      <c r="I27" s="170">
        <v>46687</v>
      </c>
      <c r="J27" s="170">
        <v>26935</v>
      </c>
      <c r="K27" s="170">
        <v>73622</v>
      </c>
      <c r="L27" s="169">
        <v>362481</v>
      </c>
      <c r="M27" s="169">
        <v>339614</v>
      </c>
      <c r="N27" s="170">
        <v>702095</v>
      </c>
      <c r="O27" s="314">
        <v>82.383356098847031</v>
      </c>
      <c r="P27" s="314">
        <v>88.177073867324424</v>
      </c>
      <c r="Q27" s="314">
        <v>85.087675711967506</v>
      </c>
      <c r="R27" s="214">
        <f t="shared" si="3"/>
        <v>362481</v>
      </c>
      <c r="S27" s="214">
        <f t="shared" si="3"/>
        <v>339614</v>
      </c>
      <c r="T27" s="214">
        <f t="shared" si="3"/>
        <v>702095</v>
      </c>
      <c r="U27" s="250">
        <v>44327</v>
      </c>
      <c r="V27" s="250">
        <v>57479</v>
      </c>
      <c r="W27" s="214">
        <f t="shared" si="4"/>
        <v>101806</v>
      </c>
      <c r="X27" s="214">
        <v>74566</v>
      </c>
      <c r="Y27" s="214">
        <v>85191</v>
      </c>
      <c r="Z27" s="214">
        <f t="shared" si="5"/>
        <v>159757</v>
      </c>
      <c r="AA27" s="312">
        <f t="shared" si="6"/>
        <v>12.228778887721012</v>
      </c>
      <c r="AB27" s="312">
        <f t="shared" si="6"/>
        <v>16.92480286442844</v>
      </c>
      <c r="AC27" s="312">
        <f t="shared" si="6"/>
        <v>14.50031690868045</v>
      </c>
      <c r="AD27" s="312">
        <f t="shared" si="7"/>
        <v>20.571009239104946</v>
      </c>
      <c r="AE27" s="312">
        <f t="shared" si="7"/>
        <v>25.084654931775486</v>
      </c>
      <c r="AF27" s="312">
        <f t="shared" si="7"/>
        <v>22.754328117989733</v>
      </c>
    </row>
    <row r="28" spans="1:32">
      <c r="A28" s="166">
        <v>19</v>
      </c>
      <c r="B28" s="27" t="s">
        <v>286</v>
      </c>
      <c r="C28" s="170">
        <v>234885</v>
      </c>
      <c r="D28" s="170">
        <v>235034</v>
      </c>
      <c r="E28" s="170">
        <v>469919</v>
      </c>
      <c r="F28" s="170">
        <v>217837</v>
      </c>
      <c r="G28" s="170">
        <v>223354</v>
      </c>
      <c r="H28" s="170">
        <v>441191</v>
      </c>
      <c r="I28" s="176">
        <v>0</v>
      </c>
      <c r="J28" s="176">
        <v>0</v>
      </c>
      <c r="K28" s="176">
        <v>0</v>
      </c>
      <c r="L28" s="169">
        <v>217837</v>
      </c>
      <c r="M28" s="169">
        <v>223354</v>
      </c>
      <c r="N28" s="170">
        <v>441191</v>
      </c>
      <c r="O28" s="314">
        <v>92.741980117930055</v>
      </c>
      <c r="P28" s="314">
        <v>95.030506224631324</v>
      </c>
      <c r="Q28" s="314">
        <v>93.886605989542886</v>
      </c>
      <c r="R28" s="214">
        <f t="shared" ref="R28:T43" si="8">L28</f>
        <v>217837</v>
      </c>
      <c r="S28" s="214">
        <f t="shared" si="8"/>
        <v>223354</v>
      </c>
      <c r="T28" s="214">
        <f t="shared" si="8"/>
        <v>441191</v>
      </c>
      <c r="U28" s="176"/>
      <c r="V28" s="176"/>
      <c r="W28" s="176">
        <f t="shared" si="4"/>
        <v>0</v>
      </c>
      <c r="X28" s="176"/>
      <c r="Y28" s="176"/>
      <c r="Z28" s="176">
        <f t="shared" si="5"/>
        <v>0</v>
      </c>
      <c r="AA28" s="215">
        <f t="shared" si="6"/>
        <v>0</v>
      </c>
      <c r="AB28" s="215">
        <f t="shared" si="6"/>
        <v>0</v>
      </c>
      <c r="AC28" s="215">
        <f t="shared" si="6"/>
        <v>0</v>
      </c>
      <c r="AD28" s="215">
        <f t="shared" si="7"/>
        <v>0</v>
      </c>
      <c r="AE28" s="215">
        <f t="shared" si="7"/>
        <v>0</v>
      </c>
      <c r="AF28" s="215">
        <f t="shared" si="7"/>
        <v>0</v>
      </c>
    </row>
    <row r="29" spans="1:32" ht="28.5">
      <c r="A29" s="166">
        <v>20</v>
      </c>
      <c r="B29" s="27" t="s">
        <v>271</v>
      </c>
      <c r="C29" s="170">
        <v>939268</v>
      </c>
      <c r="D29" s="170">
        <v>761477</v>
      </c>
      <c r="E29" s="170">
        <v>1700745</v>
      </c>
      <c r="F29" s="170">
        <v>678323</v>
      </c>
      <c r="G29" s="170">
        <v>597155</v>
      </c>
      <c r="H29" s="170">
        <v>1275478</v>
      </c>
      <c r="I29" s="170">
        <v>20260</v>
      </c>
      <c r="J29" s="170">
        <v>11996</v>
      </c>
      <c r="K29" s="170">
        <v>32256</v>
      </c>
      <c r="L29" s="169">
        <v>698583</v>
      </c>
      <c r="M29" s="169">
        <v>609151</v>
      </c>
      <c r="N29" s="170">
        <v>1307734</v>
      </c>
      <c r="O29" s="314">
        <v>74.375258179774036</v>
      </c>
      <c r="P29" s="314">
        <v>79.995981493859958</v>
      </c>
      <c r="Q29" s="314">
        <v>76.891832696847558</v>
      </c>
      <c r="R29" s="214">
        <v>698583</v>
      </c>
      <c r="S29" s="214">
        <v>609151</v>
      </c>
      <c r="T29" s="214">
        <v>1307734</v>
      </c>
      <c r="U29" s="250">
        <v>109306</v>
      </c>
      <c r="V29" s="250">
        <v>117307</v>
      </c>
      <c r="W29" s="214">
        <v>226613</v>
      </c>
      <c r="X29" s="214">
        <v>231567</v>
      </c>
      <c r="Y29" s="214">
        <v>230270</v>
      </c>
      <c r="Z29" s="214">
        <v>461837</v>
      </c>
      <c r="AA29" s="312">
        <v>15.646816484225926</v>
      </c>
      <c r="AB29" s="312">
        <v>19.257458331349696</v>
      </c>
      <c r="AC29" s="312">
        <v>17.32867693277073</v>
      </c>
      <c r="AD29" s="312">
        <v>33.148101227771072</v>
      </c>
      <c r="AE29" s="312">
        <v>37.801792987288863</v>
      </c>
      <c r="AF29" s="312">
        <v>35.31582110735058</v>
      </c>
    </row>
    <row r="30" spans="1:32" ht="28.5">
      <c r="A30" s="166">
        <v>21</v>
      </c>
      <c r="B30" s="27" t="s">
        <v>272</v>
      </c>
      <c r="C30" s="170">
        <v>517210</v>
      </c>
      <c r="D30" s="170">
        <v>392710</v>
      </c>
      <c r="E30" s="170">
        <v>909920</v>
      </c>
      <c r="F30" s="170">
        <v>246266</v>
      </c>
      <c r="G30" s="170">
        <v>192035</v>
      </c>
      <c r="H30" s="170">
        <v>438301</v>
      </c>
      <c r="I30" s="170">
        <v>43354</v>
      </c>
      <c r="J30" s="170">
        <v>37201</v>
      </c>
      <c r="K30" s="170">
        <v>80555</v>
      </c>
      <c r="L30" s="169">
        <v>289620</v>
      </c>
      <c r="M30" s="169">
        <v>229236</v>
      </c>
      <c r="N30" s="170">
        <v>518856</v>
      </c>
      <c r="O30" s="314">
        <v>55.996597126892368</v>
      </c>
      <c r="P30" s="314">
        <v>58.37284510198365</v>
      </c>
      <c r="Q30" s="314">
        <v>57.02215579391595</v>
      </c>
      <c r="R30" s="214">
        <f t="shared" si="8"/>
        <v>289620</v>
      </c>
      <c r="S30" s="214">
        <f t="shared" si="8"/>
        <v>229236</v>
      </c>
      <c r="T30" s="214">
        <f t="shared" si="8"/>
        <v>518856</v>
      </c>
      <c r="U30" s="250">
        <v>28573</v>
      </c>
      <c r="V30" s="250">
        <v>24946</v>
      </c>
      <c r="W30" s="214">
        <f t="shared" si="4"/>
        <v>53519</v>
      </c>
      <c r="X30" s="214">
        <v>77015</v>
      </c>
      <c r="Y30" s="214">
        <v>62524</v>
      </c>
      <c r="Z30" s="214">
        <f t="shared" si="5"/>
        <v>139539</v>
      </c>
      <c r="AA30" s="312">
        <f t="shared" si="6"/>
        <v>9.8656860714039087</v>
      </c>
      <c r="AB30" s="312">
        <f t="shared" si="6"/>
        <v>10.88223490202237</v>
      </c>
      <c r="AC30" s="312">
        <f t="shared" si="6"/>
        <v>10.314807962132074</v>
      </c>
      <c r="AD30" s="312">
        <f t="shared" si="7"/>
        <v>26.591740901871418</v>
      </c>
      <c r="AE30" s="312">
        <f t="shared" si="7"/>
        <v>27.274948088432879</v>
      </c>
      <c r="AF30" s="312">
        <f t="shared" si="7"/>
        <v>26.893588972662933</v>
      </c>
    </row>
    <row r="31" spans="1:32">
      <c r="A31" s="166">
        <v>22</v>
      </c>
      <c r="B31" s="27" t="s">
        <v>141</v>
      </c>
      <c r="C31" s="170">
        <v>14947</v>
      </c>
      <c r="D31" s="170">
        <v>15103</v>
      </c>
      <c r="E31" s="170">
        <v>30050</v>
      </c>
      <c r="F31" s="170">
        <v>11119</v>
      </c>
      <c r="G31" s="170">
        <v>10028</v>
      </c>
      <c r="H31" s="170">
        <v>21147</v>
      </c>
      <c r="I31" s="170">
        <v>1694</v>
      </c>
      <c r="J31" s="170">
        <v>1957</v>
      </c>
      <c r="K31" s="170">
        <v>3651</v>
      </c>
      <c r="L31" s="169">
        <v>12813</v>
      </c>
      <c r="M31" s="169">
        <v>11985</v>
      </c>
      <c r="N31" s="170">
        <v>24798</v>
      </c>
      <c r="O31" s="314">
        <v>85.722887535960396</v>
      </c>
      <c r="P31" s="314">
        <v>79.355095014235573</v>
      </c>
      <c r="Q31" s="314">
        <v>82.522462562396001</v>
      </c>
      <c r="R31" s="214">
        <v>12813</v>
      </c>
      <c r="S31" s="214">
        <v>11985</v>
      </c>
      <c r="T31" s="214">
        <v>24798</v>
      </c>
      <c r="U31" s="250">
        <v>485</v>
      </c>
      <c r="V31" s="250">
        <v>257</v>
      </c>
      <c r="W31" s="214">
        <v>742</v>
      </c>
      <c r="X31" s="214">
        <v>3462</v>
      </c>
      <c r="Y31" s="214">
        <v>2886</v>
      </c>
      <c r="Z31" s="214">
        <v>6348</v>
      </c>
      <c r="AA31" s="312">
        <v>3.7852181378287679</v>
      </c>
      <c r="AB31" s="312">
        <v>2.1443471005423449</v>
      </c>
      <c r="AC31" s="312">
        <v>2.9921767884506818</v>
      </c>
      <c r="AD31" s="312">
        <v>27.01943338796535</v>
      </c>
      <c r="AE31" s="312">
        <v>24.080100125156445</v>
      </c>
      <c r="AF31" s="312">
        <v>25.598838616017421</v>
      </c>
    </row>
    <row r="32" spans="1:32">
      <c r="A32" s="166">
        <v>23</v>
      </c>
      <c r="B32" s="27" t="s">
        <v>299</v>
      </c>
      <c r="C32" s="170">
        <v>16549</v>
      </c>
      <c r="D32" s="170">
        <v>19573</v>
      </c>
      <c r="E32" s="170">
        <v>36122</v>
      </c>
      <c r="F32" s="170">
        <v>7787</v>
      </c>
      <c r="G32" s="170">
        <v>8957</v>
      </c>
      <c r="H32" s="170">
        <v>16744</v>
      </c>
      <c r="I32" s="176"/>
      <c r="J32" s="176"/>
      <c r="K32" s="176"/>
      <c r="L32" s="169">
        <v>7787</v>
      </c>
      <c r="M32" s="169">
        <v>8957</v>
      </c>
      <c r="N32" s="170">
        <v>16744</v>
      </c>
      <c r="O32" s="314">
        <v>47.054202670856242</v>
      </c>
      <c r="P32" s="314">
        <v>45.762019107954835</v>
      </c>
      <c r="Q32" s="314">
        <v>46.354022479375452</v>
      </c>
      <c r="R32" s="170">
        <f t="shared" si="8"/>
        <v>7787</v>
      </c>
      <c r="S32" s="170">
        <f t="shared" si="8"/>
        <v>8957</v>
      </c>
      <c r="T32" s="170">
        <f t="shared" si="8"/>
        <v>16744</v>
      </c>
      <c r="U32" s="170">
        <v>1218</v>
      </c>
      <c r="V32" s="170">
        <v>1308</v>
      </c>
      <c r="W32" s="170">
        <f t="shared" si="4"/>
        <v>2526</v>
      </c>
      <c r="X32" s="170">
        <v>2053</v>
      </c>
      <c r="Y32" s="170">
        <v>2365</v>
      </c>
      <c r="Z32" s="170">
        <f t="shared" si="5"/>
        <v>4418</v>
      </c>
      <c r="AA32" s="314">
        <f t="shared" si="6"/>
        <v>15.641453704892768</v>
      </c>
      <c r="AB32" s="314">
        <f t="shared" si="6"/>
        <v>14.603103717762645</v>
      </c>
      <c r="AC32" s="314">
        <f t="shared" si="6"/>
        <v>15.086000955566174</v>
      </c>
      <c r="AD32" s="314">
        <f t="shared" si="7"/>
        <v>26.364453576473608</v>
      </c>
      <c r="AE32" s="314">
        <f t="shared" si="7"/>
        <v>26.403929887239034</v>
      </c>
      <c r="AF32" s="314">
        <f t="shared" si="7"/>
        <v>26.385570950788342</v>
      </c>
    </row>
    <row r="33" spans="1:32">
      <c r="A33" s="166">
        <v>24</v>
      </c>
      <c r="B33" s="27" t="s">
        <v>159</v>
      </c>
      <c r="C33" s="170">
        <v>7209</v>
      </c>
      <c r="D33" s="170">
        <v>7740</v>
      </c>
      <c r="E33" s="170">
        <v>14949</v>
      </c>
      <c r="F33" s="170">
        <v>5242</v>
      </c>
      <c r="G33" s="170">
        <v>5558</v>
      </c>
      <c r="H33" s="170">
        <v>10800</v>
      </c>
      <c r="I33" s="170">
        <v>87</v>
      </c>
      <c r="J33" s="170">
        <v>93</v>
      </c>
      <c r="K33" s="170">
        <v>180</v>
      </c>
      <c r="L33" s="169">
        <v>5329</v>
      </c>
      <c r="M33" s="169">
        <v>5651</v>
      </c>
      <c r="N33" s="170">
        <v>10980</v>
      </c>
      <c r="O33" s="314">
        <v>73.921487030101261</v>
      </c>
      <c r="P33" s="314">
        <v>73.010335917312659</v>
      </c>
      <c r="Q33" s="314">
        <v>73.44972907886816</v>
      </c>
      <c r="R33" s="214">
        <f t="shared" si="8"/>
        <v>5329</v>
      </c>
      <c r="S33" s="214">
        <f t="shared" si="8"/>
        <v>5651</v>
      </c>
      <c r="T33" s="214">
        <f t="shared" si="8"/>
        <v>10980</v>
      </c>
      <c r="U33" s="250">
        <v>350</v>
      </c>
      <c r="V33" s="250">
        <v>368</v>
      </c>
      <c r="W33" s="214">
        <f t="shared" si="4"/>
        <v>718</v>
      </c>
      <c r="X33" s="214">
        <v>1179</v>
      </c>
      <c r="Y33" s="214">
        <v>1149</v>
      </c>
      <c r="Z33" s="214">
        <f t="shared" si="5"/>
        <v>2328</v>
      </c>
      <c r="AA33" s="312">
        <f t="shared" si="6"/>
        <v>6.5678363670482272</v>
      </c>
      <c r="AB33" s="312">
        <f t="shared" si="6"/>
        <v>6.5121217483631222</v>
      </c>
      <c r="AC33" s="312">
        <f t="shared" si="6"/>
        <v>6.5391621129326047</v>
      </c>
      <c r="AD33" s="312">
        <f t="shared" si="7"/>
        <v>22.124225933571026</v>
      </c>
      <c r="AE33" s="312">
        <f t="shared" si="7"/>
        <v>20.332684480622898</v>
      </c>
      <c r="AF33" s="312">
        <f t="shared" si="7"/>
        <v>21.202185792349727</v>
      </c>
    </row>
    <row r="34" spans="1:32">
      <c r="A34" s="166">
        <v>25</v>
      </c>
      <c r="B34" s="27" t="s">
        <v>160</v>
      </c>
      <c r="C34" s="170">
        <v>10211</v>
      </c>
      <c r="D34" s="170">
        <v>10134</v>
      </c>
      <c r="E34" s="170">
        <v>20345</v>
      </c>
      <c r="F34" s="170">
        <v>6503</v>
      </c>
      <c r="G34" s="170">
        <v>5960</v>
      </c>
      <c r="H34" s="170">
        <v>12463</v>
      </c>
      <c r="I34" s="176">
        <v>0</v>
      </c>
      <c r="J34" s="176">
        <v>0</v>
      </c>
      <c r="K34" s="176">
        <v>0</v>
      </c>
      <c r="L34" s="169">
        <v>6503</v>
      </c>
      <c r="M34" s="169">
        <v>5960</v>
      </c>
      <c r="N34" s="170">
        <v>12463</v>
      </c>
      <c r="O34" s="314">
        <v>63.686220742336694</v>
      </c>
      <c r="P34" s="314">
        <v>58.811920268403398</v>
      </c>
      <c r="Q34" s="314">
        <v>61.258294421233714</v>
      </c>
      <c r="R34" s="214">
        <f t="shared" si="8"/>
        <v>6503</v>
      </c>
      <c r="S34" s="214">
        <f t="shared" si="8"/>
        <v>5960</v>
      </c>
      <c r="T34" s="214">
        <f t="shared" si="8"/>
        <v>12463</v>
      </c>
      <c r="U34" s="250">
        <v>295</v>
      </c>
      <c r="V34" s="250">
        <v>284</v>
      </c>
      <c r="W34" s="214">
        <f t="shared" si="4"/>
        <v>579</v>
      </c>
      <c r="X34" s="214">
        <v>1027</v>
      </c>
      <c r="Y34" s="214">
        <v>1044</v>
      </c>
      <c r="Z34" s="214">
        <f t="shared" si="5"/>
        <v>2071</v>
      </c>
      <c r="AA34" s="312">
        <f t="shared" si="6"/>
        <v>4.5363678302322006</v>
      </c>
      <c r="AB34" s="312">
        <f t="shared" si="6"/>
        <v>4.7651006711409396</v>
      </c>
      <c r="AC34" s="312">
        <f t="shared" si="6"/>
        <v>4.6457514242156783</v>
      </c>
      <c r="AD34" s="312">
        <f t="shared" si="7"/>
        <v>15.792711056435492</v>
      </c>
      <c r="AE34" s="312">
        <f t="shared" si="7"/>
        <v>17.516778523489933</v>
      </c>
      <c r="AF34" s="312">
        <f t="shared" si="7"/>
        <v>16.617186873144508</v>
      </c>
    </row>
    <row r="35" spans="1:32">
      <c r="A35" s="166">
        <v>26</v>
      </c>
      <c r="B35" s="27" t="s">
        <v>300</v>
      </c>
      <c r="C35" s="170">
        <v>223392</v>
      </c>
      <c r="D35" s="170">
        <v>229183</v>
      </c>
      <c r="E35" s="170">
        <v>452575</v>
      </c>
      <c r="F35" s="170">
        <v>158097</v>
      </c>
      <c r="G35" s="170">
        <v>154661</v>
      </c>
      <c r="H35" s="170">
        <v>312758</v>
      </c>
      <c r="I35" s="176">
        <v>0</v>
      </c>
      <c r="J35" s="176">
        <v>0</v>
      </c>
      <c r="K35" s="176">
        <v>0</v>
      </c>
      <c r="L35" s="169">
        <v>158097</v>
      </c>
      <c r="M35" s="169">
        <v>154661</v>
      </c>
      <c r="N35" s="170">
        <v>312758</v>
      </c>
      <c r="O35" s="314">
        <v>70.771110872367856</v>
      </c>
      <c r="P35" s="314">
        <v>67.483626621520798</v>
      </c>
      <c r="Q35" s="314">
        <v>69.106335966414406</v>
      </c>
      <c r="R35" s="214">
        <f t="shared" si="8"/>
        <v>158097</v>
      </c>
      <c r="S35" s="214">
        <f t="shared" si="8"/>
        <v>154661</v>
      </c>
      <c r="T35" s="214">
        <f t="shared" si="8"/>
        <v>312758</v>
      </c>
      <c r="U35" s="176"/>
      <c r="V35" s="176"/>
      <c r="W35" s="176">
        <f t="shared" si="4"/>
        <v>0</v>
      </c>
      <c r="X35" s="176"/>
      <c r="Y35" s="176"/>
      <c r="Z35" s="176">
        <f t="shared" si="5"/>
        <v>0</v>
      </c>
      <c r="AA35" s="215">
        <f t="shared" si="6"/>
        <v>0</v>
      </c>
      <c r="AB35" s="215">
        <f t="shared" si="6"/>
        <v>0</v>
      </c>
      <c r="AC35" s="215">
        <f t="shared" si="6"/>
        <v>0</v>
      </c>
      <c r="AD35" s="215">
        <f t="shared" si="7"/>
        <v>0</v>
      </c>
      <c r="AE35" s="215">
        <f t="shared" si="7"/>
        <v>0</v>
      </c>
      <c r="AF35" s="215">
        <f t="shared" si="7"/>
        <v>0</v>
      </c>
    </row>
    <row r="36" spans="1:32">
      <c r="A36" s="166">
        <v>27</v>
      </c>
      <c r="B36" s="27" t="s">
        <v>162</v>
      </c>
      <c r="C36" s="170">
        <v>214803</v>
      </c>
      <c r="D36" s="170">
        <v>171342</v>
      </c>
      <c r="E36" s="170">
        <v>386145</v>
      </c>
      <c r="F36" s="170">
        <v>151361</v>
      </c>
      <c r="G36" s="170">
        <v>133849</v>
      </c>
      <c r="H36" s="170">
        <v>285210</v>
      </c>
      <c r="I36" s="170">
        <v>16707</v>
      </c>
      <c r="J36" s="170">
        <v>10456</v>
      </c>
      <c r="K36" s="170">
        <v>27163</v>
      </c>
      <c r="L36" s="169">
        <v>168068</v>
      </c>
      <c r="M36" s="169">
        <v>144305</v>
      </c>
      <c r="N36" s="170">
        <v>312373</v>
      </c>
      <c r="O36" s="314">
        <v>78.242855081167392</v>
      </c>
      <c r="P36" s="314">
        <v>84.220447992903075</v>
      </c>
      <c r="Q36" s="314">
        <v>80.895259552758674</v>
      </c>
      <c r="R36" s="214">
        <f t="shared" si="8"/>
        <v>168068</v>
      </c>
      <c r="S36" s="214">
        <f t="shared" si="8"/>
        <v>144305</v>
      </c>
      <c r="T36" s="214">
        <f t="shared" si="8"/>
        <v>312373</v>
      </c>
      <c r="U36" s="250">
        <v>15851</v>
      </c>
      <c r="V36" s="250">
        <v>30375</v>
      </c>
      <c r="W36" s="214">
        <f t="shared" si="4"/>
        <v>46226</v>
      </c>
      <c r="X36" s="214">
        <v>66284</v>
      </c>
      <c r="Y36" s="214">
        <v>64331</v>
      </c>
      <c r="Z36" s="214">
        <f t="shared" si="5"/>
        <v>130615</v>
      </c>
      <c r="AA36" s="312">
        <f t="shared" si="6"/>
        <v>9.4313016160125667</v>
      </c>
      <c r="AB36" s="312">
        <f t="shared" si="6"/>
        <v>21.049166695540695</v>
      </c>
      <c r="AC36" s="312">
        <f t="shared" si="6"/>
        <v>14.798334042955057</v>
      </c>
      <c r="AD36" s="312">
        <f t="shared" si="7"/>
        <v>39.438798581526527</v>
      </c>
      <c r="AE36" s="312">
        <f t="shared" si="7"/>
        <v>44.579882886940858</v>
      </c>
      <c r="AF36" s="312">
        <f t="shared" si="7"/>
        <v>41.81379312552621</v>
      </c>
    </row>
    <row r="37" spans="1:32" ht="28.5">
      <c r="A37" s="166">
        <v>28</v>
      </c>
      <c r="B37" s="27" t="s">
        <v>212</v>
      </c>
      <c r="C37" s="170">
        <v>605575</v>
      </c>
      <c r="D37" s="170">
        <v>397448</v>
      </c>
      <c r="E37" s="170">
        <v>1003023</v>
      </c>
      <c r="F37" s="170">
        <v>374545</v>
      </c>
      <c r="G37" s="170">
        <v>246802</v>
      </c>
      <c r="H37" s="170">
        <v>621347</v>
      </c>
      <c r="I37" s="170">
        <v>12691</v>
      </c>
      <c r="J37" s="170">
        <v>10765</v>
      </c>
      <c r="K37" s="170">
        <v>23456</v>
      </c>
      <c r="L37" s="169">
        <v>387236</v>
      </c>
      <c r="M37" s="169">
        <v>257567</v>
      </c>
      <c r="N37" s="170">
        <v>644803</v>
      </c>
      <c r="O37" s="314">
        <v>63.945176072327961</v>
      </c>
      <c r="P37" s="314">
        <v>64.805207222076859</v>
      </c>
      <c r="Q37" s="314">
        <v>64.285963532242036</v>
      </c>
      <c r="R37" s="214">
        <f t="shared" si="8"/>
        <v>387236</v>
      </c>
      <c r="S37" s="214">
        <f t="shared" si="8"/>
        <v>257567</v>
      </c>
      <c r="T37" s="214">
        <f t="shared" si="8"/>
        <v>644803</v>
      </c>
      <c r="U37" s="250">
        <v>12372</v>
      </c>
      <c r="V37" s="250">
        <v>7646</v>
      </c>
      <c r="W37" s="214">
        <f t="shared" si="4"/>
        <v>20018</v>
      </c>
      <c r="X37" s="214">
        <v>60559</v>
      </c>
      <c r="Y37" s="214">
        <v>39806</v>
      </c>
      <c r="Z37" s="214">
        <f t="shared" si="5"/>
        <v>100365</v>
      </c>
      <c r="AA37" s="312">
        <f t="shared" si="6"/>
        <v>3.1949508826658679</v>
      </c>
      <c r="AB37" s="312">
        <f t="shared" si="6"/>
        <v>2.9685479894551707</v>
      </c>
      <c r="AC37" s="312">
        <f t="shared" si="6"/>
        <v>3.1045140919009375</v>
      </c>
      <c r="AD37" s="312">
        <f t="shared" si="7"/>
        <v>15.638783584170893</v>
      </c>
      <c r="AE37" s="312">
        <f t="shared" si="7"/>
        <v>15.454619574712599</v>
      </c>
      <c r="AF37" s="312">
        <f t="shared" si="7"/>
        <v>15.565219144451872</v>
      </c>
    </row>
    <row r="38" spans="1:32" ht="28.5">
      <c r="A38" s="166">
        <v>29</v>
      </c>
      <c r="B38" s="27" t="s">
        <v>274</v>
      </c>
      <c r="C38" s="170">
        <v>577824</v>
      </c>
      <c r="D38" s="170">
        <v>545338</v>
      </c>
      <c r="E38" s="170">
        <v>1123162</v>
      </c>
      <c r="F38" s="170">
        <v>455567</v>
      </c>
      <c r="G38" s="170">
        <v>475094</v>
      </c>
      <c r="H38" s="170">
        <v>930661</v>
      </c>
      <c r="I38" s="170">
        <v>15070</v>
      </c>
      <c r="J38" s="170">
        <v>11488</v>
      </c>
      <c r="K38" s="170">
        <v>26558</v>
      </c>
      <c r="L38" s="169">
        <v>470637</v>
      </c>
      <c r="M38" s="169">
        <v>486582</v>
      </c>
      <c r="N38" s="170">
        <v>957219</v>
      </c>
      <c r="O38" s="314">
        <v>81.449887855125439</v>
      </c>
      <c r="P38" s="314">
        <v>89.225764571696814</v>
      </c>
      <c r="Q38" s="314">
        <v>85.225372653277091</v>
      </c>
      <c r="R38" s="214">
        <v>470637</v>
      </c>
      <c r="S38" s="214">
        <v>486582</v>
      </c>
      <c r="T38" s="214">
        <v>957219</v>
      </c>
      <c r="U38" s="176"/>
      <c r="V38" s="176"/>
      <c r="W38" s="176">
        <v>0</v>
      </c>
      <c r="X38" s="176"/>
      <c r="Y38" s="176"/>
      <c r="Z38" s="176">
        <v>0</v>
      </c>
      <c r="AA38" s="215">
        <v>0</v>
      </c>
      <c r="AB38" s="215">
        <v>0</v>
      </c>
      <c r="AC38" s="215">
        <v>0</v>
      </c>
      <c r="AD38" s="215">
        <v>0</v>
      </c>
      <c r="AE38" s="215">
        <v>0</v>
      </c>
      <c r="AF38" s="215">
        <v>0</v>
      </c>
    </row>
    <row r="39" spans="1:32">
      <c r="A39" s="166">
        <v>30</v>
      </c>
      <c r="B39" s="27" t="s">
        <v>301</v>
      </c>
      <c r="C39" s="170">
        <v>24129</v>
      </c>
      <c r="D39" s="170">
        <v>21659</v>
      </c>
      <c r="E39" s="170">
        <v>45788</v>
      </c>
      <c r="F39" s="170">
        <v>13775</v>
      </c>
      <c r="G39" s="170">
        <v>11337</v>
      </c>
      <c r="H39" s="170">
        <v>25112</v>
      </c>
      <c r="I39" s="176">
        <v>0</v>
      </c>
      <c r="J39" s="176">
        <v>0</v>
      </c>
      <c r="K39" s="176">
        <v>0</v>
      </c>
      <c r="L39" s="169">
        <v>13775</v>
      </c>
      <c r="M39" s="169">
        <v>11337</v>
      </c>
      <c r="N39" s="170">
        <v>25112</v>
      </c>
      <c r="O39" s="314">
        <v>57.08898006548138</v>
      </c>
      <c r="P39" s="314">
        <v>52.343136802253113</v>
      </c>
      <c r="Q39" s="314">
        <v>54.844063946885647</v>
      </c>
      <c r="R39" s="214">
        <f t="shared" si="8"/>
        <v>13775</v>
      </c>
      <c r="S39" s="214">
        <f t="shared" si="8"/>
        <v>11337</v>
      </c>
      <c r="T39" s="214">
        <f t="shared" si="8"/>
        <v>25112</v>
      </c>
      <c r="U39" s="176"/>
      <c r="V39" s="176"/>
      <c r="W39" s="176">
        <f t="shared" si="4"/>
        <v>0</v>
      </c>
      <c r="X39" s="214">
        <v>1242</v>
      </c>
      <c r="Y39" s="214">
        <v>884</v>
      </c>
      <c r="Z39" s="214">
        <f t="shared" si="5"/>
        <v>2126</v>
      </c>
      <c r="AA39" s="215">
        <f t="shared" si="6"/>
        <v>0</v>
      </c>
      <c r="AB39" s="215">
        <f t="shared" si="6"/>
        <v>0</v>
      </c>
      <c r="AC39" s="215">
        <f t="shared" si="6"/>
        <v>0</v>
      </c>
      <c r="AD39" s="312">
        <f t="shared" si="7"/>
        <v>9.0163339382940109</v>
      </c>
      <c r="AE39" s="312">
        <f t="shared" si="7"/>
        <v>7.7974772867601656</v>
      </c>
      <c r="AF39" s="312">
        <f t="shared" si="7"/>
        <v>8.4660719974514169</v>
      </c>
    </row>
    <row r="40" spans="1:32" ht="28.5">
      <c r="A40" s="166">
        <v>31</v>
      </c>
      <c r="B40" s="27" t="s">
        <v>302</v>
      </c>
      <c r="C40" s="170">
        <v>1922649</v>
      </c>
      <c r="D40" s="170">
        <v>1382924</v>
      </c>
      <c r="E40" s="170">
        <v>3305573</v>
      </c>
      <c r="F40" s="170">
        <v>1267375</v>
      </c>
      <c r="G40" s="170">
        <v>1072602</v>
      </c>
      <c r="H40" s="170">
        <v>2339977</v>
      </c>
      <c r="I40" s="170">
        <v>31662</v>
      </c>
      <c r="J40" s="170">
        <v>14062</v>
      </c>
      <c r="K40" s="170">
        <v>45724</v>
      </c>
      <c r="L40" s="169">
        <v>1299037</v>
      </c>
      <c r="M40" s="169">
        <v>1086664</v>
      </c>
      <c r="N40" s="170">
        <v>2385701</v>
      </c>
      <c r="O40" s="314">
        <v>67.564958554577572</v>
      </c>
      <c r="P40" s="314">
        <v>78.577275396189521</v>
      </c>
      <c r="Q40" s="314">
        <v>72.172086352351016</v>
      </c>
      <c r="R40" s="214">
        <f t="shared" si="8"/>
        <v>1299037</v>
      </c>
      <c r="S40" s="214">
        <f t="shared" si="8"/>
        <v>1086664</v>
      </c>
      <c r="T40" s="214">
        <f t="shared" si="8"/>
        <v>2385701</v>
      </c>
      <c r="U40" s="176"/>
      <c r="V40" s="176"/>
      <c r="W40" s="176">
        <f t="shared" si="4"/>
        <v>0</v>
      </c>
      <c r="X40" s="176"/>
      <c r="Y40" s="176"/>
      <c r="Z40" s="176">
        <f t="shared" si="5"/>
        <v>0</v>
      </c>
      <c r="AA40" s="215">
        <f t="shared" si="6"/>
        <v>0</v>
      </c>
      <c r="AB40" s="215">
        <f t="shared" si="6"/>
        <v>0</v>
      </c>
      <c r="AC40" s="215">
        <f t="shared" si="6"/>
        <v>0</v>
      </c>
      <c r="AD40" s="215">
        <f t="shared" si="7"/>
        <v>0</v>
      </c>
      <c r="AE40" s="215">
        <f t="shared" si="7"/>
        <v>0</v>
      </c>
      <c r="AF40" s="215">
        <f t="shared" si="7"/>
        <v>0</v>
      </c>
    </row>
    <row r="41" spans="1:32">
      <c r="A41" s="166">
        <v>32</v>
      </c>
      <c r="B41" s="27" t="s">
        <v>276</v>
      </c>
      <c r="C41" s="170">
        <v>93853</v>
      </c>
      <c r="D41" s="170">
        <v>84885</v>
      </c>
      <c r="E41" s="170">
        <v>178738</v>
      </c>
      <c r="F41" s="170">
        <v>60980</v>
      </c>
      <c r="G41" s="170">
        <v>64604</v>
      </c>
      <c r="H41" s="170">
        <v>125584</v>
      </c>
      <c r="I41" s="176">
        <v>0</v>
      </c>
      <c r="J41" s="176">
        <v>0</v>
      </c>
      <c r="K41" s="176">
        <v>0</v>
      </c>
      <c r="L41" s="169">
        <v>60980</v>
      </c>
      <c r="M41" s="169">
        <v>64604</v>
      </c>
      <c r="N41" s="170">
        <v>125584</v>
      </c>
      <c r="O41" s="314">
        <v>64.973948621780877</v>
      </c>
      <c r="P41" s="314">
        <v>76.10767508982741</v>
      </c>
      <c r="Q41" s="314">
        <v>70.261500072732147</v>
      </c>
      <c r="R41" s="214">
        <f t="shared" si="8"/>
        <v>60980</v>
      </c>
      <c r="S41" s="214">
        <f t="shared" si="8"/>
        <v>64604</v>
      </c>
      <c r="T41" s="214">
        <f t="shared" si="8"/>
        <v>125584</v>
      </c>
      <c r="U41" s="250">
        <v>1713</v>
      </c>
      <c r="V41" s="250">
        <v>1270</v>
      </c>
      <c r="W41" s="214">
        <f t="shared" si="4"/>
        <v>2983</v>
      </c>
      <c r="X41" s="214">
        <v>12719</v>
      </c>
      <c r="Y41" s="214">
        <v>13259</v>
      </c>
      <c r="Z41" s="214">
        <f t="shared" si="5"/>
        <v>25978</v>
      </c>
      <c r="AA41" s="312">
        <f t="shared" si="6"/>
        <v>2.8091177435224668</v>
      </c>
      <c r="AB41" s="312">
        <f t="shared" si="6"/>
        <v>1.9658225496873261</v>
      </c>
      <c r="AC41" s="312">
        <f t="shared" si="6"/>
        <v>2.3753025863167285</v>
      </c>
      <c r="AD41" s="312">
        <f t="shared" si="7"/>
        <v>20.857658248606104</v>
      </c>
      <c r="AE41" s="312">
        <f t="shared" si="7"/>
        <v>20.523496997089964</v>
      </c>
      <c r="AF41" s="312">
        <f t="shared" si="7"/>
        <v>20.685756147279911</v>
      </c>
    </row>
    <row r="42" spans="1:32" ht="28.5">
      <c r="A42" s="166">
        <v>33</v>
      </c>
      <c r="B42" s="27" t="s">
        <v>172</v>
      </c>
      <c r="C42" s="170">
        <v>465514</v>
      </c>
      <c r="D42" s="170">
        <v>498783</v>
      </c>
      <c r="E42" s="170">
        <v>964297</v>
      </c>
      <c r="F42" s="170">
        <v>388509</v>
      </c>
      <c r="G42" s="170">
        <v>367027</v>
      </c>
      <c r="H42" s="170">
        <v>755536</v>
      </c>
      <c r="I42" s="170">
        <v>16245</v>
      </c>
      <c r="J42" s="170">
        <v>16324</v>
      </c>
      <c r="K42" s="170">
        <v>32569</v>
      </c>
      <c r="L42" s="169">
        <v>404754</v>
      </c>
      <c r="M42" s="169">
        <v>383351</v>
      </c>
      <c r="N42" s="170">
        <v>788105</v>
      </c>
      <c r="O42" s="314">
        <v>86.947760969594896</v>
      </c>
      <c r="P42" s="314">
        <v>76.857270596632205</v>
      </c>
      <c r="Q42" s="314">
        <v>81.728450881834121</v>
      </c>
      <c r="R42" s="214">
        <f t="shared" si="8"/>
        <v>404754</v>
      </c>
      <c r="S42" s="214">
        <f t="shared" si="8"/>
        <v>383351</v>
      </c>
      <c r="T42" s="214">
        <f t="shared" si="8"/>
        <v>788105</v>
      </c>
      <c r="U42" s="176"/>
      <c r="V42" s="176"/>
      <c r="W42" s="176">
        <f t="shared" si="4"/>
        <v>0</v>
      </c>
      <c r="X42" s="176"/>
      <c r="Y42" s="176"/>
      <c r="Z42" s="176">
        <f t="shared" si="5"/>
        <v>0</v>
      </c>
      <c r="AA42" s="215">
        <f t="shared" si="6"/>
        <v>0</v>
      </c>
      <c r="AB42" s="215">
        <f t="shared" si="6"/>
        <v>0</v>
      </c>
      <c r="AC42" s="215">
        <f t="shared" si="6"/>
        <v>0</v>
      </c>
      <c r="AD42" s="215">
        <f t="shared" si="7"/>
        <v>0</v>
      </c>
      <c r="AE42" s="215">
        <f t="shared" si="7"/>
        <v>0</v>
      </c>
      <c r="AF42" s="215">
        <f t="shared" si="7"/>
        <v>0</v>
      </c>
    </row>
    <row r="43" spans="1:32" ht="28.5">
      <c r="A43" s="267">
        <v>34</v>
      </c>
      <c r="B43" s="80" t="s">
        <v>277</v>
      </c>
      <c r="C43" s="189">
        <v>16951</v>
      </c>
      <c r="D43" s="189">
        <v>29307</v>
      </c>
      <c r="E43" s="189">
        <v>46258</v>
      </c>
      <c r="F43" s="189">
        <v>14145</v>
      </c>
      <c r="G43" s="189">
        <v>21204</v>
      </c>
      <c r="H43" s="189">
        <v>35349</v>
      </c>
      <c r="I43" s="191">
        <v>0</v>
      </c>
      <c r="J43" s="191">
        <v>0</v>
      </c>
      <c r="K43" s="191">
        <v>0</v>
      </c>
      <c r="L43" s="188">
        <v>14145</v>
      </c>
      <c r="M43" s="188">
        <v>21204</v>
      </c>
      <c r="N43" s="189">
        <v>35349</v>
      </c>
      <c r="O43" s="321">
        <v>83.446404341926723</v>
      </c>
      <c r="P43" s="321">
        <v>72.351315385402799</v>
      </c>
      <c r="Q43" s="321">
        <v>76.417052185567897</v>
      </c>
      <c r="R43" s="211">
        <f t="shared" si="8"/>
        <v>14145</v>
      </c>
      <c r="S43" s="211">
        <f t="shared" si="8"/>
        <v>21204</v>
      </c>
      <c r="T43" s="211">
        <f t="shared" si="8"/>
        <v>35349</v>
      </c>
      <c r="U43" s="322">
        <f>243+63</f>
        <v>306</v>
      </c>
      <c r="V43" s="322">
        <f>192+1</f>
        <v>193</v>
      </c>
      <c r="W43" s="211">
        <f t="shared" si="4"/>
        <v>499</v>
      </c>
      <c r="X43" s="211">
        <f>998+519</f>
        <v>1517</v>
      </c>
      <c r="Y43" s="211">
        <f>1025+99</f>
        <v>1124</v>
      </c>
      <c r="Z43" s="211">
        <f t="shared" si="5"/>
        <v>2641</v>
      </c>
      <c r="AA43" s="323">
        <f t="shared" si="6"/>
        <v>2.1633085896076354</v>
      </c>
      <c r="AB43" s="323">
        <f t="shared" si="6"/>
        <v>0.91020562158083385</v>
      </c>
      <c r="AC43" s="323">
        <f t="shared" si="6"/>
        <v>1.4116382358765454</v>
      </c>
      <c r="AD43" s="323">
        <f t="shared" si="7"/>
        <v>10.724637681159422</v>
      </c>
      <c r="AE43" s="323">
        <f t="shared" si="7"/>
        <v>5.300886625165063</v>
      </c>
      <c r="AF43" s="323">
        <f t="shared" si="7"/>
        <v>7.4712155930860842</v>
      </c>
    </row>
    <row r="44" spans="1:32">
      <c r="A44" s="483" t="s">
        <v>256</v>
      </c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</row>
    <row r="45" spans="1:32" ht="28.5">
      <c r="A45" s="166">
        <v>1</v>
      </c>
      <c r="B45" s="43" t="s">
        <v>249</v>
      </c>
      <c r="C45" s="169">
        <v>106399</v>
      </c>
      <c r="D45" s="169">
        <v>47725</v>
      </c>
      <c r="E45" s="170">
        <v>154124</v>
      </c>
      <c r="F45" s="169">
        <v>96988</v>
      </c>
      <c r="G45" s="169">
        <v>42660</v>
      </c>
      <c r="H45" s="170">
        <v>139648</v>
      </c>
      <c r="I45" s="169"/>
      <c r="J45" s="169"/>
      <c r="K45" s="170"/>
      <c r="L45" s="169">
        <v>96988</v>
      </c>
      <c r="M45" s="169">
        <v>42660</v>
      </c>
      <c r="N45" s="170">
        <v>139648</v>
      </c>
      <c r="O45" s="169">
        <f>+L45/C45%</f>
        <v>91.154992058196029</v>
      </c>
      <c r="P45" s="169">
        <f t="shared" ref="P45:Q45" si="9">+M45/D45%</f>
        <v>89.387113672079622</v>
      </c>
      <c r="Q45" s="169">
        <f t="shared" si="9"/>
        <v>90.607562741688511</v>
      </c>
      <c r="R45" s="214">
        <v>96988</v>
      </c>
      <c r="S45" s="214">
        <v>42660</v>
      </c>
      <c r="T45" s="214">
        <v>139648</v>
      </c>
      <c r="U45" s="214">
        <v>774</v>
      </c>
      <c r="V45" s="214">
        <v>502</v>
      </c>
      <c r="W45" s="214">
        <v>1276</v>
      </c>
      <c r="X45" s="214">
        <v>15195</v>
      </c>
      <c r="Y45" s="214">
        <v>6609</v>
      </c>
      <c r="Z45" s="214">
        <v>21804</v>
      </c>
      <c r="AA45" s="312">
        <v>0.79803687054068539</v>
      </c>
      <c r="AB45" s="312">
        <v>1.1767463666197844</v>
      </c>
      <c r="AC45" s="312">
        <v>0.91372593950504122</v>
      </c>
      <c r="AD45" s="312">
        <v>15.666886625149504</v>
      </c>
      <c r="AE45" s="312">
        <v>15.492264416315049</v>
      </c>
      <c r="AF45" s="312">
        <v>15.613542621448213</v>
      </c>
    </row>
    <row r="46" spans="1:32">
      <c r="A46" s="166">
        <v>2</v>
      </c>
      <c r="B46" s="328" t="s">
        <v>250</v>
      </c>
      <c r="C46" s="206">
        <v>77812</v>
      </c>
      <c r="D46" s="206">
        <v>34996</v>
      </c>
      <c r="E46" s="170">
        <v>112808</v>
      </c>
      <c r="F46" s="206">
        <v>56130</v>
      </c>
      <c r="G46" s="206">
        <v>26954</v>
      </c>
      <c r="H46" s="170">
        <v>83084</v>
      </c>
      <c r="I46" s="329"/>
      <c r="J46" s="329"/>
      <c r="K46" s="170"/>
      <c r="L46" s="206">
        <v>56130</v>
      </c>
      <c r="M46" s="206">
        <v>26954</v>
      </c>
      <c r="N46" s="170">
        <v>83084</v>
      </c>
      <c r="O46" s="169">
        <f t="shared" ref="O46:Q51" si="10">+L46/C46%</f>
        <v>72.135403279699787</v>
      </c>
      <c r="P46" s="169">
        <f t="shared" ref="P46:P50" si="11">+M46/D46%</f>
        <v>77.02023088352955</v>
      </c>
      <c r="Q46" s="169">
        <f t="shared" ref="Q46:Q50" si="12">+N46/E46%</f>
        <v>73.650804907453377</v>
      </c>
      <c r="R46" s="214">
        <v>56130</v>
      </c>
      <c r="S46" s="214">
        <v>26954</v>
      </c>
      <c r="T46" s="214">
        <v>83084</v>
      </c>
      <c r="U46" s="214">
        <v>357</v>
      </c>
      <c r="V46" s="214">
        <v>285</v>
      </c>
      <c r="W46" s="214">
        <v>642</v>
      </c>
      <c r="X46" s="214">
        <v>9764</v>
      </c>
      <c r="Y46" s="214">
        <v>6147</v>
      </c>
      <c r="Z46" s="214">
        <v>15911</v>
      </c>
      <c r="AA46" s="312">
        <v>0.63602351683591662</v>
      </c>
      <c r="AB46" s="312">
        <v>1.0573569785560584</v>
      </c>
      <c r="AC46" s="312">
        <v>0.77271195416686722</v>
      </c>
      <c r="AD46" s="312">
        <v>17.395332264386248</v>
      </c>
      <c r="AE46" s="312">
        <v>22.805520516435408</v>
      </c>
      <c r="AF46" s="312">
        <v>19.150498290886333</v>
      </c>
    </row>
    <row r="47" spans="1:32">
      <c r="A47" s="166">
        <v>3</v>
      </c>
      <c r="B47" s="45" t="s">
        <v>251</v>
      </c>
      <c r="C47" s="169">
        <v>36253</v>
      </c>
      <c r="D47" s="169">
        <v>29053</v>
      </c>
      <c r="E47" s="170">
        <v>65306</v>
      </c>
      <c r="F47" s="169">
        <v>24996</v>
      </c>
      <c r="G47" s="169">
        <v>21553</v>
      </c>
      <c r="H47" s="170">
        <v>46549</v>
      </c>
      <c r="I47" s="169"/>
      <c r="J47" s="169"/>
      <c r="K47" s="170"/>
      <c r="L47" s="169">
        <v>24996</v>
      </c>
      <c r="M47" s="169">
        <v>21553</v>
      </c>
      <c r="N47" s="170">
        <v>46549</v>
      </c>
      <c r="O47" s="169">
        <f t="shared" si="10"/>
        <v>68.948776652966657</v>
      </c>
      <c r="P47" s="169">
        <f t="shared" si="11"/>
        <v>74.18510997143153</v>
      </c>
      <c r="Q47" s="169">
        <f t="shared" si="12"/>
        <v>71.278289896793567</v>
      </c>
      <c r="R47" s="214">
        <v>24996</v>
      </c>
      <c r="S47" s="214">
        <v>21553</v>
      </c>
      <c r="T47" s="214">
        <v>46549</v>
      </c>
      <c r="U47" s="214">
        <v>6</v>
      </c>
      <c r="V47" s="214">
        <v>9</v>
      </c>
      <c r="W47" s="214">
        <v>15</v>
      </c>
      <c r="X47" s="214">
        <v>657</v>
      </c>
      <c r="Y47" s="214">
        <v>608</v>
      </c>
      <c r="Z47" s="214">
        <v>1265</v>
      </c>
      <c r="AA47" s="312">
        <v>2.4003840614498319E-2</v>
      </c>
      <c r="AB47" s="312">
        <v>4.1757527954345106E-2</v>
      </c>
      <c r="AC47" s="312">
        <v>3.2224107929278822E-2</v>
      </c>
      <c r="AD47" s="312">
        <v>2.6284205472875661</v>
      </c>
      <c r="AE47" s="312">
        <v>2.8209529995824245</v>
      </c>
      <c r="AF47" s="312">
        <v>2.7175664353691809</v>
      </c>
    </row>
    <row r="48" spans="1:32" ht="28.5">
      <c r="A48" s="166">
        <v>4</v>
      </c>
      <c r="B48" s="45" t="s">
        <v>252</v>
      </c>
      <c r="C48" s="169">
        <v>86665</v>
      </c>
      <c r="D48" s="169">
        <v>48777</v>
      </c>
      <c r="E48" s="170">
        <v>135442</v>
      </c>
      <c r="F48" s="169">
        <v>22664</v>
      </c>
      <c r="G48" s="169">
        <v>16435</v>
      </c>
      <c r="H48" s="170">
        <v>39099</v>
      </c>
      <c r="I48" s="169"/>
      <c r="J48" s="169"/>
      <c r="K48" s="170"/>
      <c r="L48" s="169">
        <v>22664</v>
      </c>
      <c r="M48" s="169">
        <v>16435</v>
      </c>
      <c r="N48" s="170">
        <v>39099</v>
      </c>
      <c r="O48" s="169">
        <f t="shared" si="10"/>
        <v>26.151272139848842</v>
      </c>
      <c r="P48" s="169">
        <f t="shared" si="11"/>
        <v>33.694159132377969</v>
      </c>
      <c r="Q48" s="169">
        <f t="shared" si="12"/>
        <v>28.86770721046647</v>
      </c>
      <c r="R48" s="214">
        <v>22664</v>
      </c>
      <c r="S48" s="214">
        <v>16435</v>
      </c>
      <c r="T48" s="214">
        <v>39099</v>
      </c>
      <c r="U48" s="214">
        <v>44</v>
      </c>
      <c r="V48" s="214">
        <v>12</v>
      </c>
      <c r="W48" s="214">
        <v>56</v>
      </c>
      <c r="X48" s="214">
        <v>547</v>
      </c>
      <c r="Y48" s="214">
        <v>385</v>
      </c>
      <c r="Z48" s="214">
        <v>932</v>
      </c>
      <c r="AA48" s="312">
        <v>0.19414048711613133</v>
      </c>
      <c r="AB48" s="312">
        <v>7.3014907210222094E-2</v>
      </c>
      <c r="AC48" s="312">
        <v>0.14322616946724981</v>
      </c>
      <c r="AD48" s="312">
        <v>2.41351923755736</v>
      </c>
      <c r="AE48" s="312">
        <v>2.3425616063279588</v>
      </c>
      <c r="AF48" s="312">
        <v>2.3836926775620859</v>
      </c>
    </row>
    <row r="49" spans="1:32" ht="28.5">
      <c r="A49" s="166">
        <v>5</v>
      </c>
      <c r="B49" s="43" t="s">
        <v>253</v>
      </c>
      <c r="C49" s="169">
        <v>18786</v>
      </c>
      <c r="D49" s="169">
        <v>16960</v>
      </c>
      <c r="E49" s="170">
        <v>35746</v>
      </c>
      <c r="F49" s="169">
        <v>9071</v>
      </c>
      <c r="G49" s="169">
        <v>10801</v>
      </c>
      <c r="H49" s="170">
        <v>19872</v>
      </c>
      <c r="I49" s="179"/>
      <c r="J49" s="179"/>
      <c r="K49" s="176"/>
      <c r="L49" s="169">
        <v>9071</v>
      </c>
      <c r="M49" s="169">
        <v>10801</v>
      </c>
      <c r="N49" s="170">
        <v>19872</v>
      </c>
      <c r="O49" s="169">
        <f t="shared" si="10"/>
        <v>48.28595762802086</v>
      </c>
      <c r="P49" s="169">
        <f t="shared" si="11"/>
        <v>63.685141509433961</v>
      </c>
      <c r="Q49" s="169">
        <f t="shared" si="12"/>
        <v>55.592234096122645</v>
      </c>
      <c r="R49" s="214">
        <v>9071</v>
      </c>
      <c r="S49" s="214">
        <v>10801</v>
      </c>
      <c r="T49" s="214">
        <v>19872</v>
      </c>
      <c r="U49" s="176"/>
      <c r="V49" s="176"/>
      <c r="W49" s="176">
        <v>0</v>
      </c>
      <c r="X49" s="176"/>
      <c r="Y49" s="176"/>
      <c r="Z49" s="176">
        <v>0</v>
      </c>
      <c r="AA49" s="215">
        <v>0</v>
      </c>
      <c r="AB49" s="215">
        <v>0</v>
      </c>
      <c r="AC49" s="215">
        <v>0</v>
      </c>
      <c r="AD49" s="215">
        <v>0</v>
      </c>
      <c r="AE49" s="215">
        <v>0</v>
      </c>
      <c r="AF49" s="215">
        <v>0</v>
      </c>
    </row>
    <row r="50" spans="1:32" ht="28.5">
      <c r="A50" s="267">
        <v>6</v>
      </c>
      <c r="B50" s="44" t="s">
        <v>296</v>
      </c>
      <c r="C50" s="188">
        <v>21313</v>
      </c>
      <c r="D50" s="188">
        <v>23380</v>
      </c>
      <c r="E50" s="170">
        <v>44693</v>
      </c>
      <c r="F50" s="188">
        <v>7905</v>
      </c>
      <c r="G50" s="188">
        <v>9636</v>
      </c>
      <c r="H50" s="170">
        <v>17541</v>
      </c>
      <c r="I50" s="188"/>
      <c r="J50" s="188"/>
      <c r="K50" s="170"/>
      <c r="L50" s="188">
        <v>7905</v>
      </c>
      <c r="M50" s="188">
        <v>9636</v>
      </c>
      <c r="N50" s="170">
        <v>17541</v>
      </c>
      <c r="O50" s="169">
        <f t="shared" si="10"/>
        <v>37.090038943367901</v>
      </c>
      <c r="P50" s="169">
        <f t="shared" si="11"/>
        <v>41.214713430282288</v>
      </c>
      <c r="Q50" s="169">
        <f t="shared" si="12"/>
        <v>39.247756919428099</v>
      </c>
      <c r="R50" s="211">
        <v>7905</v>
      </c>
      <c r="S50" s="211">
        <v>9636</v>
      </c>
      <c r="T50" s="211">
        <v>17541</v>
      </c>
      <c r="U50" s="191"/>
      <c r="V50" s="191"/>
      <c r="W50" s="191">
        <v>0</v>
      </c>
      <c r="X50" s="211">
        <v>616</v>
      </c>
      <c r="Y50" s="211">
        <v>827</v>
      </c>
      <c r="Z50" s="211">
        <v>1443</v>
      </c>
      <c r="AA50" s="192">
        <v>0</v>
      </c>
      <c r="AB50" s="192">
        <v>0</v>
      </c>
      <c r="AC50" s="192">
        <v>0</v>
      </c>
      <c r="AD50" s="323">
        <v>7.7925363693864647</v>
      </c>
      <c r="AE50" s="323">
        <v>8.5823993358239932</v>
      </c>
      <c r="AF50" s="323">
        <v>8.2264409098683089</v>
      </c>
    </row>
    <row r="51" spans="1:32">
      <c r="A51" s="482" t="s">
        <v>3</v>
      </c>
      <c r="B51" s="482"/>
      <c r="C51" s="217">
        <f>SUM(C8:C50)</f>
        <v>10287144</v>
      </c>
      <c r="D51" s="217">
        <f t="shared" ref="D51:N51" si="13">SUM(D8:D50)</f>
        <v>8287633</v>
      </c>
      <c r="E51" s="217">
        <f t="shared" si="13"/>
        <v>18574777</v>
      </c>
      <c r="F51" s="217">
        <f t="shared" si="13"/>
        <v>7319342</v>
      </c>
      <c r="G51" s="217">
        <f t="shared" si="13"/>
        <v>6221009</v>
      </c>
      <c r="H51" s="217">
        <f t="shared" si="13"/>
        <v>13540351</v>
      </c>
      <c r="I51" s="217">
        <f t="shared" si="13"/>
        <v>329188</v>
      </c>
      <c r="J51" s="217">
        <f t="shared" si="13"/>
        <v>241581</v>
      </c>
      <c r="K51" s="217">
        <f t="shared" si="13"/>
        <v>570769</v>
      </c>
      <c r="L51" s="217">
        <f t="shared" si="13"/>
        <v>7648530</v>
      </c>
      <c r="M51" s="217">
        <f t="shared" si="13"/>
        <v>6462590</v>
      </c>
      <c r="N51" s="217">
        <f t="shared" si="13"/>
        <v>14111120</v>
      </c>
      <c r="O51" s="218">
        <f t="shared" si="10"/>
        <v>74.350373631398568</v>
      </c>
      <c r="P51" s="218">
        <f t="shared" si="10"/>
        <v>77.978718410914183</v>
      </c>
      <c r="Q51" s="218">
        <f t="shared" si="10"/>
        <v>75.96925658919082</v>
      </c>
      <c r="R51" s="217">
        <f t="shared" ref="R51:Z51" si="14">SUM(R8:R50)</f>
        <v>7648530</v>
      </c>
      <c r="S51" s="217">
        <f t="shared" si="14"/>
        <v>6462590</v>
      </c>
      <c r="T51" s="217">
        <f t="shared" si="14"/>
        <v>14111120</v>
      </c>
      <c r="U51" s="217">
        <f t="shared" si="14"/>
        <v>557964</v>
      </c>
      <c r="V51" s="217">
        <f t="shared" si="14"/>
        <v>565418</v>
      </c>
      <c r="W51" s="217">
        <f t="shared" si="14"/>
        <v>1123382</v>
      </c>
      <c r="X51" s="217">
        <f t="shared" si="14"/>
        <v>1191238</v>
      </c>
      <c r="Y51" s="217">
        <f t="shared" si="14"/>
        <v>1025991</v>
      </c>
      <c r="Z51" s="217">
        <f t="shared" si="14"/>
        <v>2217229</v>
      </c>
      <c r="AA51" s="219">
        <f>+U51/R51%</f>
        <v>7.2950488525246024</v>
      </c>
      <c r="AB51" s="219">
        <f t="shared" ref="AB51:AC51" si="15">+V51/S51%</f>
        <v>8.7490928559602263</v>
      </c>
      <c r="AC51" s="219">
        <f t="shared" si="15"/>
        <v>7.9609697883654871</v>
      </c>
      <c r="AD51" s="219">
        <f>+X51/R51%</f>
        <v>15.574731353606509</v>
      </c>
      <c r="AE51" s="219">
        <f t="shared" ref="AE51:AF51" si="16">+Y51/S51%</f>
        <v>15.87584853750586</v>
      </c>
      <c r="AF51" s="219">
        <f t="shared" si="16"/>
        <v>15.712636558969095</v>
      </c>
    </row>
    <row r="52" spans="1:32">
      <c r="A52" s="324"/>
      <c r="B52" s="325"/>
      <c r="C52" s="479" t="s">
        <v>278</v>
      </c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 t="s">
        <v>278</v>
      </c>
      <c r="S52" s="479"/>
      <c r="T52" s="479"/>
      <c r="U52" s="479"/>
      <c r="V52" s="479"/>
      <c r="W52" s="479"/>
      <c r="X52" s="479"/>
      <c r="Y52" s="479"/>
      <c r="Z52" s="479"/>
      <c r="AA52" s="479"/>
      <c r="AB52" s="479"/>
      <c r="AC52" s="479"/>
      <c r="AD52" s="479"/>
      <c r="AE52" s="479"/>
      <c r="AF52" s="479"/>
    </row>
    <row r="53" spans="1:32">
      <c r="A53" s="326"/>
      <c r="B53" s="327"/>
      <c r="C53" s="479" t="s">
        <v>248</v>
      </c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79"/>
      <c r="O53" s="479"/>
      <c r="P53" s="479"/>
      <c r="Q53" s="479"/>
      <c r="R53" s="479" t="s">
        <v>248</v>
      </c>
      <c r="S53" s="479"/>
      <c r="T53" s="479"/>
      <c r="U53" s="479"/>
      <c r="V53" s="479"/>
      <c r="W53" s="479"/>
      <c r="X53" s="479"/>
      <c r="Y53" s="479"/>
      <c r="Z53" s="479"/>
      <c r="AA53" s="479"/>
      <c r="AB53" s="479"/>
      <c r="AC53" s="479"/>
      <c r="AD53" s="479"/>
      <c r="AE53" s="479"/>
      <c r="AF53" s="479"/>
    </row>
    <row r="54" spans="1:32">
      <c r="A54" s="204"/>
      <c r="B54" s="144"/>
      <c r="C54" s="479" t="s">
        <v>228</v>
      </c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 t="s">
        <v>228</v>
      </c>
      <c r="S54" s="479"/>
      <c r="T54" s="479"/>
      <c r="U54" s="479"/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79"/>
    </row>
    <row r="55" spans="1:32">
      <c r="A55" s="204"/>
      <c r="B55" s="144"/>
      <c r="C55" s="518" t="s">
        <v>303</v>
      </c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 t="s">
        <v>303</v>
      </c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</row>
    <row r="56" spans="1:32">
      <c r="A56" s="204"/>
      <c r="B56" s="144"/>
      <c r="C56" s="345" t="s">
        <v>313</v>
      </c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345" t="s">
        <v>313</v>
      </c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</row>
    <row r="57" spans="1:32">
      <c r="A57" s="204"/>
      <c r="B57" s="144"/>
      <c r="C57" s="368" t="s">
        <v>332</v>
      </c>
      <c r="D57" s="368"/>
      <c r="E57" s="368"/>
      <c r="F57" s="369" t="s">
        <v>333</v>
      </c>
      <c r="G57" s="368"/>
      <c r="H57" s="368"/>
      <c r="I57" s="368"/>
      <c r="J57" s="144"/>
      <c r="R57" s="368" t="s">
        <v>332</v>
      </c>
      <c r="S57" s="368"/>
      <c r="T57" s="368"/>
      <c r="U57" s="369" t="s">
        <v>333</v>
      </c>
      <c r="V57" s="368"/>
      <c r="W57" s="368"/>
      <c r="X57" s="368"/>
    </row>
    <row r="58" spans="1:32">
      <c r="A58" s="204"/>
      <c r="B58" s="144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32">
      <c r="A59" s="204"/>
      <c r="B59" s="144"/>
      <c r="C59" s="144"/>
      <c r="D59" s="144"/>
      <c r="E59" s="144"/>
      <c r="F59" s="144"/>
      <c r="G59" s="144"/>
      <c r="H59" s="144"/>
      <c r="I59" s="144"/>
      <c r="J59" s="144"/>
      <c r="K59" s="144"/>
    </row>
    <row r="60" spans="1:32">
      <c r="A60" s="204"/>
      <c r="B60" s="144"/>
      <c r="C60" s="144"/>
      <c r="D60" s="144"/>
      <c r="E60" s="144"/>
      <c r="F60" s="144"/>
      <c r="G60" s="144"/>
      <c r="H60" s="144"/>
      <c r="I60" s="144"/>
      <c r="J60" s="144"/>
      <c r="K60" s="144"/>
    </row>
    <row r="61" spans="1:32">
      <c r="A61" s="204"/>
      <c r="B61" s="144"/>
      <c r="C61" s="144"/>
      <c r="D61" s="144"/>
      <c r="E61" s="144"/>
      <c r="F61" s="144"/>
      <c r="G61" s="144"/>
      <c r="H61" s="144"/>
      <c r="I61" s="144"/>
      <c r="J61" s="144"/>
      <c r="K61" s="144"/>
    </row>
    <row r="62" spans="1:32">
      <c r="A62" s="204"/>
      <c r="B62" s="144"/>
      <c r="C62" s="144"/>
      <c r="D62" s="144"/>
      <c r="E62" s="144"/>
      <c r="F62" s="144"/>
      <c r="G62" s="144"/>
      <c r="H62" s="144"/>
      <c r="I62" s="144"/>
      <c r="J62" s="144"/>
      <c r="K62" s="144"/>
    </row>
    <row r="63" spans="1:32">
      <c r="A63" s="204"/>
      <c r="B63" s="144"/>
      <c r="C63" s="144"/>
      <c r="D63" s="144"/>
      <c r="E63" s="144"/>
      <c r="F63" s="144"/>
      <c r="G63" s="144"/>
      <c r="H63" s="144"/>
      <c r="I63" s="144"/>
      <c r="J63" s="144"/>
      <c r="K63" s="144"/>
    </row>
    <row r="64" spans="1:32">
      <c r="A64" s="204"/>
      <c r="B64" s="144"/>
      <c r="C64" s="144"/>
      <c r="D64" s="144"/>
      <c r="E64" s="144"/>
      <c r="F64" s="144"/>
      <c r="G64" s="144"/>
      <c r="H64" s="144"/>
      <c r="I64" s="144"/>
      <c r="J64" s="144"/>
      <c r="K64" s="144"/>
    </row>
    <row r="65" spans="1:32">
      <c r="A65" s="204"/>
      <c r="B65" s="144"/>
      <c r="C65" s="144"/>
      <c r="D65" s="144"/>
      <c r="E65" s="144"/>
      <c r="F65" s="144"/>
      <c r="G65" s="144"/>
      <c r="H65" s="144"/>
      <c r="I65" s="144"/>
      <c r="J65" s="144"/>
      <c r="K65" s="144"/>
    </row>
    <row r="66" spans="1:32">
      <c r="A66" s="20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</row>
    <row r="67" spans="1:32">
      <c r="A67" s="20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</row>
    <row r="68" spans="1:32">
      <c r="A68" s="20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</row>
    <row r="69" spans="1:32">
      <c r="A69" s="20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</row>
    <row r="70" spans="1:32">
      <c r="A70" s="20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</row>
    <row r="71" spans="1:32">
      <c r="A71" s="20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</row>
    <row r="72" spans="1:32">
      <c r="A72" s="20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</row>
    <row r="73" spans="1:32">
      <c r="A73" s="20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</row>
    <row r="74" spans="1:32">
      <c r="A74" s="20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</row>
    <row r="75" spans="1:32">
      <c r="A75" s="20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</row>
    <row r="76" spans="1:32">
      <c r="A76" s="20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</row>
    <row r="77" spans="1:32">
      <c r="A77" s="20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</row>
    <row r="78" spans="1:32">
      <c r="A78" s="20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</row>
    <row r="79" spans="1:32">
      <c r="A79" s="20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</row>
    <row r="80" spans="1:32">
      <c r="A80" s="20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</row>
    <row r="81" spans="1:32">
      <c r="A81" s="20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</row>
    <row r="82" spans="1:32">
      <c r="A82" s="20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</row>
    <row r="83" spans="1:32">
      <c r="A83" s="20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</row>
    <row r="84" spans="1:32">
      <c r="A84" s="20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</row>
    <row r="85" spans="1:32">
      <c r="A85" s="20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</row>
    <row r="86" spans="1:32">
      <c r="A86" s="20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</row>
    <row r="87" spans="1:32">
      <c r="A87" s="20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</row>
    <row r="88" spans="1:32">
      <c r="A88" s="20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</row>
    <row r="89" spans="1:32">
      <c r="A89" s="20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</row>
    <row r="90" spans="1:32">
      <c r="A90" s="20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</row>
    <row r="91" spans="1:32">
      <c r="A91" s="20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</row>
    <row r="92" spans="1:32">
      <c r="A92" s="20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</row>
    <row r="93" spans="1:32">
      <c r="A93" s="20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</row>
  </sheetData>
  <mergeCells count="47">
    <mergeCell ref="C1:Q1"/>
    <mergeCell ref="O3:Q5"/>
    <mergeCell ref="A3:A6"/>
    <mergeCell ref="B3:B6"/>
    <mergeCell ref="C3:N3"/>
    <mergeCell ref="C2:Q2"/>
    <mergeCell ref="C11:Q11"/>
    <mergeCell ref="R8:AF8"/>
    <mergeCell ref="A8:B8"/>
    <mergeCell ref="C8:Q8"/>
    <mergeCell ref="U5:W5"/>
    <mergeCell ref="X5:Z5"/>
    <mergeCell ref="AA5:AC5"/>
    <mergeCell ref="F5:H5"/>
    <mergeCell ref="I5:K5"/>
    <mergeCell ref="L5:N5"/>
    <mergeCell ref="C4:E5"/>
    <mergeCell ref="F4:N4"/>
    <mergeCell ref="R3:T5"/>
    <mergeCell ref="U3:Z4"/>
    <mergeCell ref="AA3:AF4"/>
    <mergeCell ref="AD5:AF5"/>
    <mergeCell ref="R52:AF52"/>
    <mergeCell ref="C52:Q52"/>
    <mergeCell ref="Y44:Z44"/>
    <mergeCell ref="AA44:AB44"/>
    <mergeCell ref="AC44:AD44"/>
    <mergeCell ref="AE44:AF44"/>
    <mergeCell ref="M44:N44"/>
    <mergeCell ref="O44:P44"/>
    <mergeCell ref="Q44:R44"/>
    <mergeCell ref="S44:T44"/>
    <mergeCell ref="U44:V44"/>
    <mergeCell ref="W44:X44"/>
    <mergeCell ref="K44:L44"/>
    <mergeCell ref="R55:AF55"/>
    <mergeCell ref="R54:AF54"/>
    <mergeCell ref="C55:Q55"/>
    <mergeCell ref="C54:Q54"/>
    <mergeCell ref="C53:Q53"/>
    <mergeCell ref="R53:AF53"/>
    <mergeCell ref="A51:B51"/>
    <mergeCell ref="C44:D44"/>
    <mergeCell ref="E44:F44"/>
    <mergeCell ref="G44:H44"/>
    <mergeCell ref="I44:J44"/>
    <mergeCell ref="A44:B44"/>
  </mergeCells>
  <hyperlinks>
    <hyperlink ref="F57" r:id="rId1"/>
    <hyperlink ref="U57" r:id="rId2"/>
  </hyperlinks>
  <pageMargins left="0.70866141732283472" right="0.70866141732283472" top="0.74803149606299213" bottom="0.74803149606299213" header="0.31496062992125984" footer="0.31496062992125984"/>
  <pageSetup paperSize="9" scale="65" firstPageNumber="81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AF56"/>
  <sheetViews>
    <sheetView view="pageBreakPreview" topLeftCell="A40" zoomScale="85" zoomScaleSheetLayoutView="85" workbookViewId="0">
      <selection activeCell="C51" sqref="C51"/>
    </sheetView>
  </sheetViews>
  <sheetFormatPr defaultRowHeight="15"/>
  <cols>
    <col min="1" max="1" width="9.28515625" bestFit="1" customWidth="1"/>
    <col min="2" max="2" width="35.140625" customWidth="1"/>
    <col min="3" max="3" width="11.7109375" customWidth="1"/>
    <col min="4" max="4" width="10.42578125" bestFit="1" customWidth="1"/>
    <col min="5" max="5" width="11.7109375" bestFit="1" customWidth="1"/>
    <col min="6" max="7" width="10.42578125" bestFit="1" customWidth="1"/>
    <col min="8" max="8" width="11.7109375" bestFit="1" customWidth="1"/>
    <col min="9" max="13" width="9.28515625" bestFit="1" customWidth="1"/>
    <col min="14" max="14" width="9.85546875" bestFit="1" customWidth="1"/>
    <col min="15" max="17" width="9.28515625" bestFit="1" customWidth="1"/>
  </cols>
  <sheetData>
    <row r="1" spans="1:32" ht="18" customHeight="1">
      <c r="A1" s="144"/>
      <c r="B1" s="163"/>
      <c r="C1" s="450" t="s">
        <v>304</v>
      </c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157" t="s">
        <v>304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>
      <c r="A2" s="164"/>
      <c r="B2" s="165"/>
      <c r="C2" s="452" t="s">
        <v>342</v>
      </c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146" t="s">
        <v>343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>
      <c r="A3" s="458" t="s">
        <v>192</v>
      </c>
      <c r="B3" s="448" t="s">
        <v>260</v>
      </c>
      <c r="C3" s="448" t="s">
        <v>188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6" t="s">
        <v>189</v>
      </c>
      <c r="P3" s="446"/>
      <c r="Q3" s="446"/>
      <c r="R3" s="489" t="s">
        <v>193</v>
      </c>
      <c r="S3" s="490"/>
      <c r="T3" s="491"/>
      <c r="U3" s="489" t="s">
        <v>194</v>
      </c>
      <c r="V3" s="490"/>
      <c r="W3" s="490"/>
      <c r="X3" s="490"/>
      <c r="Y3" s="490"/>
      <c r="Z3" s="491"/>
      <c r="AA3" s="489" t="s">
        <v>195</v>
      </c>
      <c r="AB3" s="490"/>
      <c r="AC3" s="490"/>
      <c r="AD3" s="490"/>
      <c r="AE3" s="490"/>
      <c r="AF3" s="491"/>
    </row>
    <row r="4" spans="1:32">
      <c r="A4" s="458"/>
      <c r="B4" s="448"/>
      <c r="C4" s="448" t="s">
        <v>5</v>
      </c>
      <c r="D4" s="448"/>
      <c r="E4" s="448"/>
      <c r="F4" s="448" t="s">
        <v>6</v>
      </c>
      <c r="G4" s="448"/>
      <c r="H4" s="448"/>
      <c r="I4" s="448"/>
      <c r="J4" s="448"/>
      <c r="K4" s="448"/>
      <c r="L4" s="448"/>
      <c r="M4" s="448"/>
      <c r="N4" s="448"/>
      <c r="O4" s="446"/>
      <c r="P4" s="446"/>
      <c r="Q4" s="446"/>
      <c r="R4" s="492"/>
      <c r="S4" s="493"/>
      <c r="T4" s="494"/>
      <c r="U4" s="495"/>
      <c r="V4" s="496"/>
      <c r="W4" s="496"/>
      <c r="X4" s="496"/>
      <c r="Y4" s="496"/>
      <c r="Z4" s="497"/>
      <c r="AA4" s="495"/>
      <c r="AB4" s="496"/>
      <c r="AC4" s="496"/>
      <c r="AD4" s="496"/>
      <c r="AE4" s="496"/>
      <c r="AF4" s="497"/>
    </row>
    <row r="5" spans="1:32" ht="15" customHeight="1">
      <c r="A5" s="458"/>
      <c r="B5" s="448"/>
      <c r="C5" s="448"/>
      <c r="D5" s="448"/>
      <c r="E5" s="448"/>
      <c r="F5" s="448" t="s">
        <v>51</v>
      </c>
      <c r="G5" s="448"/>
      <c r="H5" s="448"/>
      <c r="I5" s="448" t="s">
        <v>190</v>
      </c>
      <c r="J5" s="448"/>
      <c r="K5" s="448"/>
      <c r="L5" s="448" t="s">
        <v>262</v>
      </c>
      <c r="M5" s="448"/>
      <c r="N5" s="448"/>
      <c r="O5" s="446"/>
      <c r="P5" s="446"/>
      <c r="Q5" s="446"/>
      <c r="R5" s="495"/>
      <c r="S5" s="496"/>
      <c r="T5" s="497"/>
      <c r="U5" s="498" t="s">
        <v>229</v>
      </c>
      <c r="V5" s="499"/>
      <c r="W5" s="500"/>
      <c r="X5" s="498" t="s">
        <v>230</v>
      </c>
      <c r="Y5" s="499"/>
      <c r="Z5" s="500"/>
      <c r="AA5" s="498" t="s">
        <v>229</v>
      </c>
      <c r="AB5" s="499"/>
      <c r="AC5" s="500"/>
      <c r="AD5" s="498" t="s">
        <v>230</v>
      </c>
      <c r="AE5" s="499"/>
      <c r="AF5" s="500"/>
    </row>
    <row r="6" spans="1:32">
      <c r="A6" s="458"/>
      <c r="B6" s="448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>
      <c r="A8" s="520" t="s">
        <v>216</v>
      </c>
      <c r="B8" s="520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4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6"/>
    </row>
    <row r="9" spans="1:32" ht="28.5">
      <c r="A9" s="166">
        <v>1</v>
      </c>
      <c r="B9" s="43" t="s">
        <v>143</v>
      </c>
      <c r="C9" s="170">
        <v>625535</v>
      </c>
      <c r="D9" s="170">
        <v>426449</v>
      </c>
      <c r="E9" s="170">
        <v>1051984</v>
      </c>
      <c r="F9" s="170">
        <v>602272</v>
      </c>
      <c r="G9" s="170">
        <v>414010</v>
      </c>
      <c r="H9" s="170">
        <v>1016282</v>
      </c>
      <c r="I9" s="170">
        <v>6604</v>
      </c>
      <c r="J9" s="170">
        <v>3301</v>
      </c>
      <c r="K9" s="170">
        <v>9905</v>
      </c>
      <c r="L9" s="167">
        <v>608876</v>
      </c>
      <c r="M9" s="167">
        <v>417311</v>
      </c>
      <c r="N9" s="167">
        <v>1026187</v>
      </c>
      <c r="O9" s="171">
        <v>97.336839665246544</v>
      </c>
      <c r="P9" s="171">
        <v>97.857188081107012</v>
      </c>
      <c r="Q9" s="171">
        <v>97.547776392036383</v>
      </c>
      <c r="R9" s="168">
        <f>L9</f>
        <v>608876</v>
      </c>
      <c r="S9" s="168">
        <f>M9</f>
        <v>417311</v>
      </c>
      <c r="T9" s="168">
        <f>N9</f>
        <v>1026187</v>
      </c>
      <c r="U9" s="176"/>
      <c r="V9" s="176"/>
      <c r="W9" s="176"/>
      <c r="X9" s="176"/>
      <c r="Y9" s="176"/>
      <c r="Z9" s="176"/>
      <c r="AA9" s="215"/>
      <c r="AB9" s="215"/>
      <c r="AC9" s="215"/>
      <c r="AD9" s="215"/>
      <c r="AE9" s="215"/>
      <c r="AF9" s="215"/>
    </row>
    <row r="10" spans="1:32" ht="28.5">
      <c r="A10" s="166">
        <v>2</v>
      </c>
      <c r="B10" s="43" t="s">
        <v>231</v>
      </c>
      <c r="C10" s="170">
        <v>68392</v>
      </c>
      <c r="D10" s="170">
        <v>53957</v>
      </c>
      <c r="E10" s="170">
        <v>122349</v>
      </c>
      <c r="F10" s="170">
        <v>67159</v>
      </c>
      <c r="G10" s="170">
        <v>53499</v>
      </c>
      <c r="H10" s="170">
        <v>120658</v>
      </c>
      <c r="I10" s="176"/>
      <c r="J10" s="176"/>
      <c r="K10" s="176"/>
      <c r="L10" s="169">
        <v>67159</v>
      </c>
      <c r="M10" s="169">
        <v>53499</v>
      </c>
      <c r="N10" s="169">
        <v>120658</v>
      </c>
      <c r="O10" s="314">
        <v>98.197157562287984</v>
      </c>
      <c r="P10" s="314">
        <v>99.151175936393798</v>
      </c>
      <c r="Q10" s="314">
        <v>98.6178881723594</v>
      </c>
      <c r="R10" s="170">
        <v>67159</v>
      </c>
      <c r="S10" s="170">
        <v>53499</v>
      </c>
      <c r="T10" s="170">
        <v>120658</v>
      </c>
      <c r="U10" s="170">
        <v>39676</v>
      </c>
      <c r="V10" s="170">
        <v>36191</v>
      </c>
      <c r="W10" s="170">
        <v>75867</v>
      </c>
      <c r="X10" s="170">
        <v>20035</v>
      </c>
      <c r="Y10" s="170">
        <v>13569</v>
      </c>
      <c r="Z10" s="170">
        <v>33604</v>
      </c>
      <c r="AA10" s="314">
        <v>59.077711103500647</v>
      </c>
      <c r="AB10" s="314">
        <v>67.647993420437757</v>
      </c>
      <c r="AC10" s="314">
        <v>62.877720499262381</v>
      </c>
      <c r="AD10" s="314">
        <v>29.832189282151312</v>
      </c>
      <c r="AE10" s="314">
        <v>25.363090898895305</v>
      </c>
      <c r="AF10" s="314">
        <v>27.850619105239605</v>
      </c>
    </row>
    <row r="11" spans="1:32">
      <c r="A11" s="520" t="s">
        <v>217</v>
      </c>
      <c r="B11" s="520"/>
      <c r="C11" s="521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3"/>
      <c r="R11" s="330"/>
      <c r="S11" s="331"/>
      <c r="T11" s="331"/>
      <c r="U11" s="331"/>
      <c r="V11" s="331"/>
      <c r="W11" s="332"/>
      <c r="X11" s="331"/>
      <c r="Y11" s="331"/>
      <c r="Z11" s="332"/>
      <c r="AA11" s="333"/>
      <c r="AB11" s="333"/>
      <c r="AC11" s="333"/>
      <c r="AD11" s="333"/>
      <c r="AE11" s="333"/>
      <c r="AF11" s="333"/>
    </row>
    <row r="12" spans="1:32" ht="28.5">
      <c r="A12" s="166">
        <v>3</v>
      </c>
      <c r="B12" s="43" t="s">
        <v>263</v>
      </c>
      <c r="C12" s="170">
        <v>700828</v>
      </c>
      <c r="D12" s="170">
        <v>591240</v>
      </c>
      <c r="E12" s="170">
        <v>1292068</v>
      </c>
      <c r="F12" s="170">
        <v>504057</v>
      </c>
      <c r="G12" s="170">
        <v>464086</v>
      </c>
      <c r="H12" s="170">
        <v>968143</v>
      </c>
      <c r="I12" s="176"/>
      <c r="J12" s="176"/>
      <c r="K12" s="176"/>
      <c r="L12" s="169">
        <v>504057</v>
      </c>
      <c r="M12" s="169">
        <v>464086</v>
      </c>
      <c r="N12" s="170">
        <v>968143</v>
      </c>
      <c r="O12" s="314">
        <v>71.923068142254593</v>
      </c>
      <c r="P12" s="314">
        <v>78.493674311616275</v>
      </c>
      <c r="Q12" s="314">
        <v>74.929725060910101</v>
      </c>
      <c r="R12" s="170">
        <v>504057</v>
      </c>
      <c r="S12" s="170">
        <v>464086</v>
      </c>
      <c r="T12" s="170">
        <v>968143</v>
      </c>
      <c r="U12" s="170">
        <v>153689</v>
      </c>
      <c r="V12" s="170">
        <v>152279</v>
      </c>
      <c r="W12" s="170">
        <v>305968</v>
      </c>
      <c r="X12" s="170">
        <v>291393</v>
      </c>
      <c r="Y12" s="170">
        <v>275038</v>
      </c>
      <c r="Z12" s="170">
        <v>566431</v>
      </c>
      <c r="AA12" s="314">
        <v>30.49040088720125</v>
      </c>
      <c r="AB12" s="314">
        <v>32.81266834164358</v>
      </c>
      <c r="AC12" s="314">
        <v>31.603595749801421</v>
      </c>
      <c r="AD12" s="314">
        <v>57.809533445622222</v>
      </c>
      <c r="AE12" s="314">
        <v>59.264446675831636</v>
      </c>
      <c r="AF12" s="314">
        <v>58.506956100493419</v>
      </c>
    </row>
    <row r="13" spans="1:32">
      <c r="A13" s="166">
        <v>4</v>
      </c>
      <c r="B13" s="43" t="s">
        <v>264</v>
      </c>
      <c r="C13" s="170">
        <v>180717</v>
      </c>
      <c r="D13" s="170">
        <v>186521</v>
      </c>
      <c r="E13" s="170">
        <v>367238</v>
      </c>
      <c r="F13" s="170">
        <v>120773</v>
      </c>
      <c r="G13" s="170">
        <v>117237</v>
      </c>
      <c r="H13" s="170">
        <v>238010</v>
      </c>
      <c r="I13" s="176"/>
      <c r="J13" s="176"/>
      <c r="K13" s="176"/>
      <c r="L13" s="169">
        <v>120773</v>
      </c>
      <c r="M13" s="169">
        <v>117237</v>
      </c>
      <c r="N13" s="170">
        <v>238010</v>
      </c>
      <c r="O13" s="314">
        <v>66.829905321580156</v>
      </c>
      <c r="P13" s="314">
        <v>62.854584738447684</v>
      </c>
      <c r="Q13" s="314">
        <v>64.810831123140858</v>
      </c>
      <c r="R13" s="170">
        <v>120773</v>
      </c>
      <c r="S13" s="170">
        <v>117237</v>
      </c>
      <c r="T13" s="170">
        <v>238010</v>
      </c>
      <c r="U13" s="170">
        <v>2596</v>
      </c>
      <c r="V13" s="170">
        <v>1894</v>
      </c>
      <c r="W13" s="170">
        <v>4490</v>
      </c>
      <c r="X13" s="170">
        <v>10731</v>
      </c>
      <c r="Y13" s="170">
        <v>8560</v>
      </c>
      <c r="Z13" s="170">
        <v>19291</v>
      </c>
      <c r="AA13" s="314">
        <v>2.1494870542256961</v>
      </c>
      <c r="AB13" s="314">
        <v>1.6155309330672059</v>
      </c>
      <c r="AC13" s="314">
        <v>1.8864753581782279</v>
      </c>
      <c r="AD13" s="314">
        <v>8.8852640904837994</v>
      </c>
      <c r="AE13" s="314">
        <v>7.301449201190751</v>
      </c>
      <c r="AF13" s="314">
        <v>8.10512163354481</v>
      </c>
    </row>
    <row r="14" spans="1:32">
      <c r="A14" s="166">
        <v>5</v>
      </c>
      <c r="B14" s="43" t="s">
        <v>265</v>
      </c>
      <c r="C14" s="170">
        <v>3403</v>
      </c>
      <c r="D14" s="170">
        <v>2234</v>
      </c>
      <c r="E14" s="170">
        <v>5637</v>
      </c>
      <c r="F14" s="170">
        <v>1955</v>
      </c>
      <c r="G14" s="170">
        <v>1558</v>
      </c>
      <c r="H14" s="170">
        <v>3513</v>
      </c>
      <c r="I14" s="176">
        <v>0</v>
      </c>
      <c r="J14" s="176">
        <v>0</v>
      </c>
      <c r="K14" s="176">
        <v>0</v>
      </c>
      <c r="L14" s="169">
        <v>1955</v>
      </c>
      <c r="M14" s="169">
        <v>1558</v>
      </c>
      <c r="N14" s="170">
        <v>3513</v>
      </c>
      <c r="O14" s="314">
        <v>57.449309432853369</v>
      </c>
      <c r="P14" s="314">
        <v>69.740376007162041</v>
      </c>
      <c r="Q14" s="314">
        <v>62.320383182543907</v>
      </c>
      <c r="R14" s="170">
        <v>1955</v>
      </c>
      <c r="S14" s="170">
        <v>1558</v>
      </c>
      <c r="T14" s="170">
        <v>3513</v>
      </c>
      <c r="U14" s="176"/>
      <c r="V14" s="176"/>
      <c r="W14" s="176"/>
      <c r="X14" s="176"/>
      <c r="Y14" s="176"/>
      <c r="Z14" s="176">
        <v>0</v>
      </c>
      <c r="AA14" s="215"/>
      <c r="AB14" s="215"/>
      <c r="AC14" s="215"/>
      <c r="AD14" s="215"/>
      <c r="AE14" s="215"/>
      <c r="AF14" s="215"/>
    </row>
    <row r="15" spans="1:32">
      <c r="A15" s="166">
        <v>6</v>
      </c>
      <c r="B15" s="43" t="s">
        <v>266</v>
      </c>
      <c r="C15" s="170">
        <v>27</v>
      </c>
      <c r="D15" s="170">
        <v>150</v>
      </c>
      <c r="E15" s="170">
        <v>177</v>
      </c>
      <c r="F15" s="170">
        <v>26</v>
      </c>
      <c r="G15" s="170">
        <v>146</v>
      </c>
      <c r="H15" s="170">
        <v>172</v>
      </c>
      <c r="I15" s="170">
        <v>1</v>
      </c>
      <c r="J15" s="170">
        <v>3</v>
      </c>
      <c r="K15" s="170">
        <v>4</v>
      </c>
      <c r="L15" s="169">
        <v>27</v>
      </c>
      <c r="M15" s="169">
        <v>149</v>
      </c>
      <c r="N15" s="170">
        <v>176</v>
      </c>
      <c r="O15" s="314">
        <v>100</v>
      </c>
      <c r="P15" s="314">
        <v>99.333333333333329</v>
      </c>
      <c r="Q15" s="314">
        <v>99.435028248587571</v>
      </c>
      <c r="R15" s="170">
        <v>27</v>
      </c>
      <c r="S15" s="170">
        <v>149</v>
      </c>
      <c r="T15" s="170">
        <v>176</v>
      </c>
      <c r="U15" s="170">
        <v>6</v>
      </c>
      <c r="V15" s="170">
        <v>36</v>
      </c>
      <c r="W15" s="170">
        <v>42</v>
      </c>
      <c r="X15" s="170">
        <v>8</v>
      </c>
      <c r="Y15" s="170">
        <v>49</v>
      </c>
      <c r="Z15" s="170">
        <v>57</v>
      </c>
      <c r="AA15" s="314">
        <v>22.222222222222221</v>
      </c>
      <c r="AB15" s="314">
        <v>24.161073825503355</v>
      </c>
      <c r="AC15" s="314">
        <v>23.863636363636363</v>
      </c>
      <c r="AD15" s="314">
        <v>29.629629629629626</v>
      </c>
      <c r="AE15" s="314">
        <v>32.885906040268459</v>
      </c>
      <c r="AF15" s="314">
        <v>32.386363636363633</v>
      </c>
    </row>
    <row r="16" spans="1:32">
      <c r="A16" s="166">
        <v>7</v>
      </c>
      <c r="B16" s="43" t="s">
        <v>138</v>
      </c>
      <c r="C16" s="170">
        <v>566012</v>
      </c>
      <c r="D16" s="170">
        <v>410922</v>
      </c>
      <c r="E16" s="170">
        <v>976934</v>
      </c>
      <c r="F16" s="170">
        <v>409128</v>
      </c>
      <c r="G16" s="170">
        <v>250368</v>
      </c>
      <c r="H16" s="170">
        <v>659496</v>
      </c>
      <c r="I16" s="170">
        <v>16693</v>
      </c>
      <c r="J16" s="170">
        <v>23809</v>
      </c>
      <c r="K16" s="170">
        <v>40502</v>
      </c>
      <c r="L16" s="169">
        <v>425821</v>
      </c>
      <c r="M16" s="169">
        <v>274177</v>
      </c>
      <c r="N16" s="170">
        <v>699998</v>
      </c>
      <c r="O16" s="314">
        <v>75.231797205712951</v>
      </c>
      <c r="P16" s="314">
        <v>66.722395004404731</v>
      </c>
      <c r="Q16" s="314">
        <v>71.652537428321665</v>
      </c>
      <c r="R16" s="170">
        <v>425821</v>
      </c>
      <c r="S16" s="170">
        <v>274177</v>
      </c>
      <c r="T16" s="170">
        <v>699998</v>
      </c>
      <c r="U16" s="170">
        <v>10859</v>
      </c>
      <c r="V16" s="170">
        <v>3731</v>
      </c>
      <c r="W16" s="170">
        <v>14590</v>
      </c>
      <c r="X16" s="170">
        <v>96297</v>
      </c>
      <c r="Y16" s="170">
        <v>41103</v>
      </c>
      <c r="Z16" s="170">
        <v>137400</v>
      </c>
      <c r="AA16" s="314">
        <v>2.5501325674403095</v>
      </c>
      <c r="AB16" s="314">
        <v>1.3607997753276169</v>
      </c>
      <c r="AC16" s="314">
        <v>2.0842916694047697</v>
      </c>
      <c r="AD16" s="314">
        <v>22.614431885698451</v>
      </c>
      <c r="AE16" s="314">
        <v>14.991410658078541</v>
      </c>
      <c r="AF16" s="314">
        <v>19.628627510364318</v>
      </c>
    </row>
    <row r="17" spans="1:32">
      <c r="A17" s="166">
        <v>8</v>
      </c>
      <c r="B17" s="43" t="s">
        <v>267</v>
      </c>
      <c r="C17" s="170">
        <v>43233</v>
      </c>
      <c r="D17" s="170">
        <v>86988</v>
      </c>
      <c r="E17" s="170">
        <v>130221</v>
      </c>
      <c r="F17" s="170">
        <v>39533</v>
      </c>
      <c r="G17" s="170">
        <v>63087</v>
      </c>
      <c r="H17" s="170">
        <v>102620</v>
      </c>
      <c r="I17" s="176"/>
      <c r="J17" s="176"/>
      <c r="K17" s="176"/>
      <c r="L17" s="169">
        <v>39533</v>
      </c>
      <c r="M17" s="169">
        <v>63087</v>
      </c>
      <c r="N17" s="170">
        <v>102620</v>
      </c>
      <c r="O17" s="314">
        <v>91.441722758078313</v>
      </c>
      <c r="P17" s="314">
        <v>72.523796385708366</v>
      </c>
      <c r="Q17" s="314">
        <v>78.804493898833513</v>
      </c>
      <c r="R17" s="170">
        <v>39533</v>
      </c>
      <c r="S17" s="170">
        <v>63087</v>
      </c>
      <c r="T17" s="170">
        <v>102620</v>
      </c>
      <c r="U17" s="176"/>
      <c r="V17" s="176"/>
      <c r="W17" s="176"/>
      <c r="X17" s="170">
        <v>23367</v>
      </c>
      <c r="Y17" s="170">
        <v>33862</v>
      </c>
      <c r="Z17" s="170">
        <v>57229</v>
      </c>
      <c r="AA17" s="215"/>
      <c r="AB17" s="215"/>
      <c r="AC17" s="215"/>
      <c r="AD17" s="314">
        <v>59.107581008271573</v>
      </c>
      <c r="AE17" s="314">
        <v>53.67508361469082</v>
      </c>
      <c r="AF17" s="314">
        <v>55.767881504580004</v>
      </c>
    </row>
    <row r="18" spans="1:32" ht="28.5">
      <c r="A18" s="166">
        <v>9</v>
      </c>
      <c r="B18" s="35" t="s">
        <v>56</v>
      </c>
      <c r="C18" s="170">
        <v>196431</v>
      </c>
      <c r="D18" s="170">
        <v>188301</v>
      </c>
      <c r="E18" s="170">
        <v>384732</v>
      </c>
      <c r="F18" s="170">
        <v>101457</v>
      </c>
      <c r="G18" s="170">
        <v>95937</v>
      </c>
      <c r="H18" s="170">
        <v>197394</v>
      </c>
      <c r="I18" s="170">
        <v>1958</v>
      </c>
      <c r="J18" s="170">
        <v>1836</v>
      </c>
      <c r="K18" s="170">
        <v>3794</v>
      </c>
      <c r="L18" s="168">
        <v>103415</v>
      </c>
      <c r="M18" s="168">
        <v>97773</v>
      </c>
      <c r="N18" s="170">
        <v>201188</v>
      </c>
      <c r="O18" s="171">
        <v>52.646985455452558</v>
      </c>
      <c r="P18" s="171">
        <v>51.92378160498351</v>
      </c>
      <c r="Q18" s="171">
        <v>52.293024754894311</v>
      </c>
      <c r="R18" s="168">
        <v>103415</v>
      </c>
      <c r="S18" s="168">
        <v>97773</v>
      </c>
      <c r="T18" s="168">
        <v>201188</v>
      </c>
      <c r="U18" s="173"/>
      <c r="V18" s="173"/>
      <c r="W18" s="173"/>
      <c r="X18" s="173"/>
      <c r="Y18" s="173"/>
      <c r="Z18" s="173"/>
      <c r="AA18" s="174"/>
      <c r="AB18" s="174"/>
      <c r="AC18" s="174"/>
      <c r="AD18" s="175"/>
      <c r="AE18" s="175"/>
      <c r="AF18" s="175"/>
    </row>
    <row r="19" spans="1:32">
      <c r="A19" s="166">
        <v>10</v>
      </c>
      <c r="B19" s="43" t="s">
        <v>305</v>
      </c>
      <c r="C19" s="170">
        <v>308</v>
      </c>
      <c r="D19" s="170">
        <v>175</v>
      </c>
      <c r="E19" s="170">
        <v>483</v>
      </c>
      <c r="F19" s="170">
        <v>203</v>
      </c>
      <c r="G19" s="170">
        <v>128</v>
      </c>
      <c r="H19" s="170">
        <v>331</v>
      </c>
      <c r="I19" s="170">
        <v>61</v>
      </c>
      <c r="J19" s="170">
        <v>31</v>
      </c>
      <c r="K19" s="170">
        <v>92</v>
      </c>
      <c r="L19" s="170">
        <v>264</v>
      </c>
      <c r="M19" s="170">
        <v>159</v>
      </c>
      <c r="N19" s="170">
        <v>423</v>
      </c>
      <c r="O19" s="314">
        <v>85.714285714285708</v>
      </c>
      <c r="P19" s="314">
        <v>90.857142857142861</v>
      </c>
      <c r="Q19" s="314">
        <v>87.577639751552795</v>
      </c>
      <c r="R19" s="170">
        <v>264</v>
      </c>
      <c r="S19" s="170">
        <v>159</v>
      </c>
      <c r="T19" s="170">
        <v>423</v>
      </c>
      <c r="U19" s="176"/>
      <c r="V19" s="176"/>
      <c r="W19" s="176"/>
      <c r="X19" s="176"/>
      <c r="Y19" s="176"/>
      <c r="Z19" s="170">
        <v>14</v>
      </c>
      <c r="AA19" s="215"/>
      <c r="AB19" s="215">
        <v>0</v>
      </c>
      <c r="AC19" s="215"/>
      <c r="AD19" s="215"/>
      <c r="AE19" s="215"/>
      <c r="AF19" s="314">
        <v>3.3096926713947985</v>
      </c>
    </row>
    <row r="20" spans="1:32" ht="28.5">
      <c r="A20" s="166">
        <v>11</v>
      </c>
      <c r="B20" s="43" t="s">
        <v>144</v>
      </c>
      <c r="C20" s="170">
        <v>319</v>
      </c>
      <c r="D20" s="170">
        <v>210</v>
      </c>
      <c r="E20" s="170">
        <v>529</v>
      </c>
      <c r="F20" s="170">
        <v>288</v>
      </c>
      <c r="G20" s="170">
        <v>188</v>
      </c>
      <c r="H20" s="170">
        <v>476</v>
      </c>
      <c r="I20" s="170">
        <v>25</v>
      </c>
      <c r="J20" s="170">
        <v>15</v>
      </c>
      <c r="K20" s="170">
        <v>40</v>
      </c>
      <c r="L20" s="169">
        <v>313</v>
      </c>
      <c r="M20" s="169">
        <v>203</v>
      </c>
      <c r="N20" s="170">
        <v>516</v>
      </c>
      <c r="O20" s="314">
        <v>98.119122257053291</v>
      </c>
      <c r="P20" s="314">
        <v>96.666666666666671</v>
      </c>
      <c r="Q20" s="314">
        <v>97.542533081285441</v>
      </c>
      <c r="R20" s="170">
        <v>313</v>
      </c>
      <c r="S20" s="170">
        <v>203</v>
      </c>
      <c r="T20" s="170">
        <v>516</v>
      </c>
      <c r="U20" s="170">
        <v>3</v>
      </c>
      <c r="V20" s="170">
        <v>0</v>
      </c>
      <c r="W20" s="170">
        <v>3</v>
      </c>
      <c r="X20" s="170">
        <v>99</v>
      </c>
      <c r="Y20" s="170">
        <v>64</v>
      </c>
      <c r="Z20" s="170">
        <v>163</v>
      </c>
      <c r="AA20" s="314">
        <v>0.95846645367412142</v>
      </c>
      <c r="AB20" s="334">
        <v>0</v>
      </c>
      <c r="AC20" s="314">
        <v>0.58139534883720934</v>
      </c>
      <c r="AD20" s="314">
        <v>31.629392971246009</v>
      </c>
      <c r="AE20" s="314">
        <v>31.527093596059117</v>
      </c>
      <c r="AF20" s="314">
        <v>31.589147286821703</v>
      </c>
    </row>
    <row r="21" spans="1:32" ht="28.5">
      <c r="A21" s="166">
        <v>12</v>
      </c>
      <c r="B21" s="43" t="s">
        <v>148</v>
      </c>
      <c r="C21" s="170">
        <v>8563</v>
      </c>
      <c r="D21" s="170">
        <v>8211</v>
      </c>
      <c r="E21" s="170">
        <v>16774</v>
      </c>
      <c r="F21" s="170">
        <v>6948</v>
      </c>
      <c r="G21" s="170">
        <v>6580</v>
      </c>
      <c r="H21" s="170">
        <v>13528</v>
      </c>
      <c r="I21" s="170">
        <v>151</v>
      </c>
      <c r="J21" s="170">
        <v>172</v>
      </c>
      <c r="K21" s="170">
        <v>323</v>
      </c>
      <c r="L21" s="169">
        <v>7099</v>
      </c>
      <c r="M21" s="169">
        <v>6752</v>
      </c>
      <c r="N21" s="170">
        <v>13851</v>
      </c>
      <c r="O21" s="314">
        <v>82.903188134999411</v>
      </c>
      <c r="P21" s="314">
        <v>82.231153330897584</v>
      </c>
      <c r="Q21" s="314">
        <v>82.574222010253962</v>
      </c>
      <c r="R21" s="170">
        <v>7099</v>
      </c>
      <c r="S21" s="170">
        <v>6752</v>
      </c>
      <c r="T21" s="170">
        <v>13851</v>
      </c>
      <c r="U21" s="170">
        <v>542</v>
      </c>
      <c r="V21" s="170">
        <v>864</v>
      </c>
      <c r="W21" s="170">
        <v>1406</v>
      </c>
      <c r="X21" s="170">
        <v>1323</v>
      </c>
      <c r="Y21" s="170">
        <v>1626</v>
      </c>
      <c r="Z21" s="170">
        <v>2949</v>
      </c>
      <c r="AA21" s="314">
        <v>7.6348781518523738</v>
      </c>
      <c r="AB21" s="314">
        <v>12.796208530805687</v>
      </c>
      <c r="AC21" s="314">
        <v>10.150891632373115</v>
      </c>
      <c r="AD21" s="314">
        <v>18.636427665868432</v>
      </c>
      <c r="AE21" s="314">
        <v>24.08175355450237</v>
      </c>
      <c r="AF21" s="314">
        <v>21.290881524799655</v>
      </c>
    </row>
    <row r="22" spans="1:32" ht="28.5">
      <c r="A22" s="166">
        <v>13</v>
      </c>
      <c r="B22" s="43" t="s">
        <v>149</v>
      </c>
      <c r="C22" s="170">
        <v>594541</v>
      </c>
      <c r="D22" s="170">
        <v>342309</v>
      </c>
      <c r="E22" s="170">
        <v>936850</v>
      </c>
      <c r="F22" s="170">
        <v>393899</v>
      </c>
      <c r="G22" s="170">
        <v>258852</v>
      </c>
      <c r="H22" s="170">
        <v>652751</v>
      </c>
      <c r="I22" s="170">
        <v>33868</v>
      </c>
      <c r="J22" s="170">
        <v>17581</v>
      </c>
      <c r="K22" s="170">
        <v>51449</v>
      </c>
      <c r="L22" s="169">
        <v>427767</v>
      </c>
      <c r="M22" s="169">
        <v>276433</v>
      </c>
      <c r="N22" s="170">
        <v>704200</v>
      </c>
      <c r="O22" s="314">
        <v>71.94911704995954</v>
      </c>
      <c r="P22" s="314">
        <v>80.755399361395703</v>
      </c>
      <c r="Q22" s="314">
        <v>75.166782302396328</v>
      </c>
      <c r="R22" s="170">
        <v>427767</v>
      </c>
      <c r="S22" s="170">
        <v>276433</v>
      </c>
      <c r="T22" s="170">
        <v>704200</v>
      </c>
      <c r="U22" s="170">
        <v>59558</v>
      </c>
      <c r="V22" s="170">
        <v>46298</v>
      </c>
      <c r="W22" s="170">
        <v>105856</v>
      </c>
      <c r="X22" s="170">
        <v>112202</v>
      </c>
      <c r="Y22" s="170">
        <v>85727</v>
      </c>
      <c r="Z22" s="170">
        <v>197929</v>
      </c>
      <c r="AA22" s="314">
        <v>13.923000137925552</v>
      </c>
      <c r="AB22" s="314">
        <v>16.748362170941963</v>
      </c>
      <c r="AC22" s="314">
        <v>15.032093155353593</v>
      </c>
      <c r="AD22" s="314">
        <v>26.229699813216072</v>
      </c>
      <c r="AE22" s="314">
        <v>31.011854590443253</v>
      </c>
      <c r="AF22" s="314">
        <v>28.106929849474582</v>
      </c>
    </row>
    <row r="23" spans="1:32">
      <c r="A23" s="166">
        <v>14</v>
      </c>
      <c r="B23" s="43" t="s">
        <v>140</v>
      </c>
      <c r="C23" s="170">
        <v>196742</v>
      </c>
      <c r="D23" s="170">
        <v>158121</v>
      </c>
      <c r="E23" s="170">
        <v>354863</v>
      </c>
      <c r="F23" s="170">
        <v>129533</v>
      </c>
      <c r="G23" s="170">
        <v>111972</v>
      </c>
      <c r="H23" s="170">
        <v>241505</v>
      </c>
      <c r="I23" s="170">
        <v>25270</v>
      </c>
      <c r="J23" s="170">
        <v>16530</v>
      </c>
      <c r="K23" s="170">
        <v>41800</v>
      </c>
      <c r="L23" s="169">
        <v>154803</v>
      </c>
      <c r="M23" s="169">
        <v>128502</v>
      </c>
      <c r="N23" s="170">
        <v>283305</v>
      </c>
      <c r="O23" s="314">
        <v>78.683250144859755</v>
      </c>
      <c r="P23" s="314">
        <v>81.268142751437182</v>
      </c>
      <c r="Q23" s="314">
        <v>79.83503492897259</v>
      </c>
      <c r="R23" s="170">
        <v>154803</v>
      </c>
      <c r="S23" s="170">
        <v>128502</v>
      </c>
      <c r="T23" s="170">
        <v>283305</v>
      </c>
      <c r="U23" s="170">
        <v>4179</v>
      </c>
      <c r="V23" s="170">
        <v>5597</v>
      </c>
      <c r="W23" s="170">
        <v>9776</v>
      </c>
      <c r="X23" s="170">
        <v>42039</v>
      </c>
      <c r="Y23" s="170">
        <v>41900</v>
      </c>
      <c r="Z23" s="170">
        <v>83939</v>
      </c>
      <c r="AA23" s="314">
        <v>2.6995600860448441</v>
      </c>
      <c r="AB23" s="314">
        <v>4.355574232307668</v>
      </c>
      <c r="AC23" s="314">
        <v>3.4506980109775682</v>
      </c>
      <c r="AD23" s="314">
        <v>27.156450456386505</v>
      </c>
      <c r="AE23" s="314">
        <v>32.606496396943236</v>
      </c>
      <c r="AF23" s="314">
        <v>29.628492260990804</v>
      </c>
    </row>
    <row r="24" spans="1:32">
      <c r="A24" s="166">
        <v>15</v>
      </c>
      <c r="B24" s="43" t="s">
        <v>150</v>
      </c>
      <c r="C24" s="170">
        <v>69113</v>
      </c>
      <c r="D24" s="170">
        <v>62840</v>
      </c>
      <c r="E24" s="170">
        <v>131953</v>
      </c>
      <c r="F24" s="170">
        <v>43100</v>
      </c>
      <c r="G24" s="170">
        <v>39478</v>
      </c>
      <c r="H24" s="170">
        <v>82578</v>
      </c>
      <c r="I24" s="170">
        <v>7878</v>
      </c>
      <c r="J24" s="170">
        <v>7794</v>
      </c>
      <c r="K24" s="170">
        <v>15672</v>
      </c>
      <c r="L24" s="169">
        <v>50978</v>
      </c>
      <c r="M24" s="169">
        <v>47272</v>
      </c>
      <c r="N24" s="170">
        <v>98250</v>
      </c>
      <c r="O24" s="314">
        <v>73.760363462734944</v>
      </c>
      <c r="P24" s="314">
        <v>75.225970719287076</v>
      </c>
      <c r="Q24" s="314">
        <v>74.458329859874354</v>
      </c>
      <c r="R24" s="170">
        <v>50978</v>
      </c>
      <c r="S24" s="170">
        <v>47272</v>
      </c>
      <c r="T24" s="170">
        <v>98250</v>
      </c>
      <c r="U24" s="170">
        <v>3991</v>
      </c>
      <c r="V24" s="170">
        <v>4429</v>
      </c>
      <c r="W24" s="170">
        <v>8420</v>
      </c>
      <c r="X24" s="170">
        <v>14872</v>
      </c>
      <c r="Y24" s="170">
        <v>15610</v>
      </c>
      <c r="Z24" s="170">
        <v>30482</v>
      </c>
      <c r="AA24" s="314">
        <v>7.828867354545098</v>
      </c>
      <c r="AB24" s="314">
        <v>9.3691826028092731</v>
      </c>
      <c r="AC24" s="314">
        <v>8.5699745547073789</v>
      </c>
      <c r="AD24" s="314">
        <v>29.1733689042332</v>
      </c>
      <c r="AE24" s="314">
        <v>33.021661871721101</v>
      </c>
      <c r="AF24" s="314">
        <v>31.024936386768449</v>
      </c>
    </row>
    <row r="25" spans="1:32">
      <c r="A25" s="166">
        <v>16</v>
      </c>
      <c r="B25" s="43" t="s">
        <v>151</v>
      </c>
      <c r="C25" s="170">
        <v>236818</v>
      </c>
      <c r="D25" s="170">
        <v>174287</v>
      </c>
      <c r="E25" s="170">
        <v>411105</v>
      </c>
      <c r="F25" s="170">
        <v>97968</v>
      </c>
      <c r="G25" s="170">
        <v>74239</v>
      </c>
      <c r="H25" s="170">
        <v>172207</v>
      </c>
      <c r="I25" s="176"/>
      <c r="J25" s="176"/>
      <c r="K25" s="176"/>
      <c r="L25" s="170">
        <v>97968</v>
      </c>
      <c r="M25" s="170">
        <v>74239</v>
      </c>
      <c r="N25" s="170">
        <v>172207</v>
      </c>
      <c r="O25" s="314">
        <v>41.368477058331713</v>
      </c>
      <c r="P25" s="314">
        <v>42.595833309426403</v>
      </c>
      <c r="Q25" s="314">
        <v>41.888811860716842</v>
      </c>
      <c r="R25" s="170">
        <v>97968</v>
      </c>
      <c r="S25" s="170">
        <v>74239</v>
      </c>
      <c r="T25" s="170">
        <v>172207</v>
      </c>
      <c r="U25" s="176"/>
      <c r="V25" s="176"/>
      <c r="W25" s="176"/>
      <c r="X25" s="176"/>
      <c r="Y25" s="176"/>
      <c r="Z25" s="176"/>
      <c r="AA25" s="215"/>
      <c r="AB25" s="215"/>
      <c r="AC25" s="215"/>
      <c r="AD25" s="215"/>
      <c r="AE25" s="215"/>
      <c r="AF25" s="215"/>
    </row>
    <row r="26" spans="1:32">
      <c r="A26" s="166">
        <v>17</v>
      </c>
      <c r="B26" s="43" t="s">
        <v>152</v>
      </c>
      <c r="C26" s="170">
        <v>141354</v>
      </c>
      <c r="D26" s="170">
        <v>121248</v>
      </c>
      <c r="E26" s="170">
        <v>262602</v>
      </c>
      <c r="F26" s="170">
        <v>99931</v>
      </c>
      <c r="G26" s="170">
        <v>79454</v>
      </c>
      <c r="H26" s="170">
        <v>179385</v>
      </c>
      <c r="I26" s="170">
        <v>2719</v>
      </c>
      <c r="J26" s="170">
        <v>4414</v>
      </c>
      <c r="K26" s="170">
        <v>7133</v>
      </c>
      <c r="L26" s="169">
        <v>102650</v>
      </c>
      <c r="M26" s="169">
        <v>83868</v>
      </c>
      <c r="N26" s="170">
        <v>186518</v>
      </c>
      <c r="O26" s="314">
        <v>72.619098150742118</v>
      </c>
      <c r="P26" s="314">
        <v>69.170625494853525</v>
      </c>
      <c r="Q26" s="314">
        <v>71.026877175345206</v>
      </c>
      <c r="R26" s="170">
        <v>102650</v>
      </c>
      <c r="S26" s="170">
        <v>83868</v>
      </c>
      <c r="T26" s="170">
        <v>186518</v>
      </c>
      <c r="U26" s="170">
        <v>2022</v>
      </c>
      <c r="V26" s="170">
        <v>1068</v>
      </c>
      <c r="W26" s="170">
        <v>3090</v>
      </c>
      <c r="X26" s="170">
        <v>19366</v>
      </c>
      <c r="Y26" s="170">
        <v>13907</v>
      </c>
      <c r="Z26" s="170">
        <v>33273</v>
      </c>
      <c r="AA26" s="314">
        <v>1.9698002922552362</v>
      </c>
      <c r="AB26" s="314">
        <v>1.2734296752038918</v>
      </c>
      <c r="AC26" s="314">
        <v>1.6566765674090436</v>
      </c>
      <c r="AD26" s="314">
        <v>18.866049683390159</v>
      </c>
      <c r="AE26" s="314">
        <v>16.582009824963038</v>
      </c>
      <c r="AF26" s="314">
        <v>17.839028940906505</v>
      </c>
    </row>
    <row r="27" spans="1:32" ht="28.5">
      <c r="A27" s="166">
        <v>18</v>
      </c>
      <c r="B27" s="43" t="s">
        <v>285</v>
      </c>
      <c r="C27" s="170">
        <v>454814</v>
      </c>
      <c r="D27" s="170">
        <v>400701</v>
      </c>
      <c r="E27" s="170">
        <v>855515</v>
      </c>
      <c r="F27" s="170">
        <v>322587</v>
      </c>
      <c r="G27" s="170">
        <v>318521</v>
      </c>
      <c r="H27" s="170">
        <v>641108</v>
      </c>
      <c r="I27" s="170">
        <v>38492</v>
      </c>
      <c r="J27" s="170">
        <v>25184</v>
      </c>
      <c r="K27" s="170">
        <v>63676</v>
      </c>
      <c r="L27" s="169">
        <v>361079</v>
      </c>
      <c r="M27" s="169">
        <v>343705</v>
      </c>
      <c r="N27" s="170">
        <v>704784</v>
      </c>
      <c r="O27" s="314">
        <v>79.39047610671615</v>
      </c>
      <c r="P27" s="314">
        <v>85.775927686729005</v>
      </c>
      <c r="Q27" s="314">
        <v>82.381255734849773</v>
      </c>
      <c r="R27" s="170">
        <v>361079</v>
      </c>
      <c r="S27" s="170">
        <v>343705</v>
      </c>
      <c r="T27" s="170">
        <v>704784</v>
      </c>
      <c r="U27" s="170">
        <v>49706</v>
      </c>
      <c r="V27" s="170">
        <v>60798</v>
      </c>
      <c r="W27" s="170">
        <v>110504</v>
      </c>
      <c r="X27" s="170">
        <v>75278</v>
      </c>
      <c r="Y27" s="170">
        <v>84748</v>
      </c>
      <c r="Z27" s="170">
        <v>160026</v>
      </c>
      <c r="AA27" s="314">
        <v>13.765962573287286</v>
      </c>
      <c r="AB27" s="314">
        <v>17.689006560858875</v>
      </c>
      <c r="AC27" s="314">
        <v>15.679130059706235</v>
      </c>
      <c r="AD27" s="314">
        <v>20.848069259081807</v>
      </c>
      <c r="AE27" s="314">
        <v>24.657191486885555</v>
      </c>
      <c r="AF27" s="314">
        <v>22.705680038139345</v>
      </c>
    </row>
    <row r="28" spans="1:32">
      <c r="A28" s="166">
        <v>19</v>
      </c>
      <c r="B28" s="43" t="s">
        <v>286</v>
      </c>
      <c r="C28" s="170">
        <v>228265</v>
      </c>
      <c r="D28" s="170">
        <v>229930</v>
      </c>
      <c r="E28" s="170">
        <v>462966</v>
      </c>
      <c r="F28" s="170">
        <v>204768</v>
      </c>
      <c r="G28" s="170">
        <v>213851</v>
      </c>
      <c r="H28" s="170">
        <v>420831</v>
      </c>
      <c r="I28" s="176"/>
      <c r="J28" s="176"/>
      <c r="K28" s="176"/>
      <c r="L28" s="169">
        <v>204768</v>
      </c>
      <c r="M28" s="169">
        <v>213851</v>
      </c>
      <c r="N28" s="170">
        <v>420831</v>
      </c>
      <c r="O28" s="314">
        <v>89.706262458107901</v>
      </c>
      <c r="P28" s="314">
        <v>93.007002131083368</v>
      </c>
      <c r="Q28" s="314">
        <v>90.89889970321795</v>
      </c>
      <c r="R28" s="170">
        <v>204768</v>
      </c>
      <c r="S28" s="170">
        <v>213851</v>
      </c>
      <c r="T28" s="170">
        <v>420831</v>
      </c>
      <c r="U28" s="176"/>
      <c r="V28" s="176"/>
      <c r="W28" s="176"/>
      <c r="X28" s="176"/>
      <c r="Y28" s="176"/>
      <c r="Z28" s="176"/>
      <c r="AA28" s="215"/>
      <c r="AB28" s="215"/>
      <c r="AC28" s="215"/>
      <c r="AD28" s="215"/>
      <c r="AE28" s="215"/>
      <c r="AF28" s="215"/>
    </row>
    <row r="29" spans="1:32" ht="42.75">
      <c r="A29" s="166">
        <v>20</v>
      </c>
      <c r="B29" s="27" t="s">
        <v>271</v>
      </c>
      <c r="C29" s="170">
        <v>900227</v>
      </c>
      <c r="D29" s="170">
        <v>732526</v>
      </c>
      <c r="E29" s="170">
        <v>1632753</v>
      </c>
      <c r="F29" s="170">
        <v>617377</v>
      </c>
      <c r="G29" s="170">
        <v>542531</v>
      </c>
      <c r="H29" s="170">
        <v>1159908</v>
      </c>
      <c r="I29" s="170">
        <v>29862</v>
      </c>
      <c r="J29" s="170">
        <v>19939</v>
      </c>
      <c r="K29" s="170">
        <v>49801</v>
      </c>
      <c r="L29" s="167">
        <v>647239</v>
      </c>
      <c r="M29" s="167">
        <v>562470</v>
      </c>
      <c r="N29" s="170">
        <v>1209709</v>
      </c>
      <c r="O29" s="171">
        <v>71.897310345057406</v>
      </c>
      <c r="P29" s="171">
        <v>76.784987836609204</v>
      </c>
      <c r="Q29" s="171">
        <v>74.090141007243588</v>
      </c>
      <c r="R29" s="168">
        <f>L29</f>
        <v>647239</v>
      </c>
      <c r="S29" s="168">
        <f>M29</f>
        <v>562470</v>
      </c>
      <c r="T29" s="168">
        <f>N29</f>
        <v>1209709</v>
      </c>
      <c r="U29" s="168">
        <v>127330</v>
      </c>
      <c r="V29" s="168">
        <v>134213</v>
      </c>
      <c r="W29" s="168">
        <f>U29+V29</f>
        <v>261543</v>
      </c>
      <c r="X29" s="168">
        <v>207045</v>
      </c>
      <c r="Y29" s="168">
        <v>200535</v>
      </c>
      <c r="Z29" s="168">
        <f>X29+Y29</f>
        <v>407580</v>
      </c>
      <c r="AA29" s="171">
        <f>U29/R29%</f>
        <v>19.672794748153308</v>
      </c>
      <c r="AB29" s="171">
        <f>V29/S29%</f>
        <v>23.861361494835283</v>
      </c>
      <c r="AC29" s="171">
        <f>W29/T29%</f>
        <v>21.620323565419451</v>
      </c>
      <c r="AD29" s="335">
        <f>X29/R29%</f>
        <v>31.988956166114836</v>
      </c>
      <c r="AE29" s="335">
        <f>Y29/S29%</f>
        <v>35.652568136967304</v>
      </c>
      <c r="AF29" s="335">
        <f>Z29/T29%</f>
        <v>33.692400403733458</v>
      </c>
    </row>
    <row r="30" spans="1:32" ht="28.5">
      <c r="A30" s="166">
        <v>21</v>
      </c>
      <c r="B30" s="27" t="s">
        <v>272</v>
      </c>
      <c r="C30" s="170">
        <v>503813</v>
      </c>
      <c r="D30" s="170">
        <v>359065</v>
      </c>
      <c r="E30" s="170">
        <v>862878</v>
      </c>
      <c r="F30" s="170">
        <v>246195</v>
      </c>
      <c r="G30" s="170">
        <v>184473</v>
      </c>
      <c r="H30" s="170">
        <v>430668</v>
      </c>
      <c r="I30" s="170">
        <v>55956</v>
      </c>
      <c r="J30" s="170">
        <v>42011</v>
      </c>
      <c r="K30" s="170">
        <v>97967</v>
      </c>
      <c r="L30" s="169">
        <v>302151</v>
      </c>
      <c r="M30" s="169">
        <v>226484</v>
      </c>
      <c r="N30" s="170">
        <v>528635</v>
      </c>
      <c r="O30" s="314">
        <v>59.972847068257472</v>
      </c>
      <c r="P30" s="314">
        <v>63.07604472727779</v>
      </c>
      <c r="Q30" s="314">
        <v>61.264164806612285</v>
      </c>
      <c r="R30" s="170">
        <v>302151</v>
      </c>
      <c r="S30" s="170">
        <v>226484</v>
      </c>
      <c r="T30" s="170">
        <v>528635</v>
      </c>
      <c r="U30" s="170">
        <v>20381</v>
      </c>
      <c r="V30" s="170">
        <v>17423</v>
      </c>
      <c r="W30" s="170">
        <v>37804</v>
      </c>
      <c r="X30" s="170">
        <v>64264</v>
      </c>
      <c r="Y30" s="170">
        <v>51357</v>
      </c>
      <c r="Z30" s="170">
        <v>115621</v>
      </c>
      <c r="AA30" s="314">
        <v>6.7453028452661083</v>
      </c>
      <c r="AB30" s="314">
        <v>7.6928171526465441</v>
      </c>
      <c r="AC30" s="314">
        <v>7.1512480255753017</v>
      </c>
      <c r="AD30" s="314">
        <v>21.268835780785103</v>
      </c>
      <c r="AE30" s="314">
        <v>22.675774006110807</v>
      </c>
      <c r="AF30" s="314">
        <v>21.871612738467938</v>
      </c>
    </row>
    <row r="31" spans="1:32" ht="28.5">
      <c r="A31" s="166">
        <v>22</v>
      </c>
      <c r="B31" s="27" t="s">
        <v>141</v>
      </c>
      <c r="C31" s="170">
        <v>18458</v>
      </c>
      <c r="D31" s="170">
        <v>16485</v>
      </c>
      <c r="E31" s="170">
        <v>34943</v>
      </c>
      <c r="F31" s="170">
        <v>13869</v>
      </c>
      <c r="G31" s="170">
        <v>10856</v>
      </c>
      <c r="H31" s="170">
        <v>24725</v>
      </c>
      <c r="I31" s="170">
        <v>2063</v>
      </c>
      <c r="J31" s="170">
        <v>2194</v>
      </c>
      <c r="K31" s="170">
        <v>4257</v>
      </c>
      <c r="L31" s="167">
        <v>15932</v>
      </c>
      <c r="M31" s="167">
        <v>13050</v>
      </c>
      <c r="N31" s="170">
        <v>28982</v>
      </c>
      <c r="O31" s="171">
        <v>86.314877018095132</v>
      </c>
      <c r="P31" s="171">
        <v>79.162875341219291</v>
      </c>
      <c r="Q31" s="171">
        <v>82.940789285407675</v>
      </c>
      <c r="R31" s="168">
        <f>L31</f>
        <v>15932</v>
      </c>
      <c r="S31" s="168">
        <f>M31</f>
        <v>13050</v>
      </c>
      <c r="T31" s="168">
        <f>N31</f>
        <v>28982</v>
      </c>
      <c r="U31" s="168">
        <v>365</v>
      </c>
      <c r="V31" s="168">
        <v>234</v>
      </c>
      <c r="W31" s="168">
        <f>U31+V31</f>
        <v>599</v>
      </c>
      <c r="X31" s="168">
        <v>3545</v>
      </c>
      <c r="Y31" s="168">
        <v>2690</v>
      </c>
      <c r="Z31" s="168">
        <f>X31+Y31</f>
        <v>6235</v>
      </c>
      <c r="AA31" s="171">
        <f>U31/R31%</f>
        <v>2.2909866934471506</v>
      </c>
      <c r="AB31" s="171">
        <f>V31/S31%</f>
        <v>1.7931034482758621</v>
      </c>
      <c r="AC31" s="171">
        <f>W31/T31%</f>
        <v>2.0668000828100199</v>
      </c>
      <c r="AD31" s="335">
        <f>X31/R31%</f>
        <v>22.250815967863421</v>
      </c>
      <c r="AE31" s="335">
        <f>Y31/S31%</f>
        <v>20.613026819923373</v>
      </c>
      <c r="AF31" s="335">
        <f>Z31/T31%</f>
        <v>21.513353115727003</v>
      </c>
    </row>
    <row r="32" spans="1:32" ht="28.5">
      <c r="A32" s="166">
        <v>23</v>
      </c>
      <c r="B32" s="27" t="s">
        <v>158</v>
      </c>
      <c r="C32" s="170">
        <v>16549</v>
      </c>
      <c r="D32" s="170">
        <v>19573</v>
      </c>
      <c r="E32" s="170">
        <v>36122</v>
      </c>
      <c r="F32" s="170">
        <v>7787</v>
      </c>
      <c r="G32" s="170">
        <v>8957</v>
      </c>
      <c r="H32" s="170">
        <v>16744</v>
      </c>
      <c r="I32" s="176"/>
      <c r="J32" s="176"/>
      <c r="K32" s="176"/>
      <c r="L32" s="169">
        <v>7787</v>
      </c>
      <c r="M32" s="169">
        <v>8957</v>
      </c>
      <c r="N32" s="170">
        <v>16744</v>
      </c>
      <c r="O32" s="314">
        <v>47.054202670856242</v>
      </c>
      <c r="P32" s="314">
        <v>45.762019107954835</v>
      </c>
      <c r="Q32" s="314">
        <v>46.354022479375452</v>
      </c>
      <c r="R32" s="170">
        <v>7787</v>
      </c>
      <c r="S32" s="170">
        <v>8957</v>
      </c>
      <c r="T32" s="170">
        <v>16744</v>
      </c>
      <c r="U32" s="170">
        <v>1218</v>
      </c>
      <c r="V32" s="170">
        <v>1308</v>
      </c>
      <c r="W32" s="170">
        <v>2526</v>
      </c>
      <c r="X32" s="170">
        <v>2053</v>
      </c>
      <c r="Y32" s="170">
        <v>2365</v>
      </c>
      <c r="Z32" s="170">
        <v>4418</v>
      </c>
      <c r="AA32" s="314">
        <v>15.641453704892768</v>
      </c>
      <c r="AB32" s="314">
        <v>14.603103717762645</v>
      </c>
      <c r="AC32" s="314">
        <v>15.086000955566174</v>
      </c>
      <c r="AD32" s="314">
        <v>26.364453576473608</v>
      </c>
      <c r="AE32" s="314">
        <v>26.403929887239034</v>
      </c>
      <c r="AF32" s="314">
        <v>26.385570950788342</v>
      </c>
    </row>
    <row r="33" spans="1:32">
      <c r="A33" s="166">
        <v>24</v>
      </c>
      <c r="B33" s="27" t="s">
        <v>159</v>
      </c>
      <c r="C33" s="170">
        <v>5515</v>
      </c>
      <c r="D33" s="170">
        <v>5660</v>
      </c>
      <c r="E33" s="170">
        <v>11175</v>
      </c>
      <c r="F33" s="170">
        <v>3929</v>
      </c>
      <c r="G33" s="170">
        <v>3787</v>
      </c>
      <c r="H33" s="170">
        <v>7716</v>
      </c>
      <c r="I33" s="170">
        <v>61</v>
      </c>
      <c r="J33" s="170">
        <v>74</v>
      </c>
      <c r="K33" s="170">
        <v>135</v>
      </c>
      <c r="L33" s="169">
        <v>3990</v>
      </c>
      <c r="M33" s="169">
        <v>3861</v>
      </c>
      <c r="N33" s="170">
        <v>7851</v>
      </c>
      <c r="O33" s="314">
        <v>72.348141432456941</v>
      </c>
      <c r="P33" s="314">
        <v>68.215547703180206</v>
      </c>
      <c r="Q33" s="314">
        <v>70.255033557046971</v>
      </c>
      <c r="R33" s="170">
        <v>3990</v>
      </c>
      <c r="S33" s="170">
        <v>3861</v>
      </c>
      <c r="T33" s="170">
        <v>7851</v>
      </c>
      <c r="U33" s="170">
        <v>171</v>
      </c>
      <c r="V33" s="170">
        <v>210</v>
      </c>
      <c r="W33" s="170">
        <v>381</v>
      </c>
      <c r="X33" s="170">
        <v>906</v>
      </c>
      <c r="Y33" s="170">
        <v>788</v>
      </c>
      <c r="Z33" s="170">
        <v>1694</v>
      </c>
      <c r="AA33" s="314">
        <v>4.2857142857142856</v>
      </c>
      <c r="AB33" s="314">
        <v>5.439005439005439</v>
      </c>
      <c r="AC33" s="314">
        <v>4.8528849828047376</v>
      </c>
      <c r="AD33" s="314">
        <v>22.706766917293233</v>
      </c>
      <c r="AE33" s="314">
        <v>20.40922040922041</v>
      </c>
      <c r="AF33" s="314">
        <v>21.576869188638387</v>
      </c>
    </row>
    <row r="34" spans="1:32">
      <c r="A34" s="166">
        <v>25</v>
      </c>
      <c r="B34" s="27" t="s">
        <v>160</v>
      </c>
      <c r="C34" s="170">
        <v>11627</v>
      </c>
      <c r="D34" s="170">
        <v>11834</v>
      </c>
      <c r="E34" s="170">
        <v>23461</v>
      </c>
      <c r="F34" s="170">
        <v>8269</v>
      </c>
      <c r="G34" s="170">
        <v>8046</v>
      </c>
      <c r="H34" s="170">
        <v>16315</v>
      </c>
      <c r="I34" s="176"/>
      <c r="J34" s="176"/>
      <c r="K34" s="176"/>
      <c r="L34" s="169">
        <v>8269</v>
      </c>
      <c r="M34" s="169">
        <v>8046</v>
      </c>
      <c r="N34" s="170">
        <v>16315</v>
      </c>
      <c r="O34" s="314">
        <v>71.118947277887685</v>
      </c>
      <c r="P34" s="314">
        <v>67.990535744465092</v>
      </c>
      <c r="Q34" s="314">
        <v>69.540940283875358</v>
      </c>
      <c r="R34" s="170">
        <v>8269</v>
      </c>
      <c r="S34" s="170">
        <v>8046</v>
      </c>
      <c r="T34" s="170">
        <v>16315</v>
      </c>
      <c r="U34" s="170">
        <v>273</v>
      </c>
      <c r="V34" s="170">
        <v>313</v>
      </c>
      <c r="W34" s="170">
        <v>586</v>
      </c>
      <c r="X34" s="170">
        <v>1170</v>
      </c>
      <c r="Y34" s="170">
        <v>1160</v>
      </c>
      <c r="Z34" s="170">
        <v>2330</v>
      </c>
      <c r="AA34" s="314">
        <v>3.3014874833716292</v>
      </c>
      <c r="AB34" s="314">
        <v>3.8901317424807362</v>
      </c>
      <c r="AC34" s="314">
        <v>3.5917866993564203</v>
      </c>
      <c r="AD34" s="314">
        <v>14.149232071592696</v>
      </c>
      <c r="AE34" s="314">
        <v>14.417101665423814</v>
      </c>
      <c r="AF34" s="314">
        <v>14.281336193686791</v>
      </c>
    </row>
    <row r="35" spans="1:32" ht="28.5">
      <c r="A35" s="166">
        <v>26</v>
      </c>
      <c r="B35" s="27" t="s">
        <v>300</v>
      </c>
      <c r="C35" s="170">
        <v>244401</v>
      </c>
      <c r="D35" s="170">
        <v>230944</v>
      </c>
      <c r="E35" s="170">
        <v>475345</v>
      </c>
      <c r="F35" s="170">
        <v>153179</v>
      </c>
      <c r="G35" s="170">
        <v>141319</v>
      </c>
      <c r="H35" s="170">
        <v>294498</v>
      </c>
      <c r="I35" s="170">
        <v>10074</v>
      </c>
      <c r="J35" s="170">
        <v>8114</v>
      </c>
      <c r="K35" s="170">
        <v>18188</v>
      </c>
      <c r="L35" s="169">
        <v>163253</v>
      </c>
      <c r="M35" s="169">
        <v>149433</v>
      </c>
      <c r="N35" s="170">
        <v>312686</v>
      </c>
      <c r="O35" s="314">
        <v>66.797189864198586</v>
      </c>
      <c r="P35" s="314">
        <v>64.705296522100596</v>
      </c>
      <c r="Q35" s="314">
        <v>65.780853906110309</v>
      </c>
      <c r="R35" s="170">
        <v>163253</v>
      </c>
      <c r="S35" s="170">
        <v>149433</v>
      </c>
      <c r="T35" s="170">
        <v>312686</v>
      </c>
      <c r="U35" s="176"/>
      <c r="V35" s="176"/>
      <c r="W35" s="176"/>
      <c r="X35" s="170">
        <v>30371</v>
      </c>
      <c r="Y35" s="170">
        <v>24295</v>
      </c>
      <c r="Z35" s="170">
        <v>54666</v>
      </c>
      <c r="AA35" s="215"/>
      <c r="AB35" s="215"/>
      <c r="AC35" s="215"/>
      <c r="AD35" s="314">
        <v>18.603639749346108</v>
      </c>
      <c r="AE35" s="314">
        <v>16.258122369222328</v>
      </c>
      <c r="AF35" s="314">
        <v>17.482714288455512</v>
      </c>
    </row>
    <row r="36" spans="1:32">
      <c r="A36" s="166">
        <v>27</v>
      </c>
      <c r="B36" s="27" t="s">
        <v>162</v>
      </c>
      <c r="C36" s="170">
        <v>187544</v>
      </c>
      <c r="D36" s="170">
        <v>160075</v>
      </c>
      <c r="E36" s="170">
        <v>347619</v>
      </c>
      <c r="F36" s="170">
        <v>118620</v>
      </c>
      <c r="G36" s="170">
        <v>113365</v>
      </c>
      <c r="H36" s="170">
        <v>231985</v>
      </c>
      <c r="I36" s="170">
        <v>23024</v>
      </c>
      <c r="J36" s="170">
        <v>14710</v>
      </c>
      <c r="K36" s="170">
        <v>37734</v>
      </c>
      <c r="L36" s="169">
        <v>141644</v>
      </c>
      <c r="M36" s="169">
        <v>128075</v>
      </c>
      <c r="N36" s="170">
        <v>269719</v>
      </c>
      <c r="O36" s="314">
        <v>75.525743292240747</v>
      </c>
      <c r="P36" s="314">
        <v>80.009370607527714</v>
      </c>
      <c r="Q36" s="314">
        <v>77.590407889096966</v>
      </c>
      <c r="R36" s="170">
        <v>141644</v>
      </c>
      <c r="S36" s="170">
        <v>128075</v>
      </c>
      <c r="T36" s="170">
        <v>269719</v>
      </c>
      <c r="U36" s="170">
        <v>10665</v>
      </c>
      <c r="V36" s="170">
        <v>21045</v>
      </c>
      <c r="W36" s="170">
        <v>31710</v>
      </c>
      <c r="X36" s="170">
        <v>44766</v>
      </c>
      <c r="Y36" s="170">
        <v>48652</v>
      </c>
      <c r="Z36" s="170">
        <v>93418</v>
      </c>
      <c r="AA36" s="314">
        <v>7.5294400045183698</v>
      </c>
      <c r="AB36" s="314">
        <v>16.431778254928751</v>
      </c>
      <c r="AC36" s="314">
        <v>11.756680100400787</v>
      </c>
      <c r="AD36" s="314">
        <v>31.604586145547991</v>
      </c>
      <c r="AE36" s="314">
        <v>37.987116923677533</v>
      </c>
      <c r="AF36" s="314">
        <v>34.635305632899424</v>
      </c>
    </row>
    <row r="37" spans="1:32" ht="28.5">
      <c r="A37" s="166">
        <v>28</v>
      </c>
      <c r="B37" s="27" t="s">
        <v>212</v>
      </c>
      <c r="C37" s="170">
        <v>597729</v>
      </c>
      <c r="D37" s="170">
        <v>380788</v>
      </c>
      <c r="E37" s="170">
        <v>978517</v>
      </c>
      <c r="F37" s="170">
        <v>440985</v>
      </c>
      <c r="G37" s="170">
        <v>280239</v>
      </c>
      <c r="H37" s="170">
        <v>721224</v>
      </c>
      <c r="I37" s="170">
        <v>17265</v>
      </c>
      <c r="J37" s="170">
        <v>12630</v>
      </c>
      <c r="K37" s="170">
        <v>29895</v>
      </c>
      <c r="L37" s="169">
        <v>458250</v>
      </c>
      <c r="M37" s="169">
        <v>292869</v>
      </c>
      <c r="N37" s="170">
        <v>751119</v>
      </c>
      <c r="O37" s="314">
        <v>76.665177697585364</v>
      </c>
      <c r="P37" s="314">
        <v>76.911299725831697</v>
      </c>
      <c r="Q37" s="314">
        <v>76.76095560935579</v>
      </c>
      <c r="R37" s="170">
        <v>458250</v>
      </c>
      <c r="S37" s="170">
        <v>292869</v>
      </c>
      <c r="T37" s="170">
        <v>751119</v>
      </c>
      <c r="U37" s="170">
        <v>23285</v>
      </c>
      <c r="V37" s="170">
        <v>14091</v>
      </c>
      <c r="W37" s="170">
        <v>37376</v>
      </c>
      <c r="X37" s="170">
        <v>79017</v>
      </c>
      <c r="Y37" s="170">
        <v>50240</v>
      </c>
      <c r="Z37" s="170">
        <v>129257</v>
      </c>
      <c r="AA37" s="314">
        <v>5.0812875068194217</v>
      </c>
      <c r="AB37" s="314">
        <v>4.8113661739549078</v>
      </c>
      <c r="AC37" s="314">
        <v>4.9760424113888746</v>
      </c>
      <c r="AD37" s="314">
        <v>17.243207855973814</v>
      </c>
      <c r="AE37" s="314">
        <v>17.1544274061099</v>
      </c>
      <c r="AF37" s="314">
        <v>17.208591448225913</v>
      </c>
    </row>
    <row r="38" spans="1:32" ht="28.5">
      <c r="A38" s="166">
        <v>29</v>
      </c>
      <c r="B38" s="27" t="s">
        <v>274</v>
      </c>
      <c r="C38" s="170">
        <v>475279</v>
      </c>
      <c r="D38" s="170">
        <v>455365</v>
      </c>
      <c r="E38" s="170">
        <v>930644</v>
      </c>
      <c r="F38" s="170">
        <v>343523</v>
      </c>
      <c r="G38" s="170">
        <v>381612</v>
      </c>
      <c r="H38" s="170">
        <v>725135</v>
      </c>
      <c r="I38" s="170">
        <v>23856</v>
      </c>
      <c r="J38" s="170">
        <v>16964</v>
      </c>
      <c r="K38" s="170">
        <v>40820</v>
      </c>
      <c r="L38" s="167">
        <v>367379</v>
      </c>
      <c r="M38" s="167">
        <v>398576</v>
      </c>
      <c r="N38" s="170">
        <v>765955</v>
      </c>
      <c r="O38" s="171">
        <v>77.297545231327277</v>
      </c>
      <c r="P38" s="171">
        <v>87.528905383593383</v>
      </c>
      <c r="Q38" s="171">
        <v>82.303759547152296</v>
      </c>
      <c r="R38" s="168">
        <f>L38</f>
        <v>367379</v>
      </c>
      <c r="S38" s="168">
        <f>M38</f>
        <v>398576</v>
      </c>
      <c r="T38" s="168">
        <f>N38</f>
        <v>765955</v>
      </c>
      <c r="U38" s="173"/>
      <c r="V38" s="173"/>
      <c r="W38" s="173"/>
      <c r="X38" s="173"/>
      <c r="Y38" s="173"/>
      <c r="Z38" s="173"/>
      <c r="AA38" s="174"/>
      <c r="AB38" s="174"/>
      <c r="AC38" s="174"/>
      <c r="AD38" s="175"/>
      <c r="AE38" s="175"/>
      <c r="AF38" s="175"/>
    </row>
    <row r="39" spans="1:32" ht="28.5">
      <c r="A39" s="166">
        <v>30</v>
      </c>
      <c r="B39" s="27" t="s">
        <v>301</v>
      </c>
      <c r="C39" s="170">
        <v>23179</v>
      </c>
      <c r="D39" s="170">
        <v>20333</v>
      </c>
      <c r="E39" s="170">
        <v>43512</v>
      </c>
      <c r="F39" s="170">
        <v>12153</v>
      </c>
      <c r="G39" s="170">
        <v>9791</v>
      </c>
      <c r="H39" s="170">
        <v>21944</v>
      </c>
      <c r="I39" s="176"/>
      <c r="J39" s="176"/>
      <c r="K39" s="176"/>
      <c r="L39" s="169">
        <v>12153</v>
      </c>
      <c r="M39" s="169">
        <v>9791</v>
      </c>
      <c r="N39" s="170">
        <v>21944</v>
      </c>
      <c r="O39" s="314">
        <v>52.431079856766907</v>
      </c>
      <c r="P39" s="314">
        <v>48.153248413908422</v>
      </c>
      <c r="Q39" s="314">
        <v>50.432064717778999</v>
      </c>
      <c r="R39" s="170">
        <v>12153</v>
      </c>
      <c r="S39" s="170">
        <v>9791</v>
      </c>
      <c r="T39" s="170">
        <v>21944</v>
      </c>
      <c r="U39" s="176"/>
      <c r="V39" s="176"/>
      <c r="W39" s="176"/>
      <c r="X39" s="170">
        <v>1243</v>
      </c>
      <c r="Y39" s="170">
        <v>798</v>
      </c>
      <c r="Z39" s="170">
        <v>2041</v>
      </c>
      <c r="AA39" s="215"/>
      <c r="AB39" s="215"/>
      <c r="AC39" s="215"/>
      <c r="AD39" s="314">
        <v>10.22792726075866</v>
      </c>
      <c r="AE39" s="314">
        <v>8.150342150954959</v>
      </c>
      <c r="AF39" s="314">
        <v>9.3009478672985786</v>
      </c>
    </row>
    <row r="40" spans="1:32" ht="27">
      <c r="A40" s="166">
        <v>31</v>
      </c>
      <c r="B40" s="27" t="s">
        <v>306</v>
      </c>
      <c r="C40" s="170">
        <v>1922649</v>
      </c>
      <c r="D40" s="170">
        <v>1382924</v>
      </c>
      <c r="E40" s="170">
        <v>3305573</v>
      </c>
      <c r="F40" s="170">
        <v>1267375</v>
      </c>
      <c r="G40" s="170">
        <v>1072602</v>
      </c>
      <c r="H40" s="170">
        <v>2339977</v>
      </c>
      <c r="I40" s="170">
        <v>31662</v>
      </c>
      <c r="J40" s="170">
        <v>14062</v>
      </c>
      <c r="K40" s="170">
        <v>45724</v>
      </c>
      <c r="L40" s="169">
        <v>1299037</v>
      </c>
      <c r="M40" s="169">
        <v>1086664</v>
      </c>
      <c r="N40" s="170">
        <v>2385701</v>
      </c>
      <c r="O40" s="314">
        <v>67.564958554577572</v>
      </c>
      <c r="P40" s="314">
        <v>78.577275396189521</v>
      </c>
      <c r="Q40" s="314">
        <v>72.172086352351016</v>
      </c>
      <c r="R40" s="170">
        <v>1299037</v>
      </c>
      <c r="S40" s="170">
        <v>1086664</v>
      </c>
      <c r="T40" s="170">
        <v>2385701</v>
      </c>
      <c r="U40" s="176"/>
      <c r="V40" s="176"/>
      <c r="W40" s="176"/>
      <c r="X40" s="176"/>
      <c r="Y40" s="176"/>
      <c r="Z40" s="176"/>
      <c r="AA40" s="215"/>
      <c r="AB40" s="215"/>
      <c r="AC40" s="215">
        <v>0</v>
      </c>
      <c r="AD40" s="215"/>
      <c r="AE40" s="215"/>
      <c r="AF40" s="215">
        <v>0</v>
      </c>
    </row>
    <row r="41" spans="1:32" ht="28.5">
      <c r="A41" s="166">
        <v>32</v>
      </c>
      <c r="B41" s="27" t="s">
        <v>276</v>
      </c>
      <c r="C41" s="170">
        <v>94951</v>
      </c>
      <c r="D41" s="170">
        <v>80025</v>
      </c>
      <c r="E41" s="170">
        <v>174976</v>
      </c>
      <c r="F41" s="170">
        <v>59398</v>
      </c>
      <c r="G41" s="170">
        <v>59845</v>
      </c>
      <c r="H41" s="170">
        <v>119243</v>
      </c>
      <c r="I41" s="176"/>
      <c r="J41" s="176"/>
      <c r="K41" s="176"/>
      <c r="L41" s="169">
        <v>59398</v>
      </c>
      <c r="M41" s="169">
        <v>59845</v>
      </c>
      <c r="N41" s="170">
        <v>119243</v>
      </c>
      <c r="O41" s="314">
        <v>62.556476498404443</v>
      </c>
      <c r="P41" s="314">
        <v>74.782880349890661</v>
      </c>
      <c r="Q41" s="314">
        <v>68.148203182150695</v>
      </c>
      <c r="R41" s="170">
        <v>59398</v>
      </c>
      <c r="S41" s="170">
        <v>59845</v>
      </c>
      <c r="T41" s="170">
        <v>119243</v>
      </c>
      <c r="U41" s="170">
        <v>1469</v>
      </c>
      <c r="V41" s="170">
        <v>1024</v>
      </c>
      <c r="W41" s="170">
        <v>2493</v>
      </c>
      <c r="X41" s="170">
        <v>8327</v>
      </c>
      <c r="Y41" s="170">
        <v>10706</v>
      </c>
      <c r="Z41" s="170">
        <v>19033</v>
      </c>
      <c r="AA41" s="314">
        <v>2.47314724401495</v>
      </c>
      <c r="AB41" s="314">
        <v>1.7110869746846018</v>
      </c>
      <c r="AC41" s="314">
        <v>2.0906887616044547</v>
      </c>
      <c r="AD41" s="314">
        <v>14.018990538401965</v>
      </c>
      <c r="AE41" s="314">
        <v>17.889547998997408</v>
      </c>
      <c r="AF41" s="314">
        <v>15.96152394689835</v>
      </c>
    </row>
    <row r="42" spans="1:32" ht="28.5">
      <c r="A42" s="166">
        <v>33</v>
      </c>
      <c r="B42" s="27" t="s">
        <v>172</v>
      </c>
      <c r="C42" s="170">
        <v>465143</v>
      </c>
      <c r="D42" s="170">
        <v>489024</v>
      </c>
      <c r="E42" s="170">
        <v>954167</v>
      </c>
      <c r="F42" s="170">
        <v>386056</v>
      </c>
      <c r="G42" s="170">
        <v>361819</v>
      </c>
      <c r="H42" s="170">
        <v>747875</v>
      </c>
      <c r="I42" s="170">
        <v>17539</v>
      </c>
      <c r="J42" s="170">
        <v>19088</v>
      </c>
      <c r="K42" s="170">
        <v>36627</v>
      </c>
      <c r="L42" s="169">
        <v>403595</v>
      </c>
      <c r="M42" s="169">
        <v>380907</v>
      </c>
      <c r="N42" s="170">
        <v>784502</v>
      </c>
      <c r="O42" s="314">
        <v>86.767940181836551</v>
      </c>
      <c r="P42" s="314">
        <v>77.891269140164894</v>
      </c>
      <c r="Q42" s="314">
        <v>82.21852149571302</v>
      </c>
      <c r="R42" s="170">
        <v>403595</v>
      </c>
      <c r="S42" s="170">
        <v>380907</v>
      </c>
      <c r="T42" s="170">
        <v>784502</v>
      </c>
      <c r="U42" s="176"/>
      <c r="V42" s="176"/>
      <c r="W42" s="176"/>
      <c r="X42" s="176"/>
      <c r="Y42" s="176"/>
      <c r="Z42" s="176"/>
      <c r="AA42" s="215"/>
      <c r="AB42" s="215"/>
      <c r="AC42" s="215"/>
      <c r="AD42" s="215"/>
      <c r="AE42" s="215"/>
      <c r="AF42" s="215"/>
    </row>
    <row r="43" spans="1:32" ht="28.5">
      <c r="A43" s="267">
        <v>34</v>
      </c>
      <c r="B43" s="80" t="s">
        <v>277</v>
      </c>
      <c r="C43" s="189">
        <v>17188</v>
      </c>
      <c r="D43" s="189">
        <v>29456</v>
      </c>
      <c r="E43" s="189">
        <v>46644</v>
      </c>
      <c r="F43" s="189">
        <v>14178</v>
      </c>
      <c r="G43" s="189">
        <v>20964</v>
      </c>
      <c r="H43" s="189">
        <v>35142</v>
      </c>
      <c r="I43" s="191"/>
      <c r="J43" s="191"/>
      <c r="K43" s="191"/>
      <c r="L43" s="188">
        <v>14178</v>
      </c>
      <c r="M43" s="188">
        <v>20964</v>
      </c>
      <c r="N43" s="189">
        <v>35142</v>
      </c>
      <c r="O43" s="321">
        <v>82.487782173609489</v>
      </c>
      <c r="P43" s="321">
        <v>71.170559478544277</v>
      </c>
      <c r="Q43" s="321">
        <v>75.340879855930027</v>
      </c>
      <c r="R43" s="189">
        <v>14178</v>
      </c>
      <c r="S43" s="189">
        <v>20964</v>
      </c>
      <c r="T43" s="189">
        <v>35142</v>
      </c>
      <c r="U43" s="189">
        <v>470</v>
      </c>
      <c r="V43" s="189">
        <v>372</v>
      </c>
      <c r="W43" s="189">
        <v>842</v>
      </c>
      <c r="X43" s="189">
        <v>1971</v>
      </c>
      <c r="Y43" s="189">
        <v>1594</v>
      </c>
      <c r="Z43" s="189">
        <v>3565</v>
      </c>
      <c r="AA43" s="321">
        <v>3.3149950627733107</v>
      </c>
      <c r="AB43" s="321">
        <v>1.7744705208929594</v>
      </c>
      <c r="AC43" s="321">
        <v>2.3959933982129646</v>
      </c>
      <c r="AD43" s="321">
        <v>13.901819720694032</v>
      </c>
      <c r="AE43" s="321">
        <v>7.6035107803854229</v>
      </c>
      <c r="AF43" s="321">
        <v>10.144556371293609</v>
      </c>
    </row>
    <row r="44" spans="1:32">
      <c r="A44" s="483" t="s">
        <v>256</v>
      </c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</row>
    <row r="45" spans="1:32" ht="28.5">
      <c r="A45" s="166">
        <v>1</v>
      </c>
      <c r="B45" s="43" t="s">
        <v>249</v>
      </c>
      <c r="C45" s="167">
        <v>122233</v>
      </c>
      <c r="D45" s="167">
        <v>54799</v>
      </c>
      <c r="E45" s="168">
        <v>177032</v>
      </c>
      <c r="F45" s="167">
        <v>87159</v>
      </c>
      <c r="G45" s="167">
        <v>39853</v>
      </c>
      <c r="H45" s="168">
        <v>127012</v>
      </c>
      <c r="I45" s="167"/>
      <c r="J45" s="167"/>
      <c r="K45" s="168"/>
      <c r="L45" s="167">
        <v>87159</v>
      </c>
      <c r="M45" s="167">
        <v>39853</v>
      </c>
      <c r="N45" s="168">
        <v>127012</v>
      </c>
      <c r="O45" s="167">
        <f>+L45/C45%</f>
        <v>71.305621231582307</v>
      </c>
      <c r="P45" s="167">
        <f t="shared" ref="P45:Q45" si="0">+M45/D45%</f>
        <v>72.725779667512185</v>
      </c>
      <c r="Q45" s="167">
        <f t="shared" si="0"/>
        <v>71.745221202946368</v>
      </c>
      <c r="R45" s="172">
        <v>87159</v>
      </c>
      <c r="S45" s="172">
        <v>39853</v>
      </c>
      <c r="T45" s="172">
        <v>127012</v>
      </c>
      <c r="U45" s="172">
        <v>327</v>
      </c>
      <c r="V45" s="172">
        <v>239</v>
      </c>
      <c r="W45" s="172">
        <v>566</v>
      </c>
      <c r="X45" s="172">
        <v>11768</v>
      </c>
      <c r="Y45" s="172">
        <v>5599</v>
      </c>
      <c r="Z45" s="172">
        <v>17367</v>
      </c>
      <c r="AA45" s="177">
        <v>0.37517640174852857</v>
      </c>
      <c r="AB45" s="177">
        <v>0.59970391187614491</v>
      </c>
      <c r="AC45" s="177">
        <v>0.44562718483292924</v>
      </c>
      <c r="AD45" s="177">
        <v>13.501761149164171</v>
      </c>
      <c r="AE45" s="177">
        <v>14.049130554788849</v>
      </c>
      <c r="AF45" s="177">
        <v>13.673511164299438</v>
      </c>
    </row>
    <row r="46" spans="1:32">
      <c r="A46" s="266">
        <v>2</v>
      </c>
      <c r="B46" s="336" t="s">
        <v>250</v>
      </c>
      <c r="C46" s="240">
        <v>62866</v>
      </c>
      <c r="D46" s="240">
        <v>29357</v>
      </c>
      <c r="E46" s="32">
        <v>92223</v>
      </c>
      <c r="F46" s="240">
        <v>46500</v>
      </c>
      <c r="G46" s="240">
        <v>23080</v>
      </c>
      <c r="H46" s="32">
        <v>69580</v>
      </c>
      <c r="I46" s="82"/>
      <c r="J46" s="82"/>
      <c r="K46" s="32"/>
      <c r="L46" s="240">
        <v>46500</v>
      </c>
      <c r="M46" s="240">
        <v>23080</v>
      </c>
      <c r="N46" s="32">
        <v>69580</v>
      </c>
      <c r="O46" s="167">
        <f t="shared" ref="O46:Q51" si="1">+L46/C46%</f>
        <v>73.966850125664109</v>
      </c>
      <c r="P46" s="167">
        <f t="shared" ref="P46:P50" si="2">+M46/D46%</f>
        <v>78.618387437408458</v>
      </c>
      <c r="Q46" s="167">
        <f t="shared" ref="Q46:Q50" si="3">+N46/E46%</f>
        <v>75.447556466391248</v>
      </c>
      <c r="R46" s="32">
        <v>46500</v>
      </c>
      <c r="S46" s="32">
        <v>23080</v>
      </c>
      <c r="T46" s="32">
        <v>69580</v>
      </c>
      <c r="U46" s="32">
        <v>108</v>
      </c>
      <c r="V46" s="32">
        <v>83</v>
      </c>
      <c r="W46" s="32">
        <v>191</v>
      </c>
      <c r="X46" s="32">
        <v>6522</v>
      </c>
      <c r="Y46" s="32">
        <v>4555</v>
      </c>
      <c r="Z46" s="32">
        <v>11077</v>
      </c>
      <c r="AA46" s="181">
        <v>0.23225806451612904</v>
      </c>
      <c r="AB46" s="181">
        <v>0.35961871750433272</v>
      </c>
      <c r="AC46" s="181">
        <v>0.27450416786432885</v>
      </c>
      <c r="AD46" s="259">
        <v>14.025806451612903</v>
      </c>
      <c r="AE46" s="259">
        <v>19.735701906412476</v>
      </c>
      <c r="AF46" s="259">
        <v>15.919804541534925</v>
      </c>
    </row>
    <row r="47" spans="1:32">
      <c r="A47" s="166">
        <v>3</v>
      </c>
      <c r="B47" s="45" t="s">
        <v>251</v>
      </c>
      <c r="C47" s="167">
        <v>28219</v>
      </c>
      <c r="D47" s="167">
        <v>34996</v>
      </c>
      <c r="E47" s="168">
        <v>63215</v>
      </c>
      <c r="F47" s="167">
        <v>13369</v>
      </c>
      <c r="G47" s="167">
        <v>14907</v>
      </c>
      <c r="H47" s="168">
        <v>28276</v>
      </c>
      <c r="I47" s="167"/>
      <c r="J47" s="167"/>
      <c r="K47" s="168"/>
      <c r="L47" s="167">
        <v>13369</v>
      </c>
      <c r="M47" s="167">
        <v>14907</v>
      </c>
      <c r="N47" s="168">
        <v>28276</v>
      </c>
      <c r="O47" s="167">
        <f t="shared" si="1"/>
        <v>47.375881498281302</v>
      </c>
      <c r="P47" s="167">
        <f t="shared" si="2"/>
        <v>42.596296719625101</v>
      </c>
      <c r="Q47" s="167">
        <f t="shared" si="3"/>
        <v>44.72989005773946</v>
      </c>
      <c r="R47" s="172">
        <v>13369</v>
      </c>
      <c r="S47" s="172">
        <v>14907</v>
      </c>
      <c r="T47" s="172">
        <v>28276</v>
      </c>
      <c r="U47" s="172">
        <v>9</v>
      </c>
      <c r="V47" s="172">
        <v>8</v>
      </c>
      <c r="W47" s="172">
        <v>17</v>
      </c>
      <c r="X47" s="172">
        <v>469</v>
      </c>
      <c r="Y47" s="172">
        <v>411</v>
      </c>
      <c r="Z47" s="172">
        <v>880</v>
      </c>
      <c r="AA47" s="177">
        <v>6.7319919216096938E-2</v>
      </c>
      <c r="AB47" s="177">
        <v>5.3666062923458782E-2</v>
      </c>
      <c r="AC47" s="177">
        <v>6.0121657943131984E-2</v>
      </c>
      <c r="AD47" s="177">
        <v>3.5081157902610518</v>
      </c>
      <c r="AE47" s="177">
        <v>2.757093982692695</v>
      </c>
      <c r="AF47" s="177">
        <v>3.1121799405856558</v>
      </c>
    </row>
    <row r="48" spans="1:32" ht="28.5">
      <c r="A48" s="166">
        <v>4</v>
      </c>
      <c r="B48" s="45" t="s">
        <v>252</v>
      </c>
      <c r="C48" s="167">
        <v>44594</v>
      </c>
      <c r="D48" s="167">
        <v>31126</v>
      </c>
      <c r="E48" s="168">
        <v>75720</v>
      </c>
      <c r="F48" s="167">
        <v>21962</v>
      </c>
      <c r="G48" s="167">
        <v>15261</v>
      </c>
      <c r="H48" s="168">
        <v>37223</v>
      </c>
      <c r="I48" s="167"/>
      <c r="J48" s="167"/>
      <c r="K48" s="168"/>
      <c r="L48" s="167">
        <v>21962</v>
      </c>
      <c r="M48" s="167">
        <v>15261</v>
      </c>
      <c r="N48" s="168">
        <v>37223</v>
      </c>
      <c r="O48" s="167">
        <f t="shared" si="1"/>
        <v>49.248777862492709</v>
      </c>
      <c r="P48" s="167">
        <f t="shared" si="2"/>
        <v>49.029750048191225</v>
      </c>
      <c r="Q48" s="167">
        <f t="shared" si="3"/>
        <v>49.158742736397251</v>
      </c>
      <c r="R48" s="172">
        <v>21962</v>
      </c>
      <c r="S48" s="172">
        <v>15261</v>
      </c>
      <c r="T48" s="172">
        <v>37223</v>
      </c>
      <c r="U48" s="173"/>
      <c r="V48" s="173"/>
      <c r="W48" s="173">
        <v>0</v>
      </c>
      <c r="X48" s="172">
        <v>2206</v>
      </c>
      <c r="Y48" s="172">
        <v>1861</v>
      </c>
      <c r="Z48" s="172">
        <v>4067</v>
      </c>
      <c r="AA48" s="174">
        <v>0</v>
      </c>
      <c r="AB48" s="174">
        <v>0</v>
      </c>
      <c r="AC48" s="174">
        <v>0</v>
      </c>
      <c r="AD48" s="177">
        <v>10.044622529824242</v>
      </c>
      <c r="AE48" s="177">
        <v>12.194482668239301</v>
      </c>
      <c r="AF48" s="177">
        <v>10.926040351395642</v>
      </c>
    </row>
    <row r="49" spans="1:32" ht="28.5">
      <c r="A49" s="166">
        <v>5</v>
      </c>
      <c r="B49" s="43" t="s">
        <v>253</v>
      </c>
      <c r="C49" s="167">
        <v>30545</v>
      </c>
      <c r="D49" s="167">
        <v>28715</v>
      </c>
      <c r="E49" s="168">
        <v>59260</v>
      </c>
      <c r="F49" s="167">
        <v>9744</v>
      </c>
      <c r="G49" s="167">
        <v>10609</v>
      </c>
      <c r="H49" s="168">
        <v>20353</v>
      </c>
      <c r="I49" s="167"/>
      <c r="J49" s="167"/>
      <c r="K49" s="168"/>
      <c r="L49" s="167">
        <v>9744</v>
      </c>
      <c r="M49" s="167">
        <v>10609</v>
      </c>
      <c r="N49" s="168">
        <v>20353</v>
      </c>
      <c r="O49" s="167">
        <f t="shared" si="1"/>
        <v>31.900474709445081</v>
      </c>
      <c r="P49" s="167">
        <f t="shared" si="2"/>
        <v>36.945847118230894</v>
      </c>
      <c r="Q49" s="167">
        <f t="shared" si="3"/>
        <v>34.345258184272694</v>
      </c>
      <c r="R49" s="172">
        <v>9744</v>
      </c>
      <c r="S49" s="172">
        <v>10609</v>
      </c>
      <c r="T49" s="172">
        <v>20353</v>
      </c>
      <c r="U49" s="173"/>
      <c r="V49" s="173"/>
      <c r="W49" s="173">
        <v>0</v>
      </c>
      <c r="X49" s="173"/>
      <c r="Y49" s="173"/>
      <c r="Z49" s="173">
        <v>0</v>
      </c>
      <c r="AA49" s="174">
        <v>0</v>
      </c>
      <c r="AB49" s="174">
        <v>0</v>
      </c>
      <c r="AC49" s="174">
        <v>0</v>
      </c>
      <c r="AD49" s="174">
        <v>0</v>
      </c>
      <c r="AE49" s="174">
        <v>0</v>
      </c>
      <c r="AF49" s="174">
        <v>0</v>
      </c>
    </row>
    <row r="50" spans="1:32" ht="28.5">
      <c r="A50" s="267">
        <v>6</v>
      </c>
      <c r="B50" s="44" t="s">
        <v>296</v>
      </c>
      <c r="C50" s="208">
        <v>30439</v>
      </c>
      <c r="D50" s="208">
        <v>40073</v>
      </c>
      <c r="E50" s="168">
        <v>70512</v>
      </c>
      <c r="F50" s="208">
        <v>8952</v>
      </c>
      <c r="G50" s="208">
        <v>13585</v>
      </c>
      <c r="H50" s="209">
        <v>22537</v>
      </c>
      <c r="I50" s="208"/>
      <c r="J50" s="208"/>
      <c r="K50" s="209"/>
      <c r="L50" s="208">
        <v>8952</v>
      </c>
      <c r="M50" s="208">
        <v>13585</v>
      </c>
      <c r="N50" s="209">
        <v>22537</v>
      </c>
      <c r="O50" s="167">
        <f t="shared" si="1"/>
        <v>29.409638950031212</v>
      </c>
      <c r="P50" s="167">
        <f t="shared" si="2"/>
        <v>33.900631347790281</v>
      </c>
      <c r="Q50" s="167">
        <f t="shared" si="3"/>
        <v>31.961935557068301</v>
      </c>
      <c r="R50" s="193">
        <v>8952</v>
      </c>
      <c r="S50" s="193">
        <v>13585</v>
      </c>
      <c r="T50" s="193">
        <v>22537</v>
      </c>
      <c r="U50" s="337"/>
      <c r="V50" s="337"/>
      <c r="W50" s="337">
        <v>0</v>
      </c>
      <c r="X50" s="338">
        <v>809</v>
      </c>
      <c r="Y50" s="338">
        <v>1289</v>
      </c>
      <c r="Z50" s="338">
        <v>2098</v>
      </c>
      <c r="AA50" s="339">
        <v>0</v>
      </c>
      <c r="AB50" s="339">
        <v>0</v>
      </c>
      <c r="AC50" s="339">
        <v>0</v>
      </c>
      <c r="AD50" s="340">
        <v>9.0370866845397675</v>
      </c>
      <c r="AE50" s="340">
        <v>9.4884063305115944</v>
      </c>
      <c r="AF50" s="340">
        <v>9.3091360873230684</v>
      </c>
    </row>
    <row r="51" spans="1:32">
      <c r="A51" s="482" t="s">
        <v>3</v>
      </c>
      <c r="B51" s="482"/>
      <c r="C51" s="217">
        <f>SUM(C8:C50)</f>
        <v>10118563</v>
      </c>
      <c r="D51" s="217">
        <f t="shared" ref="D51:N51" si="4">SUM(D8:D50)</f>
        <v>8037937</v>
      </c>
      <c r="E51" s="217">
        <f t="shared" si="4"/>
        <v>18161271</v>
      </c>
      <c r="F51" s="217">
        <f t="shared" si="4"/>
        <v>7026164</v>
      </c>
      <c r="G51" s="217">
        <f t="shared" si="4"/>
        <v>5880692</v>
      </c>
      <c r="H51" s="217">
        <f t="shared" si="4"/>
        <v>12909068</v>
      </c>
      <c r="I51" s="217">
        <f t="shared" si="4"/>
        <v>345082</v>
      </c>
      <c r="J51" s="217">
        <f t="shared" si="4"/>
        <v>250456</v>
      </c>
      <c r="K51" s="217">
        <f t="shared" si="4"/>
        <v>595538</v>
      </c>
      <c r="L51" s="217">
        <f t="shared" si="4"/>
        <v>7371246</v>
      </c>
      <c r="M51" s="217">
        <f t="shared" si="4"/>
        <v>6131148</v>
      </c>
      <c r="N51" s="217">
        <f t="shared" si="4"/>
        <v>13504606</v>
      </c>
      <c r="O51" s="218">
        <f t="shared" si="1"/>
        <v>72.848743443115382</v>
      </c>
      <c r="P51" s="218">
        <f t="shared" si="1"/>
        <v>76.277631934661841</v>
      </c>
      <c r="Q51" s="218">
        <f t="shared" si="1"/>
        <v>74.359366147886902</v>
      </c>
      <c r="R51" s="217">
        <f t="shared" ref="R51:Z51" si="5">SUM(R8:R50)</f>
        <v>7371246</v>
      </c>
      <c r="S51" s="217">
        <f t="shared" si="5"/>
        <v>6131148</v>
      </c>
      <c r="T51" s="217">
        <f t="shared" si="5"/>
        <v>13504606</v>
      </c>
      <c r="U51" s="217">
        <f t="shared" si="5"/>
        <v>512898</v>
      </c>
      <c r="V51" s="217">
        <f t="shared" si="5"/>
        <v>503748</v>
      </c>
      <c r="W51" s="217">
        <f t="shared" si="5"/>
        <v>1016646</v>
      </c>
      <c r="X51" s="217">
        <f t="shared" si="5"/>
        <v>1173462</v>
      </c>
      <c r="Y51" s="217">
        <f t="shared" si="5"/>
        <v>1024658</v>
      </c>
      <c r="Z51" s="217">
        <f t="shared" si="5"/>
        <v>2198134</v>
      </c>
      <c r="AA51" s="219">
        <f>+U51/R51%</f>
        <v>6.9580909387639478</v>
      </c>
      <c r="AB51" s="219">
        <f t="shared" ref="AB51:AC51" si="6">+V51/S51%</f>
        <v>8.2162100800698337</v>
      </c>
      <c r="AC51" s="219">
        <f t="shared" si="6"/>
        <v>7.5281426203770776</v>
      </c>
      <c r="AD51" s="219">
        <f>+X51/R51%</f>
        <v>15.919452423647236</v>
      </c>
      <c r="AE51" s="219">
        <f t="shared" ref="AE51:AF51" si="7">+Y51/S51%</f>
        <v>16.712335112445498</v>
      </c>
      <c r="AF51" s="219">
        <f t="shared" si="7"/>
        <v>16.276920629894718</v>
      </c>
    </row>
    <row r="52" spans="1:32">
      <c r="C52" s="519" t="s">
        <v>278</v>
      </c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 t="s">
        <v>278</v>
      </c>
      <c r="S52" s="519"/>
      <c r="T52" s="519"/>
      <c r="U52" s="519"/>
      <c r="V52" s="519"/>
      <c r="W52" s="519"/>
      <c r="X52" s="519"/>
      <c r="Y52" s="519"/>
      <c r="Z52" s="519"/>
      <c r="AA52" s="519"/>
      <c r="AB52" s="519"/>
      <c r="AC52" s="519"/>
      <c r="AD52" s="519"/>
      <c r="AE52" s="519"/>
      <c r="AF52" s="519"/>
    </row>
    <row r="53" spans="1:32">
      <c r="C53" s="342" t="s">
        <v>228</v>
      </c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 t="s">
        <v>228</v>
      </c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</row>
    <row r="54" spans="1:32">
      <c r="C54" s="518" t="s">
        <v>307</v>
      </c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518"/>
      <c r="O54" s="518"/>
      <c r="P54" s="518"/>
      <c r="Q54" s="518"/>
      <c r="R54" s="518" t="s">
        <v>307</v>
      </c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  <c r="AF54" s="518"/>
    </row>
    <row r="55" spans="1:32">
      <c r="C55" s="345" t="s">
        <v>313</v>
      </c>
      <c r="R55" s="345" t="s">
        <v>313</v>
      </c>
    </row>
    <row r="56" spans="1:32">
      <c r="C56" s="368" t="s">
        <v>332</v>
      </c>
      <c r="D56" s="368"/>
      <c r="E56" s="368"/>
      <c r="F56" s="369" t="s">
        <v>333</v>
      </c>
      <c r="G56" s="368"/>
      <c r="H56" s="368"/>
      <c r="I56" s="368"/>
      <c r="R56" s="368" t="s">
        <v>332</v>
      </c>
      <c r="S56" s="368"/>
      <c r="T56" s="368"/>
      <c r="U56" s="369" t="s">
        <v>333</v>
      </c>
      <c r="V56" s="368"/>
      <c r="W56" s="368"/>
      <c r="X56" s="368"/>
    </row>
  </sheetData>
  <mergeCells count="44"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  <mergeCell ref="R3:T5"/>
    <mergeCell ref="U3:Z4"/>
    <mergeCell ref="AA3:AF4"/>
    <mergeCell ref="AD5:AF5"/>
    <mergeCell ref="O3:Q5"/>
    <mergeCell ref="U5:W5"/>
    <mergeCell ref="X5:Z5"/>
    <mergeCell ref="AA5:AC5"/>
    <mergeCell ref="A11:B11"/>
    <mergeCell ref="C11:Q11"/>
    <mergeCell ref="R8:AF8"/>
    <mergeCell ref="A8:B8"/>
    <mergeCell ref="C8:Q8"/>
    <mergeCell ref="K44:L44"/>
    <mergeCell ref="A44:B44"/>
    <mergeCell ref="C52:Q52"/>
    <mergeCell ref="C54:Q54"/>
    <mergeCell ref="R52:AF52"/>
    <mergeCell ref="R54:AF54"/>
    <mergeCell ref="A51:B51"/>
    <mergeCell ref="C44:D44"/>
    <mergeCell ref="E44:F44"/>
    <mergeCell ref="G44:H44"/>
    <mergeCell ref="I44:J44"/>
    <mergeCell ref="Y44:Z44"/>
    <mergeCell ref="AA44:AB44"/>
    <mergeCell ref="AC44:AD44"/>
    <mergeCell ref="AE44:AF44"/>
    <mergeCell ref="M44:N44"/>
    <mergeCell ref="O44:P44"/>
    <mergeCell ref="Q44:R44"/>
    <mergeCell ref="S44:T44"/>
    <mergeCell ref="U44:V44"/>
    <mergeCell ref="W44:X44"/>
  </mergeCells>
  <hyperlinks>
    <hyperlink ref="F56" r:id="rId1"/>
    <hyperlink ref="U56" r:id="rId2"/>
  </hyperlinks>
  <pageMargins left="0.70866141732283472" right="0.70866141732283472" top="0.74803149606299213" bottom="0.74803149606299213" header="0.31496062992125984" footer="0.31496062992125984"/>
  <pageSetup paperSize="9" scale="67" firstPageNumber="85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T53"/>
  <sheetViews>
    <sheetView topLeftCell="A36" workbookViewId="0">
      <selection activeCell="B55" sqref="B55"/>
    </sheetView>
  </sheetViews>
  <sheetFormatPr defaultRowHeight="15"/>
  <cols>
    <col min="1" max="1" width="9.28515625" bestFit="1" customWidth="1"/>
    <col min="2" max="2" width="15.28515625" customWidth="1"/>
    <col min="3" max="3" width="17.42578125" bestFit="1" customWidth="1"/>
    <col min="4" max="4" width="14" customWidth="1"/>
    <col min="5" max="5" width="19" bestFit="1" customWidth="1"/>
    <col min="6" max="6" width="17.140625" bestFit="1" customWidth="1"/>
    <col min="7" max="7" width="17.42578125" bestFit="1" customWidth="1"/>
    <col min="8" max="8" width="19.28515625" bestFit="1" customWidth="1"/>
    <col min="9" max="9" width="17.42578125" bestFit="1" customWidth="1"/>
    <col min="10" max="10" width="13.28515625" customWidth="1"/>
    <col min="11" max="11" width="12.28515625" customWidth="1"/>
    <col min="12" max="14" width="17.42578125" bestFit="1" customWidth="1"/>
    <col min="15" max="15" width="11.5703125" customWidth="1"/>
    <col min="16" max="16" width="11.28515625" customWidth="1"/>
    <col min="17" max="17" width="12.28515625" customWidth="1"/>
    <col min="18" max="18" width="11.28515625" customWidth="1"/>
    <col min="19" max="19" width="11.140625" customWidth="1"/>
    <col min="20" max="20" width="17.140625" bestFit="1" customWidth="1"/>
  </cols>
  <sheetData>
    <row r="1" spans="1:20" ht="51" customHeight="1">
      <c r="A1" s="130"/>
      <c r="B1" s="130"/>
      <c r="C1" s="528" t="s">
        <v>365</v>
      </c>
      <c r="D1" s="528"/>
      <c r="E1" s="528"/>
      <c r="F1" s="528"/>
      <c r="G1" s="528"/>
      <c r="H1" s="528"/>
      <c r="I1" s="528" t="s">
        <v>365</v>
      </c>
      <c r="J1" s="528"/>
      <c r="K1" s="528"/>
      <c r="L1" s="528"/>
      <c r="M1" s="528"/>
      <c r="N1" s="528"/>
      <c r="O1" s="528" t="s">
        <v>365</v>
      </c>
      <c r="P1" s="528"/>
      <c r="Q1" s="528"/>
      <c r="R1" s="528"/>
      <c r="S1" s="528"/>
      <c r="T1" s="528"/>
    </row>
    <row r="2" spans="1:20" ht="15" customHeight="1">
      <c r="A2" s="458" t="s">
        <v>218</v>
      </c>
      <c r="B2" s="460" t="s">
        <v>327</v>
      </c>
      <c r="C2" s="458" t="s">
        <v>188</v>
      </c>
      <c r="D2" s="458"/>
      <c r="E2" s="458"/>
      <c r="F2" s="458"/>
      <c r="G2" s="458"/>
      <c r="H2" s="458"/>
      <c r="I2" s="458" t="s">
        <v>188</v>
      </c>
      <c r="J2" s="458"/>
      <c r="K2" s="458"/>
      <c r="L2" s="458"/>
      <c r="M2" s="458"/>
      <c r="N2" s="458"/>
      <c r="O2" s="458" t="s">
        <v>188</v>
      </c>
      <c r="P2" s="458"/>
      <c r="Q2" s="458"/>
      <c r="R2" s="458"/>
      <c r="S2" s="458"/>
      <c r="T2" s="458"/>
    </row>
    <row r="3" spans="1:20">
      <c r="A3" s="458"/>
      <c r="B3" s="461"/>
      <c r="C3" s="458" t="s">
        <v>219</v>
      </c>
      <c r="D3" s="458"/>
      <c r="E3" s="458"/>
      <c r="F3" s="458"/>
      <c r="G3" s="458"/>
      <c r="H3" s="458"/>
      <c r="I3" s="458" t="s">
        <v>220</v>
      </c>
      <c r="J3" s="458"/>
      <c r="K3" s="458"/>
      <c r="L3" s="458"/>
      <c r="M3" s="458"/>
      <c r="N3" s="458"/>
      <c r="O3" s="458" t="s">
        <v>221</v>
      </c>
      <c r="P3" s="458"/>
      <c r="Q3" s="458"/>
      <c r="R3" s="458"/>
      <c r="S3" s="458"/>
      <c r="T3" s="458"/>
    </row>
    <row r="4" spans="1:20">
      <c r="A4" s="458"/>
      <c r="B4" s="461"/>
      <c r="C4" s="458" t="s">
        <v>5</v>
      </c>
      <c r="D4" s="458"/>
      <c r="E4" s="458"/>
      <c r="F4" s="458" t="s">
        <v>6</v>
      </c>
      <c r="G4" s="458"/>
      <c r="H4" s="458"/>
      <c r="I4" s="458" t="s">
        <v>5</v>
      </c>
      <c r="J4" s="458"/>
      <c r="K4" s="458"/>
      <c r="L4" s="458" t="s">
        <v>6</v>
      </c>
      <c r="M4" s="458"/>
      <c r="N4" s="458"/>
      <c r="O4" s="458" t="s">
        <v>5</v>
      </c>
      <c r="P4" s="458"/>
      <c r="Q4" s="458"/>
      <c r="R4" s="458" t="s">
        <v>6</v>
      </c>
      <c r="S4" s="458"/>
      <c r="T4" s="458"/>
    </row>
    <row r="5" spans="1:20">
      <c r="A5" s="458"/>
      <c r="B5" s="461"/>
      <c r="C5" s="392" t="s">
        <v>43</v>
      </c>
      <c r="D5" s="392" t="s">
        <v>44</v>
      </c>
      <c r="E5" s="392" t="s">
        <v>3</v>
      </c>
      <c r="F5" s="392" t="s">
        <v>43</v>
      </c>
      <c r="G5" s="392" t="s">
        <v>44</v>
      </c>
      <c r="H5" s="392" t="s">
        <v>3</v>
      </c>
      <c r="I5" s="392" t="s">
        <v>43</v>
      </c>
      <c r="J5" s="392" t="s">
        <v>44</v>
      </c>
      <c r="K5" s="392" t="s">
        <v>3</v>
      </c>
      <c r="L5" s="392" t="s">
        <v>43</v>
      </c>
      <c r="M5" s="392" t="s">
        <v>44</v>
      </c>
      <c r="N5" s="392" t="s">
        <v>3</v>
      </c>
      <c r="O5" s="392" t="s">
        <v>43</v>
      </c>
      <c r="P5" s="392" t="s">
        <v>44</v>
      </c>
      <c r="Q5" s="392" t="s">
        <v>3</v>
      </c>
      <c r="R5" s="392" t="s">
        <v>43</v>
      </c>
      <c r="S5" s="392" t="s">
        <v>44</v>
      </c>
      <c r="T5" s="392" t="s">
        <v>3</v>
      </c>
    </row>
    <row r="6" spans="1:2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133">
        <v>6</v>
      </c>
      <c r="G6" s="133">
        <v>7</v>
      </c>
      <c r="H6" s="133">
        <v>8</v>
      </c>
      <c r="I6" s="133">
        <v>9</v>
      </c>
      <c r="J6" s="133">
        <v>10</v>
      </c>
      <c r="K6" s="133">
        <v>11</v>
      </c>
      <c r="L6" s="133">
        <v>12</v>
      </c>
      <c r="M6" s="133">
        <v>13</v>
      </c>
      <c r="N6" s="133">
        <v>14</v>
      </c>
      <c r="O6" s="133">
        <v>15</v>
      </c>
      <c r="P6" s="133">
        <v>16</v>
      </c>
      <c r="Q6" s="133">
        <v>17</v>
      </c>
      <c r="R6" s="133">
        <v>18</v>
      </c>
      <c r="S6" s="133">
        <v>19</v>
      </c>
      <c r="T6" s="133">
        <v>20</v>
      </c>
    </row>
    <row r="7" spans="1:20" ht="15.75">
      <c r="A7" s="134">
        <v>2010</v>
      </c>
      <c r="B7" s="135">
        <v>34</v>
      </c>
      <c r="C7" s="406">
        <v>9374906</v>
      </c>
      <c r="D7" s="406">
        <v>7351211</v>
      </c>
      <c r="E7" s="406">
        <v>16726117</v>
      </c>
      <c r="F7" s="406">
        <v>6862354</v>
      </c>
      <c r="G7" s="406">
        <v>5687118</v>
      </c>
      <c r="H7" s="406">
        <v>12549472</v>
      </c>
      <c r="I7" s="406">
        <v>1517853</v>
      </c>
      <c r="J7" s="406">
        <v>1169643</v>
      </c>
      <c r="K7" s="406">
        <v>2687496</v>
      </c>
      <c r="L7" s="406">
        <v>1020344</v>
      </c>
      <c r="M7" s="406">
        <v>834309</v>
      </c>
      <c r="N7" s="406">
        <v>1854653</v>
      </c>
      <c r="O7" s="406">
        <v>613490</v>
      </c>
      <c r="P7" s="406">
        <v>476366</v>
      </c>
      <c r="Q7" s="406">
        <v>1089856</v>
      </c>
      <c r="R7" s="406">
        <v>382583</v>
      </c>
      <c r="S7" s="406">
        <v>293139</v>
      </c>
      <c r="T7" s="406">
        <v>675722</v>
      </c>
    </row>
    <row r="8" spans="1:20" ht="15.75">
      <c r="A8" s="137">
        <v>2011</v>
      </c>
      <c r="B8" s="135">
        <v>34</v>
      </c>
      <c r="C8" s="406">
        <v>9799667</v>
      </c>
      <c r="D8" s="406">
        <v>7818871</v>
      </c>
      <c r="E8" s="406">
        <v>17623309</v>
      </c>
      <c r="F8" s="406">
        <v>7183560</v>
      </c>
      <c r="G8" s="406">
        <v>6013853</v>
      </c>
      <c r="H8" s="406">
        <v>13199625</v>
      </c>
      <c r="I8" s="406">
        <v>1687903</v>
      </c>
      <c r="J8" s="406">
        <v>1379568</v>
      </c>
      <c r="K8" s="406">
        <v>3067471</v>
      </c>
      <c r="L8" s="406">
        <v>1150634</v>
      </c>
      <c r="M8" s="406">
        <v>977953</v>
      </c>
      <c r="N8" s="406">
        <v>2128587</v>
      </c>
      <c r="O8" s="406">
        <v>661275</v>
      </c>
      <c r="P8" s="406">
        <v>531300</v>
      </c>
      <c r="Q8" s="406">
        <v>1192575</v>
      </c>
      <c r="R8" s="406">
        <v>415430</v>
      </c>
      <c r="S8" s="406">
        <v>332993</v>
      </c>
      <c r="T8" s="406">
        <v>748423</v>
      </c>
    </row>
    <row r="9" spans="1:20" ht="15.75">
      <c r="A9" s="134">
        <v>2012</v>
      </c>
      <c r="B9" s="135">
        <v>34</v>
      </c>
      <c r="C9" s="406">
        <v>9939916</v>
      </c>
      <c r="D9" s="406">
        <v>8086742</v>
      </c>
      <c r="E9" s="406">
        <v>18026658</v>
      </c>
      <c r="F9" s="406">
        <v>7430776</v>
      </c>
      <c r="G9" s="406">
        <v>6334551</v>
      </c>
      <c r="H9" s="406">
        <v>13765327</v>
      </c>
      <c r="I9" s="406">
        <v>1596559</v>
      </c>
      <c r="J9" s="406">
        <v>1285426</v>
      </c>
      <c r="K9" s="406">
        <v>2881985</v>
      </c>
      <c r="L9" s="406">
        <v>1097023</v>
      </c>
      <c r="M9" s="406">
        <v>932159</v>
      </c>
      <c r="N9" s="406">
        <v>2029182</v>
      </c>
      <c r="O9" s="406">
        <v>638691</v>
      </c>
      <c r="P9" s="406">
        <v>547182</v>
      </c>
      <c r="Q9" s="406">
        <v>1185873</v>
      </c>
      <c r="R9" s="406">
        <v>395747</v>
      </c>
      <c r="S9" s="406">
        <v>334876</v>
      </c>
      <c r="T9" s="406">
        <v>730623</v>
      </c>
    </row>
    <row r="10" spans="1:20" ht="15.75">
      <c r="A10" s="137">
        <v>2013</v>
      </c>
      <c r="B10" s="135">
        <v>35</v>
      </c>
      <c r="C10" s="406">
        <v>10507044</v>
      </c>
      <c r="D10" s="406">
        <v>8617208</v>
      </c>
      <c r="E10" s="406">
        <v>19124252</v>
      </c>
      <c r="F10" s="406">
        <v>8037590</v>
      </c>
      <c r="G10" s="406">
        <v>6932924</v>
      </c>
      <c r="H10" s="406">
        <v>14970514</v>
      </c>
      <c r="I10" s="406">
        <v>1765636</v>
      </c>
      <c r="J10" s="406">
        <v>1459662</v>
      </c>
      <c r="K10" s="406">
        <v>3225298</v>
      </c>
      <c r="L10" s="406">
        <v>1232058</v>
      </c>
      <c r="M10" s="406">
        <v>1076244</v>
      </c>
      <c r="N10" s="406">
        <v>2308302</v>
      </c>
      <c r="O10" s="406">
        <v>745569</v>
      </c>
      <c r="P10" s="406">
        <v>656963</v>
      </c>
      <c r="Q10" s="406">
        <v>1402532</v>
      </c>
      <c r="R10" s="406">
        <v>480652</v>
      </c>
      <c r="S10" s="406">
        <v>426303</v>
      </c>
      <c r="T10" s="406">
        <v>906955</v>
      </c>
    </row>
    <row r="11" spans="1:20" ht="15.75">
      <c r="A11" s="137">
        <v>2014</v>
      </c>
      <c r="B11" s="135">
        <v>35</v>
      </c>
      <c r="C11" s="406">
        <v>10229689</v>
      </c>
      <c r="D11" s="406">
        <v>8625318</v>
      </c>
      <c r="E11" s="406">
        <v>18855007</v>
      </c>
      <c r="F11" s="406">
        <v>8041716</v>
      </c>
      <c r="G11" s="406">
        <v>7053738</v>
      </c>
      <c r="H11" s="406">
        <v>15095454</v>
      </c>
      <c r="I11" s="406">
        <v>1756049</v>
      </c>
      <c r="J11" s="406">
        <v>1485264</v>
      </c>
      <c r="K11" s="406">
        <v>3241313</v>
      </c>
      <c r="L11" s="406">
        <v>1268455</v>
      </c>
      <c r="M11" s="406">
        <v>1124169</v>
      </c>
      <c r="N11" s="406">
        <v>2392586</v>
      </c>
      <c r="O11" s="406">
        <v>757751</v>
      </c>
      <c r="P11" s="406">
        <v>694604</v>
      </c>
      <c r="Q11" s="406">
        <v>1452355</v>
      </c>
      <c r="R11" s="406">
        <v>501712</v>
      </c>
      <c r="S11" s="406">
        <v>450920</v>
      </c>
      <c r="T11" s="406">
        <v>952632</v>
      </c>
    </row>
    <row r="12" spans="1:20" ht="15.75">
      <c r="A12" s="137">
        <v>2015</v>
      </c>
      <c r="B12" s="135">
        <v>35</v>
      </c>
      <c r="C12" s="406">
        <v>10078588</v>
      </c>
      <c r="D12" s="406">
        <v>8708092</v>
      </c>
      <c r="E12" s="406">
        <v>18786680</v>
      </c>
      <c r="F12" s="406">
        <v>7830993</v>
      </c>
      <c r="G12" s="406">
        <v>7038908</v>
      </c>
      <c r="H12" s="406">
        <v>14869901</v>
      </c>
      <c r="I12" s="406">
        <v>1728900</v>
      </c>
      <c r="J12" s="406">
        <v>1495210</v>
      </c>
      <c r="K12" s="406">
        <v>3224110</v>
      </c>
      <c r="L12" s="406">
        <v>1244282</v>
      </c>
      <c r="M12" s="406">
        <v>1119501</v>
      </c>
      <c r="N12" s="406">
        <v>2363783</v>
      </c>
      <c r="O12" s="406">
        <v>756299</v>
      </c>
      <c r="P12" s="406">
        <v>711597</v>
      </c>
      <c r="Q12" s="406">
        <v>1467896</v>
      </c>
      <c r="R12" s="406">
        <v>491790</v>
      </c>
      <c r="S12" s="406">
        <v>449720</v>
      </c>
      <c r="T12" s="406">
        <v>941510</v>
      </c>
    </row>
    <row r="13" spans="1:20" ht="15.75">
      <c r="A13" s="137">
        <v>2016</v>
      </c>
      <c r="B13" s="143">
        <v>42</v>
      </c>
      <c r="C13" s="406">
        <v>10446940</v>
      </c>
      <c r="D13" s="406">
        <v>8948878</v>
      </c>
      <c r="E13" s="406">
        <v>19395818</v>
      </c>
      <c r="F13" s="406">
        <v>8118493</v>
      </c>
      <c r="G13" s="406">
        <v>7140555</v>
      </c>
      <c r="H13" s="406">
        <v>15259048</v>
      </c>
      <c r="I13" s="406">
        <v>1840866</v>
      </c>
      <c r="J13" s="406">
        <v>1590816</v>
      </c>
      <c r="K13" s="406">
        <v>3431682</v>
      </c>
      <c r="L13" s="406">
        <v>1324673</v>
      </c>
      <c r="M13" s="406">
        <v>1187053</v>
      </c>
      <c r="N13" s="406">
        <v>2511726</v>
      </c>
      <c r="O13" s="406">
        <v>779133</v>
      </c>
      <c r="P13" s="406">
        <v>734656</v>
      </c>
      <c r="Q13" s="406">
        <v>1513789</v>
      </c>
      <c r="R13" s="406">
        <v>507673</v>
      </c>
      <c r="S13" s="406">
        <v>476877</v>
      </c>
      <c r="T13" s="406">
        <v>984550</v>
      </c>
    </row>
    <row r="14" spans="1:20" ht="15.75">
      <c r="A14" s="137">
        <v>2017</v>
      </c>
      <c r="B14" s="135">
        <v>41</v>
      </c>
      <c r="C14" s="406">
        <v>10348879</v>
      </c>
      <c r="D14" s="406">
        <v>8980409</v>
      </c>
      <c r="E14" s="406">
        <v>19329288</v>
      </c>
      <c r="F14" s="406">
        <v>7875107</v>
      </c>
      <c r="G14" s="406">
        <v>7008989</v>
      </c>
      <c r="H14" s="406">
        <v>14884096</v>
      </c>
      <c r="I14" s="406">
        <v>1821719</v>
      </c>
      <c r="J14" s="406">
        <v>1619061</v>
      </c>
      <c r="K14" s="406">
        <v>3440780</v>
      </c>
      <c r="L14" s="406">
        <v>1268786</v>
      </c>
      <c r="M14" s="406">
        <v>1163597</v>
      </c>
      <c r="N14" s="406">
        <v>2432383</v>
      </c>
      <c r="O14" s="406">
        <v>760652</v>
      </c>
      <c r="P14" s="406">
        <v>734458</v>
      </c>
      <c r="Q14" s="406">
        <v>1495110</v>
      </c>
      <c r="R14" s="406">
        <v>510976</v>
      </c>
      <c r="S14" s="406">
        <v>493145</v>
      </c>
      <c r="T14" s="406">
        <v>1004121</v>
      </c>
    </row>
    <row r="15" spans="1:20" ht="15.75">
      <c r="A15" s="137">
        <v>2018</v>
      </c>
      <c r="B15" s="135">
        <v>42</v>
      </c>
      <c r="C15" s="406">
        <v>10189637</v>
      </c>
      <c r="D15" s="406">
        <v>8959443</v>
      </c>
      <c r="E15" s="406">
        <v>19151834</v>
      </c>
      <c r="F15" s="406">
        <v>7650247</v>
      </c>
      <c r="G15" s="406">
        <v>6912784</v>
      </c>
      <c r="H15" s="406">
        <v>14996277</v>
      </c>
      <c r="I15" s="406">
        <v>1786065</v>
      </c>
      <c r="J15" s="406">
        <v>1595029</v>
      </c>
      <c r="K15" s="406">
        <v>3425079</v>
      </c>
      <c r="L15" s="406">
        <v>1278347</v>
      </c>
      <c r="M15" s="406">
        <v>1161297</v>
      </c>
      <c r="N15" s="406">
        <v>2481517</v>
      </c>
      <c r="O15" s="406">
        <v>746556</v>
      </c>
      <c r="P15" s="406">
        <v>726811</v>
      </c>
      <c r="Q15" s="406">
        <v>1481475</v>
      </c>
      <c r="R15" s="406">
        <v>502088</v>
      </c>
      <c r="S15" s="406">
        <v>493657</v>
      </c>
      <c r="T15" s="406">
        <v>1002800</v>
      </c>
    </row>
    <row r="16" spans="1:20" ht="15.75">
      <c r="A16" s="137">
        <v>2019</v>
      </c>
      <c r="B16" s="135">
        <v>42</v>
      </c>
      <c r="C16" s="406">
        <v>9850942</v>
      </c>
      <c r="D16" s="406">
        <v>8843362</v>
      </c>
      <c r="E16" s="406">
        <v>18694304</v>
      </c>
      <c r="F16" s="406">
        <v>7752633</v>
      </c>
      <c r="G16" s="406">
        <v>7299656</v>
      </c>
      <c r="H16" s="406">
        <v>15052289</v>
      </c>
      <c r="I16" s="406">
        <v>1709252</v>
      </c>
      <c r="J16" s="406">
        <v>1568853</v>
      </c>
      <c r="K16" s="406">
        <v>3278105</v>
      </c>
      <c r="L16" s="406">
        <v>1259773</v>
      </c>
      <c r="M16" s="406">
        <v>1210476</v>
      </c>
      <c r="N16" s="406">
        <v>2470249</v>
      </c>
      <c r="O16" s="406">
        <v>723695</v>
      </c>
      <c r="P16" s="406">
        <v>719977</v>
      </c>
      <c r="Q16" s="406">
        <v>1443672</v>
      </c>
      <c r="R16" s="406">
        <v>486474</v>
      </c>
      <c r="S16" s="406">
        <v>500088</v>
      </c>
      <c r="T16" s="406">
        <v>986562</v>
      </c>
    </row>
    <row r="17" spans="1:20" ht="15.75">
      <c r="A17" s="137">
        <v>2020</v>
      </c>
      <c r="B17" s="135">
        <v>42</v>
      </c>
      <c r="C17" s="406">
        <v>9835651</v>
      </c>
      <c r="D17" s="406">
        <v>8843878</v>
      </c>
      <c r="E17" s="406">
        <v>18679529</v>
      </c>
      <c r="F17" s="406">
        <v>8161996</v>
      </c>
      <c r="G17" s="406">
        <v>7606198</v>
      </c>
      <c r="H17" s="406">
        <v>15768194</v>
      </c>
      <c r="I17" s="406">
        <v>1702003</v>
      </c>
      <c r="J17" s="406">
        <v>1577973</v>
      </c>
      <c r="K17" s="406">
        <v>3279976</v>
      </c>
      <c r="L17" s="406">
        <v>1360466</v>
      </c>
      <c r="M17" s="406">
        <v>1301579</v>
      </c>
      <c r="N17" s="406">
        <v>2662045</v>
      </c>
      <c r="O17" s="406">
        <v>717816</v>
      </c>
      <c r="P17" s="406">
        <v>716716</v>
      </c>
      <c r="Q17" s="406">
        <v>1434532</v>
      </c>
      <c r="R17" s="406">
        <v>517958</v>
      </c>
      <c r="S17" s="406">
        <v>531278</v>
      </c>
      <c r="T17" s="406">
        <v>1049236</v>
      </c>
    </row>
    <row r="18" spans="1:20">
      <c r="A18" s="140"/>
    </row>
    <row r="19" spans="1:20" ht="42" customHeight="1">
      <c r="A19" s="130"/>
      <c r="C19" s="528" t="s">
        <v>366</v>
      </c>
      <c r="D19" s="528"/>
      <c r="E19" s="528"/>
      <c r="F19" s="528"/>
      <c r="G19" s="528"/>
      <c r="H19" s="528"/>
      <c r="I19" s="528" t="s">
        <v>366</v>
      </c>
      <c r="J19" s="528"/>
      <c r="K19" s="528"/>
      <c r="L19" s="528"/>
      <c r="M19" s="528"/>
      <c r="N19" s="528"/>
      <c r="O19" s="528" t="s">
        <v>366</v>
      </c>
      <c r="P19" s="528"/>
      <c r="Q19" s="528"/>
      <c r="R19" s="528"/>
      <c r="S19" s="528"/>
      <c r="T19" s="528"/>
    </row>
    <row r="20" spans="1:20" ht="15" customHeight="1">
      <c r="A20" s="458" t="s">
        <v>218</v>
      </c>
      <c r="B20" s="460" t="s">
        <v>327</v>
      </c>
      <c r="C20" s="458" t="s">
        <v>188</v>
      </c>
      <c r="D20" s="458"/>
      <c r="E20" s="458"/>
      <c r="F20" s="458"/>
      <c r="G20" s="458"/>
      <c r="H20" s="458"/>
      <c r="I20" s="458" t="s">
        <v>188</v>
      </c>
      <c r="J20" s="458"/>
      <c r="K20" s="458"/>
      <c r="L20" s="458"/>
      <c r="M20" s="458"/>
      <c r="N20" s="458"/>
      <c r="O20" s="458" t="s">
        <v>188</v>
      </c>
      <c r="P20" s="458"/>
      <c r="Q20" s="458"/>
      <c r="R20" s="458"/>
      <c r="S20" s="458"/>
      <c r="T20" s="458"/>
    </row>
    <row r="21" spans="1:20">
      <c r="A21" s="458"/>
      <c r="B21" s="461"/>
      <c r="C21" s="458" t="s">
        <v>219</v>
      </c>
      <c r="D21" s="458"/>
      <c r="E21" s="458"/>
      <c r="F21" s="458"/>
      <c r="G21" s="458"/>
      <c r="H21" s="458"/>
      <c r="I21" s="458" t="s">
        <v>220</v>
      </c>
      <c r="J21" s="458"/>
      <c r="K21" s="458"/>
      <c r="L21" s="458"/>
      <c r="M21" s="458"/>
      <c r="N21" s="458"/>
      <c r="O21" s="458" t="s">
        <v>221</v>
      </c>
      <c r="P21" s="458"/>
      <c r="Q21" s="458"/>
      <c r="R21" s="458"/>
      <c r="S21" s="458"/>
      <c r="T21" s="458"/>
    </row>
    <row r="22" spans="1:20">
      <c r="A22" s="458"/>
      <c r="B22" s="461"/>
      <c r="C22" s="458" t="s">
        <v>5</v>
      </c>
      <c r="D22" s="458"/>
      <c r="E22" s="458"/>
      <c r="F22" s="458" t="s">
        <v>6</v>
      </c>
      <c r="G22" s="458"/>
      <c r="H22" s="458"/>
      <c r="I22" s="458" t="s">
        <v>5</v>
      </c>
      <c r="J22" s="458"/>
      <c r="K22" s="458"/>
      <c r="L22" s="458" t="s">
        <v>6</v>
      </c>
      <c r="M22" s="458"/>
      <c r="N22" s="458"/>
      <c r="O22" s="458" t="s">
        <v>5</v>
      </c>
      <c r="P22" s="458"/>
      <c r="Q22" s="458"/>
      <c r="R22" s="458" t="s">
        <v>6</v>
      </c>
      <c r="S22" s="458"/>
      <c r="T22" s="458"/>
    </row>
    <row r="23" spans="1:20">
      <c r="A23" s="458"/>
      <c r="B23" s="461"/>
      <c r="C23" s="392" t="s">
        <v>43</v>
      </c>
      <c r="D23" s="392" t="s">
        <v>44</v>
      </c>
      <c r="E23" s="392" t="s">
        <v>3</v>
      </c>
      <c r="F23" s="392" t="s">
        <v>43</v>
      </c>
      <c r="G23" s="392" t="s">
        <v>44</v>
      </c>
      <c r="H23" s="392" t="s">
        <v>3</v>
      </c>
      <c r="I23" s="392" t="s">
        <v>43</v>
      </c>
      <c r="J23" s="392" t="s">
        <v>44</v>
      </c>
      <c r="K23" s="392" t="s">
        <v>3</v>
      </c>
      <c r="L23" s="392" t="s">
        <v>43</v>
      </c>
      <c r="M23" s="392" t="s">
        <v>44</v>
      </c>
      <c r="N23" s="392" t="s">
        <v>3</v>
      </c>
      <c r="O23" s="392" t="s">
        <v>43</v>
      </c>
      <c r="P23" s="392" t="s">
        <v>44</v>
      </c>
      <c r="Q23" s="392" t="s">
        <v>3</v>
      </c>
      <c r="R23" s="392" t="s">
        <v>43</v>
      </c>
      <c r="S23" s="392" t="s">
        <v>44</v>
      </c>
      <c r="T23" s="392" t="s">
        <v>3</v>
      </c>
    </row>
    <row r="24" spans="1:20">
      <c r="A24" s="141">
        <v>1</v>
      </c>
      <c r="B24" s="133">
        <v>2</v>
      </c>
      <c r="C24" s="133">
        <v>3</v>
      </c>
      <c r="D24" s="133">
        <v>4</v>
      </c>
      <c r="E24" s="133">
        <v>5</v>
      </c>
      <c r="F24" s="133">
        <v>6</v>
      </c>
      <c r="G24" s="133">
        <v>7</v>
      </c>
      <c r="H24" s="133">
        <v>8</v>
      </c>
      <c r="I24" s="133">
        <v>9</v>
      </c>
      <c r="J24" s="133">
        <v>10</v>
      </c>
      <c r="K24" s="133">
        <v>11</v>
      </c>
      <c r="L24" s="133">
        <v>12</v>
      </c>
      <c r="M24" s="133">
        <v>13</v>
      </c>
      <c r="N24" s="133">
        <v>14</v>
      </c>
      <c r="O24" s="133">
        <v>15</v>
      </c>
      <c r="P24" s="133">
        <v>16</v>
      </c>
      <c r="Q24" s="133">
        <v>17</v>
      </c>
      <c r="R24" s="133">
        <v>18</v>
      </c>
      <c r="S24" s="133">
        <v>19</v>
      </c>
      <c r="T24" s="133">
        <v>20</v>
      </c>
    </row>
    <row r="25" spans="1:20" ht="15.75">
      <c r="A25" s="137">
        <v>2010</v>
      </c>
      <c r="B25" s="135">
        <v>6</v>
      </c>
      <c r="C25" s="406">
        <v>309135</v>
      </c>
      <c r="D25" s="406">
        <v>214714</v>
      </c>
      <c r="E25" s="406">
        <v>523849</v>
      </c>
      <c r="F25" s="406">
        <v>166883</v>
      </c>
      <c r="G25" s="406">
        <v>106029</v>
      </c>
      <c r="H25" s="406">
        <v>272912</v>
      </c>
      <c r="I25" s="406">
        <v>44666</v>
      </c>
      <c r="J25" s="406">
        <v>27770</v>
      </c>
      <c r="K25" s="406">
        <v>72436</v>
      </c>
      <c r="L25" s="406">
        <v>23557</v>
      </c>
      <c r="M25" s="406">
        <v>13670</v>
      </c>
      <c r="N25" s="406">
        <v>37227</v>
      </c>
      <c r="O25" s="406">
        <v>29962</v>
      </c>
      <c r="P25" s="406">
        <v>25670</v>
      </c>
      <c r="Q25" s="406">
        <v>55632</v>
      </c>
      <c r="R25" s="406">
        <v>14045</v>
      </c>
      <c r="S25" s="406">
        <v>12019</v>
      </c>
      <c r="T25" s="406">
        <v>26064</v>
      </c>
    </row>
    <row r="26" spans="1:20" ht="15.75">
      <c r="A26" s="137">
        <v>2011</v>
      </c>
      <c r="B26" s="135">
        <v>6</v>
      </c>
      <c r="C26" s="406">
        <v>318896</v>
      </c>
      <c r="D26" s="406">
        <v>219066</v>
      </c>
      <c r="E26" s="406">
        <v>537962</v>
      </c>
      <c r="F26" s="406">
        <v>187686</v>
      </c>
      <c r="G26" s="406">
        <v>117295</v>
      </c>
      <c r="H26" s="406">
        <v>304981</v>
      </c>
      <c r="I26" s="406">
        <v>54250</v>
      </c>
      <c r="J26" s="406">
        <v>33662</v>
      </c>
      <c r="K26" s="406">
        <v>87912</v>
      </c>
      <c r="L26" s="406">
        <v>30472</v>
      </c>
      <c r="M26" s="406">
        <v>18269</v>
      </c>
      <c r="N26" s="406">
        <v>48741</v>
      </c>
      <c r="O26" s="406">
        <v>36915</v>
      </c>
      <c r="P26" s="406">
        <v>31149</v>
      </c>
      <c r="Q26" s="406">
        <v>68064</v>
      </c>
      <c r="R26" s="406">
        <v>22923</v>
      </c>
      <c r="S26" s="406">
        <v>16365</v>
      </c>
      <c r="T26" s="406">
        <v>39288</v>
      </c>
    </row>
    <row r="27" spans="1:20" ht="15.75">
      <c r="A27" s="137">
        <v>2012</v>
      </c>
      <c r="B27" s="135">
        <v>6</v>
      </c>
      <c r="C27" s="406">
        <v>347228</v>
      </c>
      <c r="D27" s="406">
        <v>200891</v>
      </c>
      <c r="E27" s="406">
        <v>548119</v>
      </c>
      <c r="F27" s="406">
        <v>217754</v>
      </c>
      <c r="G27" s="406">
        <v>128039</v>
      </c>
      <c r="H27" s="406">
        <v>345793</v>
      </c>
      <c r="I27" s="406">
        <v>56716</v>
      </c>
      <c r="J27" s="406">
        <v>29791</v>
      </c>
      <c r="K27" s="406">
        <v>86507</v>
      </c>
      <c r="L27" s="406">
        <v>35086</v>
      </c>
      <c r="M27" s="406">
        <v>18274</v>
      </c>
      <c r="N27" s="406">
        <v>53360</v>
      </c>
      <c r="O27" s="406">
        <v>39167</v>
      </c>
      <c r="P27" s="406">
        <v>28097</v>
      </c>
      <c r="Q27" s="406">
        <v>67264</v>
      </c>
      <c r="R27" s="406">
        <v>21215</v>
      </c>
      <c r="S27" s="406">
        <v>17900</v>
      </c>
      <c r="T27" s="406">
        <v>39115</v>
      </c>
    </row>
    <row r="28" spans="1:20" ht="15.75">
      <c r="A28" s="137">
        <v>2013</v>
      </c>
      <c r="B28" s="135">
        <v>6</v>
      </c>
      <c r="C28" s="406">
        <v>397611</v>
      </c>
      <c r="D28" s="406">
        <v>212752</v>
      </c>
      <c r="E28" s="406">
        <v>610363</v>
      </c>
      <c r="F28" s="406">
        <v>220126</v>
      </c>
      <c r="G28" s="406">
        <v>128848</v>
      </c>
      <c r="H28" s="406">
        <v>348974</v>
      </c>
      <c r="I28" s="406">
        <v>60124</v>
      </c>
      <c r="J28" s="406">
        <v>29784</v>
      </c>
      <c r="K28" s="406">
        <v>89908</v>
      </c>
      <c r="L28" s="406">
        <v>33032</v>
      </c>
      <c r="M28" s="406">
        <v>16829</v>
      </c>
      <c r="N28" s="406">
        <v>49861</v>
      </c>
      <c r="O28" s="406">
        <v>41501</v>
      </c>
      <c r="P28" s="406">
        <v>34982</v>
      </c>
      <c r="Q28" s="406">
        <v>76483</v>
      </c>
      <c r="R28" s="406">
        <v>22331</v>
      </c>
      <c r="S28" s="406">
        <v>19759</v>
      </c>
      <c r="T28" s="406">
        <v>42090</v>
      </c>
    </row>
    <row r="29" spans="1:20" ht="15.75">
      <c r="A29" s="137">
        <v>2014</v>
      </c>
      <c r="B29" s="135">
        <v>6</v>
      </c>
      <c r="C29" s="406">
        <v>372178</v>
      </c>
      <c r="D29" s="406">
        <v>239081</v>
      </c>
      <c r="E29" s="406">
        <v>611259</v>
      </c>
      <c r="F29" s="406">
        <v>179739</v>
      </c>
      <c r="G29" s="406">
        <v>118181</v>
      </c>
      <c r="H29" s="406">
        <v>297920</v>
      </c>
      <c r="I29" s="406">
        <v>52681</v>
      </c>
      <c r="J29" s="406">
        <v>33237</v>
      </c>
      <c r="K29" s="406">
        <v>85918</v>
      </c>
      <c r="L29" s="406">
        <v>26293</v>
      </c>
      <c r="M29" s="406">
        <v>18021</v>
      </c>
      <c r="N29" s="406">
        <v>44352</v>
      </c>
      <c r="O29" s="406">
        <v>43762</v>
      </c>
      <c r="P29" s="406">
        <v>40573</v>
      </c>
      <c r="Q29" s="406">
        <v>84335</v>
      </c>
      <c r="R29" s="406">
        <v>20411</v>
      </c>
      <c r="S29" s="406">
        <v>18876</v>
      </c>
      <c r="T29" s="406">
        <v>39287</v>
      </c>
    </row>
    <row r="30" spans="1:20" ht="15.75">
      <c r="A30" s="137">
        <v>2015</v>
      </c>
      <c r="B30" s="135">
        <v>6</v>
      </c>
      <c r="C30" s="406">
        <v>213979</v>
      </c>
      <c r="D30" s="406">
        <v>157478</v>
      </c>
      <c r="E30" s="406">
        <v>371457</v>
      </c>
      <c r="F30" s="406">
        <v>137173</v>
      </c>
      <c r="G30" s="406">
        <v>97881</v>
      </c>
      <c r="H30" s="406">
        <v>235054</v>
      </c>
      <c r="I30" s="406">
        <v>33829</v>
      </c>
      <c r="J30" s="406">
        <v>23828</v>
      </c>
      <c r="K30" s="406">
        <v>57657</v>
      </c>
      <c r="L30" s="406">
        <v>22432</v>
      </c>
      <c r="M30" s="406">
        <v>16629</v>
      </c>
      <c r="N30" s="406">
        <v>39061</v>
      </c>
      <c r="O30" s="406">
        <v>27689</v>
      </c>
      <c r="P30" s="406">
        <v>25193</v>
      </c>
      <c r="Q30" s="406">
        <v>53213</v>
      </c>
      <c r="R30" s="406">
        <v>18160</v>
      </c>
      <c r="S30" s="406">
        <v>16443</v>
      </c>
      <c r="T30" s="406">
        <v>34603</v>
      </c>
    </row>
    <row r="31" spans="1:20" ht="15.75">
      <c r="A31" s="137">
        <v>2016</v>
      </c>
      <c r="B31" s="135">
        <v>7</v>
      </c>
      <c r="C31" s="406">
        <v>373506</v>
      </c>
      <c r="D31" s="406">
        <v>240632</v>
      </c>
      <c r="E31" s="406">
        <v>614138</v>
      </c>
      <c r="F31" s="406">
        <v>148004</v>
      </c>
      <c r="G31" s="406">
        <v>105116</v>
      </c>
      <c r="H31" s="406">
        <v>253120</v>
      </c>
      <c r="I31" s="406">
        <v>117348</v>
      </c>
      <c r="J31" s="406">
        <v>65224</v>
      </c>
      <c r="K31" s="406">
        <v>182572</v>
      </c>
      <c r="L31" s="406">
        <v>47203</v>
      </c>
      <c r="M31" s="406">
        <v>28752</v>
      </c>
      <c r="N31" s="406">
        <v>75955</v>
      </c>
      <c r="O31" s="406">
        <v>52907</v>
      </c>
      <c r="P31" s="406">
        <v>38349</v>
      </c>
      <c r="Q31" s="406">
        <v>91256</v>
      </c>
      <c r="R31" s="406">
        <v>20222</v>
      </c>
      <c r="S31" s="406">
        <v>14997</v>
      </c>
      <c r="T31" s="406">
        <v>35219</v>
      </c>
    </row>
    <row r="32" spans="1:20" ht="15.75">
      <c r="A32" s="137">
        <v>2017</v>
      </c>
      <c r="B32" s="135">
        <v>7</v>
      </c>
      <c r="C32" s="406">
        <v>416151</v>
      </c>
      <c r="D32" s="406">
        <v>230386</v>
      </c>
      <c r="E32" s="406">
        <v>646537</v>
      </c>
      <c r="F32" s="406">
        <v>153640</v>
      </c>
      <c r="G32" s="406">
        <v>97756</v>
      </c>
      <c r="H32" s="406">
        <v>251396</v>
      </c>
      <c r="I32" s="406">
        <v>62764</v>
      </c>
      <c r="J32" s="406">
        <v>36693</v>
      </c>
      <c r="K32" s="406">
        <v>99457</v>
      </c>
      <c r="L32" s="406">
        <v>22025</v>
      </c>
      <c r="M32" s="406">
        <v>15076</v>
      </c>
      <c r="N32" s="406">
        <v>37101</v>
      </c>
      <c r="O32" s="406">
        <v>43692</v>
      </c>
      <c r="P32" s="406">
        <v>36302</v>
      </c>
      <c r="Q32" s="406">
        <v>79994</v>
      </c>
      <c r="R32" s="406">
        <v>17229</v>
      </c>
      <c r="S32" s="406">
        <v>15876</v>
      </c>
      <c r="T32" s="406">
        <v>33105</v>
      </c>
    </row>
    <row r="33" spans="1:20" ht="15.75">
      <c r="A33" s="137">
        <v>2018</v>
      </c>
      <c r="B33" s="135">
        <v>8</v>
      </c>
      <c r="C33" s="406">
        <v>464600</v>
      </c>
      <c r="D33" s="406">
        <v>260884</v>
      </c>
      <c r="E33" s="406">
        <v>725484</v>
      </c>
      <c r="F33" s="406">
        <v>201532</v>
      </c>
      <c r="G33" s="406">
        <v>126631</v>
      </c>
      <c r="H33" s="406">
        <v>328163</v>
      </c>
      <c r="I33" s="406">
        <v>75174</v>
      </c>
      <c r="J33" s="406">
        <v>37986</v>
      </c>
      <c r="K33" s="406">
        <v>113160</v>
      </c>
      <c r="L33" s="406">
        <v>30927</v>
      </c>
      <c r="M33" s="406">
        <v>19102</v>
      </c>
      <c r="N33" s="406">
        <v>50029</v>
      </c>
      <c r="O33" s="406">
        <v>44918</v>
      </c>
      <c r="P33" s="406">
        <v>37553</v>
      </c>
      <c r="Q33" s="406">
        <v>82471</v>
      </c>
      <c r="R33" s="406">
        <v>20432</v>
      </c>
      <c r="S33" s="406">
        <v>17863</v>
      </c>
      <c r="T33" s="406">
        <v>38295</v>
      </c>
    </row>
    <row r="34" spans="1:20" ht="15.75">
      <c r="A34" s="137">
        <v>2019</v>
      </c>
      <c r="B34" s="135">
        <v>8</v>
      </c>
      <c r="C34" s="406">
        <v>436892</v>
      </c>
      <c r="D34" s="406">
        <v>259264</v>
      </c>
      <c r="E34" s="406">
        <v>696156</v>
      </c>
      <c r="F34" s="406">
        <v>193100</v>
      </c>
      <c r="G34" s="406">
        <v>144648</v>
      </c>
      <c r="H34" s="406">
        <v>337748</v>
      </c>
      <c r="I34" s="406">
        <v>66878</v>
      </c>
      <c r="J34" s="406">
        <v>48787</v>
      </c>
      <c r="K34" s="406">
        <v>115665</v>
      </c>
      <c r="L34" s="406">
        <v>28431</v>
      </c>
      <c r="M34" s="406">
        <v>18994</v>
      </c>
      <c r="N34" s="406">
        <v>47425</v>
      </c>
      <c r="O34" s="406">
        <v>41953</v>
      </c>
      <c r="P34" s="406">
        <v>30716</v>
      </c>
      <c r="Q34" s="406">
        <v>72669</v>
      </c>
      <c r="R34" s="406">
        <v>18024</v>
      </c>
      <c r="S34" s="406">
        <v>14744</v>
      </c>
      <c r="T34" s="406">
        <v>32768</v>
      </c>
    </row>
    <row r="35" spans="1:20" ht="15.75">
      <c r="A35" s="137">
        <v>2020</v>
      </c>
      <c r="B35" s="135">
        <v>8</v>
      </c>
      <c r="C35" s="406">
        <v>399666</v>
      </c>
      <c r="D35" s="406">
        <v>244446</v>
      </c>
      <c r="E35" s="406">
        <v>644112</v>
      </c>
      <c r="F35" s="406">
        <v>262310</v>
      </c>
      <c r="G35" s="406">
        <v>168490</v>
      </c>
      <c r="H35" s="406">
        <v>430800</v>
      </c>
      <c r="I35" s="406">
        <v>62134</v>
      </c>
      <c r="J35" s="406">
        <v>41378</v>
      </c>
      <c r="K35" s="406">
        <v>103512</v>
      </c>
      <c r="L35" s="406">
        <v>37408</v>
      </c>
      <c r="M35" s="406">
        <v>26221</v>
      </c>
      <c r="N35" s="406">
        <v>63629</v>
      </c>
      <c r="O35" s="406">
        <v>46654</v>
      </c>
      <c r="P35" s="406">
        <v>31420</v>
      </c>
      <c r="Q35" s="406">
        <v>78074</v>
      </c>
      <c r="R35" s="406">
        <v>27436</v>
      </c>
      <c r="S35" s="406">
        <v>20579</v>
      </c>
      <c r="T35" s="406">
        <v>48015</v>
      </c>
    </row>
    <row r="36" spans="1:20" ht="15.75">
      <c r="B36" s="142"/>
    </row>
    <row r="37" spans="1:20" ht="49.5" customHeight="1">
      <c r="A37" s="130"/>
      <c r="B37" s="142"/>
      <c r="C37" s="528" t="s">
        <v>367</v>
      </c>
      <c r="D37" s="528"/>
      <c r="E37" s="528"/>
      <c r="F37" s="528"/>
      <c r="G37" s="528"/>
      <c r="H37" s="528"/>
      <c r="I37" s="528" t="s">
        <v>367</v>
      </c>
      <c r="J37" s="528"/>
      <c r="K37" s="528"/>
      <c r="L37" s="528"/>
      <c r="M37" s="528"/>
      <c r="N37" s="528"/>
      <c r="O37" s="528" t="s">
        <v>367</v>
      </c>
      <c r="P37" s="528"/>
      <c r="Q37" s="528"/>
      <c r="R37" s="528"/>
      <c r="S37" s="528"/>
      <c r="T37" s="528"/>
    </row>
    <row r="38" spans="1:20" ht="15" customHeight="1">
      <c r="A38" s="458" t="s">
        <v>218</v>
      </c>
      <c r="B38" s="460" t="s">
        <v>327</v>
      </c>
      <c r="C38" s="458" t="s">
        <v>188</v>
      </c>
      <c r="D38" s="458"/>
      <c r="E38" s="458"/>
      <c r="F38" s="458"/>
      <c r="G38" s="458"/>
      <c r="H38" s="458"/>
      <c r="I38" s="458" t="s">
        <v>188</v>
      </c>
      <c r="J38" s="458"/>
      <c r="K38" s="458"/>
      <c r="L38" s="458"/>
      <c r="M38" s="458"/>
      <c r="N38" s="458"/>
      <c r="O38" s="458" t="s">
        <v>188</v>
      </c>
      <c r="P38" s="458"/>
      <c r="Q38" s="458"/>
      <c r="R38" s="458"/>
      <c r="S38" s="458"/>
      <c r="T38" s="458"/>
    </row>
    <row r="39" spans="1:20">
      <c r="A39" s="458"/>
      <c r="B39" s="461"/>
      <c r="C39" s="458" t="s">
        <v>219</v>
      </c>
      <c r="D39" s="458"/>
      <c r="E39" s="458"/>
      <c r="F39" s="458"/>
      <c r="G39" s="458"/>
      <c r="H39" s="458"/>
      <c r="I39" s="458" t="s">
        <v>220</v>
      </c>
      <c r="J39" s="458"/>
      <c r="K39" s="458"/>
      <c r="L39" s="458"/>
      <c r="M39" s="458"/>
      <c r="N39" s="458"/>
      <c r="O39" s="458" t="s">
        <v>221</v>
      </c>
      <c r="P39" s="458"/>
      <c r="Q39" s="458"/>
      <c r="R39" s="458"/>
      <c r="S39" s="458"/>
      <c r="T39" s="458"/>
    </row>
    <row r="40" spans="1:20">
      <c r="A40" s="458"/>
      <c r="B40" s="461"/>
      <c r="C40" s="458" t="s">
        <v>5</v>
      </c>
      <c r="D40" s="458"/>
      <c r="E40" s="458"/>
      <c r="F40" s="458" t="s">
        <v>6</v>
      </c>
      <c r="G40" s="458"/>
      <c r="H40" s="458"/>
      <c r="I40" s="458" t="s">
        <v>5</v>
      </c>
      <c r="J40" s="458"/>
      <c r="K40" s="458"/>
      <c r="L40" s="458" t="s">
        <v>6</v>
      </c>
      <c r="M40" s="458"/>
      <c r="N40" s="458"/>
      <c r="O40" s="458" t="s">
        <v>5</v>
      </c>
      <c r="P40" s="458"/>
      <c r="Q40" s="458"/>
      <c r="R40" s="458" t="s">
        <v>6</v>
      </c>
      <c r="S40" s="458"/>
      <c r="T40" s="458"/>
    </row>
    <row r="41" spans="1:20">
      <c r="A41" s="458"/>
      <c r="B41" s="461"/>
      <c r="C41" s="392" t="s">
        <v>43</v>
      </c>
      <c r="D41" s="392" t="s">
        <v>44</v>
      </c>
      <c r="E41" s="392" t="s">
        <v>3</v>
      </c>
      <c r="F41" s="392" t="s">
        <v>43</v>
      </c>
      <c r="G41" s="392" t="s">
        <v>44</v>
      </c>
      <c r="H41" s="392" t="s">
        <v>3</v>
      </c>
      <c r="I41" s="392" t="s">
        <v>43</v>
      </c>
      <c r="J41" s="392" t="s">
        <v>44</v>
      </c>
      <c r="K41" s="392" t="s">
        <v>3</v>
      </c>
      <c r="L41" s="392" t="s">
        <v>43</v>
      </c>
      <c r="M41" s="392" t="s">
        <v>44</v>
      </c>
      <c r="N41" s="392" t="s">
        <v>3</v>
      </c>
      <c r="O41" s="392" t="s">
        <v>43</v>
      </c>
      <c r="P41" s="392" t="s">
        <v>44</v>
      </c>
      <c r="Q41" s="392" t="s">
        <v>3</v>
      </c>
      <c r="R41" s="392" t="s">
        <v>43</v>
      </c>
      <c r="S41" s="392" t="s">
        <v>44</v>
      </c>
      <c r="T41" s="392" t="s">
        <v>3</v>
      </c>
    </row>
    <row r="42" spans="1:20">
      <c r="A42" s="133">
        <v>1</v>
      </c>
      <c r="B42" s="133">
        <v>2</v>
      </c>
      <c r="C42" s="133">
        <v>3</v>
      </c>
      <c r="D42" s="133">
        <v>4</v>
      </c>
      <c r="E42" s="133">
        <v>5</v>
      </c>
      <c r="F42" s="133">
        <v>6</v>
      </c>
      <c r="G42" s="133">
        <v>7</v>
      </c>
      <c r="H42" s="133">
        <v>8</v>
      </c>
      <c r="I42" s="133">
        <v>9</v>
      </c>
      <c r="J42" s="133">
        <v>10</v>
      </c>
      <c r="K42" s="133">
        <v>11</v>
      </c>
      <c r="L42" s="133">
        <v>12</v>
      </c>
      <c r="M42" s="133">
        <v>13</v>
      </c>
      <c r="N42" s="133">
        <v>14</v>
      </c>
      <c r="O42" s="133">
        <v>15</v>
      </c>
      <c r="P42" s="133">
        <v>16</v>
      </c>
      <c r="Q42" s="133">
        <v>17</v>
      </c>
      <c r="R42" s="133">
        <v>18</v>
      </c>
      <c r="S42" s="133">
        <v>19</v>
      </c>
      <c r="T42" s="133">
        <v>20</v>
      </c>
    </row>
    <row r="43" spans="1:20" ht="15.75">
      <c r="A43" s="134">
        <v>2010</v>
      </c>
      <c r="B43" s="135">
        <f t="shared" ref="B43:B52" si="0">+B7+B25</f>
        <v>40</v>
      </c>
      <c r="C43" s="406">
        <v>9684041</v>
      </c>
      <c r="D43" s="406">
        <v>7565925</v>
      </c>
      <c r="E43" s="406">
        <v>17249966</v>
      </c>
      <c r="F43" s="406">
        <v>7029237</v>
      </c>
      <c r="G43" s="406">
        <v>5793147</v>
      </c>
      <c r="H43" s="406">
        <v>12822384</v>
      </c>
      <c r="I43" s="406">
        <v>1562519</v>
      </c>
      <c r="J43" s="406">
        <v>1197413</v>
      </c>
      <c r="K43" s="406">
        <v>2759932</v>
      </c>
      <c r="L43" s="406">
        <v>1043901</v>
      </c>
      <c r="M43" s="406">
        <v>847979</v>
      </c>
      <c r="N43" s="406">
        <v>1891880</v>
      </c>
      <c r="O43" s="406">
        <v>643452</v>
      </c>
      <c r="P43" s="406">
        <v>502036</v>
      </c>
      <c r="Q43" s="406">
        <v>1145488</v>
      </c>
      <c r="R43" s="406">
        <v>396628</v>
      </c>
      <c r="S43" s="406">
        <v>305158</v>
      </c>
      <c r="T43" s="406">
        <v>701786</v>
      </c>
    </row>
    <row r="44" spans="1:20" ht="15.75">
      <c r="A44" s="137">
        <v>2011</v>
      </c>
      <c r="B44" s="135">
        <f t="shared" si="0"/>
        <v>40</v>
      </c>
      <c r="C44" s="406">
        <v>10118563</v>
      </c>
      <c r="D44" s="406">
        <v>8037937</v>
      </c>
      <c r="E44" s="406">
        <v>18161271</v>
      </c>
      <c r="F44" s="406">
        <v>7371246</v>
      </c>
      <c r="G44" s="406">
        <v>6131148</v>
      </c>
      <c r="H44" s="406">
        <v>13504606</v>
      </c>
      <c r="I44" s="406">
        <v>1742153</v>
      </c>
      <c r="J44" s="406">
        <v>1413230</v>
      </c>
      <c r="K44" s="406">
        <v>3155383</v>
      </c>
      <c r="L44" s="406">
        <v>1181106</v>
      </c>
      <c r="M44" s="406">
        <v>996222</v>
      </c>
      <c r="N44" s="406">
        <v>2177328</v>
      </c>
      <c r="O44" s="406">
        <v>698190</v>
      </c>
      <c r="P44" s="406">
        <v>562449</v>
      </c>
      <c r="Q44" s="406">
        <v>1260639</v>
      </c>
      <c r="R44" s="406">
        <v>438353</v>
      </c>
      <c r="S44" s="406">
        <v>349358</v>
      </c>
      <c r="T44" s="406">
        <v>787711</v>
      </c>
    </row>
    <row r="45" spans="1:20" ht="15.75">
      <c r="A45" s="134">
        <v>2012</v>
      </c>
      <c r="B45" s="135">
        <f t="shared" si="0"/>
        <v>40</v>
      </c>
      <c r="C45" s="406">
        <v>10287144</v>
      </c>
      <c r="D45" s="406">
        <v>8287633</v>
      </c>
      <c r="E45" s="406">
        <v>18574777</v>
      </c>
      <c r="F45" s="406">
        <v>7648530</v>
      </c>
      <c r="G45" s="406">
        <v>6462590</v>
      </c>
      <c r="H45" s="406">
        <v>14111120</v>
      </c>
      <c r="I45" s="406">
        <v>1653275</v>
      </c>
      <c r="J45" s="406">
        <v>1315217</v>
      </c>
      <c r="K45" s="406">
        <v>2968492</v>
      </c>
      <c r="L45" s="406">
        <v>1132109</v>
      </c>
      <c r="M45" s="406">
        <v>950433</v>
      </c>
      <c r="N45" s="406">
        <v>2082542</v>
      </c>
      <c r="O45" s="406">
        <v>677858</v>
      </c>
      <c r="P45" s="406">
        <v>575279</v>
      </c>
      <c r="Q45" s="406">
        <v>1253137</v>
      </c>
      <c r="R45" s="406">
        <v>416962</v>
      </c>
      <c r="S45" s="406">
        <v>352776</v>
      </c>
      <c r="T45" s="406">
        <v>769738</v>
      </c>
    </row>
    <row r="46" spans="1:20" ht="15.75">
      <c r="A46" s="137">
        <v>2013</v>
      </c>
      <c r="B46" s="135">
        <f t="shared" si="0"/>
        <v>41</v>
      </c>
      <c r="C46" s="406">
        <v>10904655</v>
      </c>
      <c r="D46" s="406">
        <v>8829960</v>
      </c>
      <c r="E46" s="406">
        <v>19734615</v>
      </c>
      <c r="F46" s="406">
        <v>8257716</v>
      </c>
      <c r="G46" s="406">
        <v>7061772</v>
      </c>
      <c r="H46" s="406">
        <v>15319488</v>
      </c>
      <c r="I46" s="406">
        <v>1825760</v>
      </c>
      <c r="J46" s="406">
        <v>1489446</v>
      </c>
      <c r="K46" s="406">
        <v>3315206</v>
      </c>
      <c r="L46" s="406">
        <v>1265090</v>
      </c>
      <c r="M46" s="406">
        <v>1093073</v>
      </c>
      <c r="N46" s="406">
        <v>2358163</v>
      </c>
      <c r="O46" s="406">
        <v>787070</v>
      </c>
      <c r="P46" s="406">
        <v>691945</v>
      </c>
      <c r="Q46" s="406">
        <v>1479015</v>
      </c>
      <c r="R46" s="406">
        <v>502983</v>
      </c>
      <c r="S46" s="406">
        <v>446062</v>
      </c>
      <c r="T46" s="406">
        <v>949045</v>
      </c>
    </row>
    <row r="47" spans="1:20" ht="15.75">
      <c r="A47" s="137">
        <v>2014</v>
      </c>
      <c r="B47" s="135">
        <f t="shared" si="0"/>
        <v>41</v>
      </c>
      <c r="C47" s="406">
        <v>10601867</v>
      </c>
      <c r="D47" s="406">
        <v>8864399</v>
      </c>
      <c r="E47" s="406">
        <v>19466266</v>
      </c>
      <c r="F47" s="406">
        <v>8221455</v>
      </c>
      <c r="G47" s="406">
        <v>7171919</v>
      </c>
      <c r="H47" s="406">
        <v>15393374</v>
      </c>
      <c r="I47" s="406">
        <v>1808730</v>
      </c>
      <c r="J47" s="406">
        <v>1518501</v>
      </c>
      <c r="K47" s="406">
        <v>3327231</v>
      </c>
      <c r="L47" s="406">
        <v>1294748</v>
      </c>
      <c r="M47" s="406">
        <v>1142190</v>
      </c>
      <c r="N47" s="406">
        <v>2436938</v>
      </c>
      <c r="O47" s="406">
        <v>801513</v>
      </c>
      <c r="P47" s="406">
        <v>735177</v>
      </c>
      <c r="Q47" s="406">
        <v>1536690</v>
      </c>
      <c r="R47" s="406">
        <v>522123</v>
      </c>
      <c r="S47" s="406">
        <v>469796</v>
      </c>
      <c r="T47" s="406">
        <v>991919</v>
      </c>
    </row>
    <row r="48" spans="1:20" ht="15.75">
      <c r="A48" s="137">
        <v>2015</v>
      </c>
      <c r="B48" s="135">
        <f t="shared" si="0"/>
        <v>41</v>
      </c>
      <c r="C48" s="406">
        <v>10292567</v>
      </c>
      <c r="D48" s="406">
        <v>8865570</v>
      </c>
      <c r="E48" s="406">
        <v>19158137</v>
      </c>
      <c r="F48" s="406">
        <v>7968166</v>
      </c>
      <c r="G48" s="406">
        <v>7136789</v>
      </c>
      <c r="H48" s="406">
        <v>15104955</v>
      </c>
      <c r="I48" s="406">
        <v>1762729</v>
      </c>
      <c r="J48" s="406">
        <v>1519038</v>
      </c>
      <c r="K48" s="406">
        <v>3281767</v>
      </c>
      <c r="L48" s="406">
        <v>1266714</v>
      </c>
      <c r="M48" s="406">
        <v>1136130</v>
      </c>
      <c r="N48" s="406">
        <v>2402844</v>
      </c>
      <c r="O48" s="406">
        <v>783988</v>
      </c>
      <c r="P48" s="406">
        <v>736790</v>
      </c>
      <c r="Q48" s="406">
        <v>1521109</v>
      </c>
      <c r="R48" s="406">
        <v>509950</v>
      </c>
      <c r="S48" s="406">
        <v>466163</v>
      </c>
      <c r="T48" s="406">
        <v>976113</v>
      </c>
    </row>
    <row r="49" spans="1:20" ht="15.75">
      <c r="A49" s="137">
        <v>2016</v>
      </c>
      <c r="B49" s="135">
        <f t="shared" si="0"/>
        <v>49</v>
      </c>
      <c r="C49" s="406">
        <v>10820446</v>
      </c>
      <c r="D49" s="406">
        <v>9189510</v>
      </c>
      <c r="E49" s="406">
        <v>20009956</v>
      </c>
      <c r="F49" s="406">
        <v>8266497</v>
      </c>
      <c r="G49" s="406">
        <v>7245671</v>
      </c>
      <c r="H49" s="406">
        <v>15512168</v>
      </c>
      <c r="I49" s="406">
        <v>1958214</v>
      </c>
      <c r="J49" s="406">
        <v>1656040</v>
      </c>
      <c r="K49" s="406">
        <v>3614254</v>
      </c>
      <c r="L49" s="406">
        <v>1371876</v>
      </c>
      <c r="M49" s="406">
        <v>1215805</v>
      </c>
      <c r="N49" s="406">
        <v>2587681</v>
      </c>
      <c r="O49" s="406">
        <v>832040</v>
      </c>
      <c r="P49" s="406">
        <v>773005</v>
      </c>
      <c r="Q49" s="406">
        <v>1605045</v>
      </c>
      <c r="R49" s="406">
        <v>527895</v>
      </c>
      <c r="S49" s="406">
        <v>491874</v>
      </c>
      <c r="T49" s="406">
        <v>1019769</v>
      </c>
    </row>
    <row r="50" spans="1:20" ht="15.75">
      <c r="A50" s="137">
        <v>2017</v>
      </c>
      <c r="B50" s="135">
        <f t="shared" si="0"/>
        <v>48</v>
      </c>
      <c r="C50" s="406">
        <v>10765030</v>
      </c>
      <c r="D50" s="406">
        <v>9210795</v>
      </c>
      <c r="E50" s="406">
        <v>19975825</v>
      </c>
      <c r="F50" s="406">
        <v>8028747</v>
      </c>
      <c r="G50" s="406">
        <v>7106745</v>
      </c>
      <c r="H50" s="406">
        <v>15135492</v>
      </c>
      <c r="I50" s="406">
        <v>1884483</v>
      </c>
      <c r="J50" s="406">
        <v>1655754</v>
      </c>
      <c r="K50" s="406">
        <v>3540237</v>
      </c>
      <c r="L50" s="406">
        <v>1290811</v>
      </c>
      <c r="M50" s="406">
        <v>1178673</v>
      </c>
      <c r="N50" s="406">
        <v>2469484</v>
      </c>
      <c r="O50" s="406">
        <v>804344</v>
      </c>
      <c r="P50" s="406">
        <v>770760</v>
      </c>
      <c r="Q50" s="406">
        <v>1575104</v>
      </c>
      <c r="R50" s="406">
        <v>528205</v>
      </c>
      <c r="S50" s="406">
        <v>509021</v>
      </c>
      <c r="T50" s="406">
        <v>1037226</v>
      </c>
    </row>
    <row r="51" spans="1:20" ht="15.75">
      <c r="A51" s="137">
        <v>2018</v>
      </c>
      <c r="B51" s="135">
        <f t="shared" si="0"/>
        <v>50</v>
      </c>
      <c r="C51" s="406">
        <v>10654237</v>
      </c>
      <c r="D51" s="406">
        <v>9220327</v>
      </c>
      <c r="E51" s="406">
        <v>19877318</v>
      </c>
      <c r="F51" s="406">
        <v>7851779</v>
      </c>
      <c r="G51" s="406">
        <v>7039415</v>
      </c>
      <c r="H51" s="406">
        <v>15324440</v>
      </c>
      <c r="I51" s="406">
        <v>1861239</v>
      </c>
      <c r="J51" s="406">
        <v>1633015</v>
      </c>
      <c r="K51" s="406">
        <v>3538239</v>
      </c>
      <c r="L51" s="406">
        <v>1309274</v>
      </c>
      <c r="M51" s="406">
        <v>1180399</v>
      </c>
      <c r="N51" s="406">
        <v>2531546</v>
      </c>
      <c r="O51" s="406">
        <v>791474</v>
      </c>
      <c r="P51" s="406">
        <v>764364</v>
      </c>
      <c r="Q51" s="406">
        <v>1563946</v>
      </c>
      <c r="R51" s="406">
        <v>522520</v>
      </c>
      <c r="S51" s="406">
        <v>511520</v>
      </c>
      <c r="T51" s="406">
        <v>1041095</v>
      </c>
    </row>
    <row r="52" spans="1:20" ht="15.75">
      <c r="A52" s="137">
        <v>2019</v>
      </c>
      <c r="B52" s="135">
        <f t="shared" si="0"/>
        <v>50</v>
      </c>
      <c r="C52" s="406">
        <f t="shared" ref="C52:T53" si="1">+C16+C34</f>
        <v>10287834</v>
      </c>
      <c r="D52" s="406">
        <f t="shared" si="1"/>
        <v>9102626</v>
      </c>
      <c r="E52" s="406">
        <f t="shared" si="1"/>
        <v>19390460</v>
      </c>
      <c r="F52" s="407">
        <f t="shared" si="1"/>
        <v>7945733</v>
      </c>
      <c r="G52" s="406">
        <f t="shared" si="1"/>
        <v>7444304</v>
      </c>
      <c r="H52" s="406">
        <f t="shared" si="1"/>
        <v>15390037</v>
      </c>
      <c r="I52" s="406">
        <f t="shared" si="1"/>
        <v>1776130</v>
      </c>
      <c r="J52" s="407">
        <f t="shared" si="1"/>
        <v>1617640</v>
      </c>
      <c r="K52" s="406">
        <f t="shared" si="1"/>
        <v>3393770</v>
      </c>
      <c r="L52" s="406">
        <f t="shared" si="1"/>
        <v>1288204</v>
      </c>
      <c r="M52" s="406">
        <f t="shared" si="1"/>
        <v>1229470</v>
      </c>
      <c r="N52" s="407">
        <f t="shared" si="1"/>
        <v>2517674</v>
      </c>
      <c r="O52" s="406">
        <f t="shared" si="1"/>
        <v>765648</v>
      </c>
      <c r="P52" s="406">
        <f t="shared" si="1"/>
        <v>750693</v>
      </c>
      <c r="Q52" s="406">
        <f t="shared" si="1"/>
        <v>1516341</v>
      </c>
      <c r="R52" s="407">
        <f t="shared" si="1"/>
        <v>504498</v>
      </c>
      <c r="S52" s="406">
        <f t="shared" si="1"/>
        <v>514832</v>
      </c>
      <c r="T52" s="406">
        <f t="shared" si="1"/>
        <v>1019330</v>
      </c>
    </row>
    <row r="53" spans="1:20" ht="15.75">
      <c r="A53" s="137">
        <v>2020</v>
      </c>
      <c r="B53" s="405">
        <v>50</v>
      </c>
      <c r="C53" s="406">
        <f t="shared" si="1"/>
        <v>10235317</v>
      </c>
      <c r="D53" s="406">
        <f t="shared" si="1"/>
        <v>9088324</v>
      </c>
      <c r="E53" s="406">
        <f t="shared" si="1"/>
        <v>19323641</v>
      </c>
      <c r="F53" s="407">
        <f t="shared" si="1"/>
        <v>8424306</v>
      </c>
      <c r="G53" s="406">
        <f t="shared" si="1"/>
        <v>7774688</v>
      </c>
      <c r="H53" s="406">
        <f t="shared" si="1"/>
        <v>16198994</v>
      </c>
      <c r="I53" s="406">
        <f t="shared" si="1"/>
        <v>1764137</v>
      </c>
      <c r="J53" s="407">
        <f t="shared" si="1"/>
        <v>1619351</v>
      </c>
      <c r="K53" s="406">
        <f t="shared" si="1"/>
        <v>3383488</v>
      </c>
      <c r="L53" s="406">
        <f t="shared" si="1"/>
        <v>1397874</v>
      </c>
      <c r="M53" s="406">
        <f t="shared" si="1"/>
        <v>1327800</v>
      </c>
      <c r="N53" s="407">
        <f t="shared" si="1"/>
        <v>2725674</v>
      </c>
      <c r="O53" s="406">
        <f t="shared" si="1"/>
        <v>764470</v>
      </c>
      <c r="P53" s="406">
        <f t="shared" si="1"/>
        <v>748136</v>
      </c>
      <c r="Q53" s="406">
        <f t="shared" si="1"/>
        <v>1512606</v>
      </c>
      <c r="R53" s="407">
        <f t="shared" si="1"/>
        <v>545394</v>
      </c>
      <c r="S53" s="406">
        <f t="shared" si="1"/>
        <v>551857</v>
      </c>
      <c r="T53" s="406">
        <f t="shared" si="1"/>
        <v>1097251</v>
      </c>
    </row>
  </sheetData>
  <mergeCells count="51">
    <mergeCell ref="C1:H1"/>
    <mergeCell ref="I1:N1"/>
    <mergeCell ref="O1:T1"/>
    <mergeCell ref="A2:A5"/>
    <mergeCell ref="B2:B5"/>
    <mergeCell ref="C2:H2"/>
    <mergeCell ref="I2:N2"/>
    <mergeCell ref="O2:T2"/>
    <mergeCell ref="C3:H3"/>
    <mergeCell ref="I3:N3"/>
    <mergeCell ref="O3:T3"/>
    <mergeCell ref="C4:E4"/>
    <mergeCell ref="F4:H4"/>
    <mergeCell ref="I4:K4"/>
    <mergeCell ref="L4:N4"/>
    <mergeCell ref="O4:Q4"/>
    <mergeCell ref="R4:T4"/>
    <mergeCell ref="C19:H19"/>
    <mergeCell ref="I19:N19"/>
    <mergeCell ref="O19:T19"/>
    <mergeCell ref="A20:A23"/>
    <mergeCell ref="B20:B23"/>
    <mergeCell ref="C20:H20"/>
    <mergeCell ref="I20:N20"/>
    <mergeCell ref="O20:T20"/>
    <mergeCell ref="C21:H21"/>
    <mergeCell ref="I21:N21"/>
    <mergeCell ref="O21:T21"/>
    <mergeCell ref="C22:E22"/>
    <mergeCell ref="F22:H22"/>
    <mergeCell ref="I22:K22"/>
    <mergeCell ref="L22:N22"/>
    <mergeCell ref="O22:Q22"/>
    <mergeCell ref="R22:T22"/>
    <mergeCell ref="C37:H37"/>
    <mergeCell ref="I37:N37"/>
    <mergeCell ref="O37:T37"/>
    <mergeCell ref="A38:A41"/>
    <mergeCell ref="B38:B41"/>
    <mergeCell ref="C38:H38"/>
    <mergeCell ref="I38:N38"/>
    <mergeCell ref="O38:T38"/>
    <mergeCell ref="C39:H39"/>
    <mergeCell ref="I39:N39"/>
    <mergeCell ref="O39:T39"/>
    <mergeCell ref="C40:E40"/>
    <mergeCell ref="F40:H40"/>
    <mergeCell ref="I40:K40"/>
    <mergeCell ref="L40:N40"/>
    <mergeCell ref="O40:Q40"/>
    <mergeCell ref="R40:T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Sheet1</vt:lpstr>
      <vt:lpstr>Class-X Boardwise</vt:lpstr>
      <vt:lpstr>2020 Board</vt:lpstr>
      <vt:lpstr>2020 open</vt:lpstr>
      <vt:lpstr>Board</vt:lpstr>
      <vt:lpstr>Open Board</vt:lpstr>
      <vt:lpstr>TS_Final</vt:lpstr>
      <vt:lpstr>2016</vt:lpstr>
      <vt:lpstr>2015</vt:lpstr>
      <vt:lpstr>2014</vt:lpstr>
      <vt:lpstr>2013</vt:lpstr>
      <vt:lpstr>2012</vt:lpstr>
      <vt:lpstr>2011</vt:lpstr>
      <vt:lpstr>TS</vt:lpstr>
      <vt:lpstr>'2015'!Print_Area</vt:lpstr>
      <vt:lpstr>'2020 Board'!Print_Area</vt:lpstr>
      <vt:lpstr>'2020 open'!Print_Area</vt:lpstr>
      <vt:lpstr>Board!Print_Area</vt:lpstr>
      <vt:lpstr>TS_Final!Print_Area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'2020 Board'!Print_Titles</vt:lpstr>
      <vt:lpstr>'2020 open'!Print_Titles</vt:lpstr>
      <vt:lpstr>Board!Print_Titles</vt:lpstr>
      <vt:lpstr>TS_Final!Print_Titles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2019-09-18T05:36:09Z</cp:lastPrinted>
  <dcterms:created xsi:type="dcterms:W3CDTF">2018-01-23T05:44:31Z</dcterms:created>
  <dcterms:modified xsi:type="dcterms:W3CDTF">2021-11-05T11:35:48Z</dcterms:modified>
</cp:coreProperties>
</file>