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50" windowWidth="9735" windowHeight="8445" activeTab="0"/>
  </bookViews>
  <sheets>
    <sheet name="Board" sheetId="1" r:id="rId1"/>
    <sheet name="OpenBoard" sheetId="2" r:id="rId2"/>
    <sheet name="Stream-wise" sheetId="3" r:id="rId3"/>
    <sheet name="TS" sheetId="4" r:id="rId4"/>
    <sheet name="Pass%TS" sheetId="5" r:id="rId5"/>
  </sheets>
  <definedNames>
    <definedName name="_xlnm.Print_Area" localSheetId="0">'Board'!$A$1:$HS$54</definedName>
    <definedName name="_xlnm.Print_Area" localSheetId="1">'OpenBoard'!$A$1:$BS$19</definedName>
    <definedName name="_xlnm.Print_Area" localSheetId="2">'Stream-wise'!$A$1:$CE$55</definedName>
    <definedName name="_xlnm.Print_Titles" localSheetId="0">'Board'!$A:$B,'Board'!$1:$7</definedName>
    <definedName name="_xlnm.Print_Titles" localSheetId="1">'OpenBoard'!$A:$B</definedName>
    <definedName name="_xlnm.Print_Titles" localSheetId="2">'Stream-wise'!$A:$B,'Stream-wise'!$1:$7</definedName>
    <definedName name="_xlnm.Print_Titles" localSheetId="3">'TS'!$A:$B</definedName>
  </definedNames>
  <calcPr fullCalcOnLoad="1"/>
</workbook>
</file>

<file path=xl/sharedStrings.xml><?xml version="1.0" encoding="utf-8"?>
<sst xmlns="http://schemas.openxmlformats.org/spreadsheetml/2006/main" count="859" uniqueCount="125">
  <si>
    <t>Name of the Board</t>
  </si>
  <si>
    <t>Number of Students</t>
  </si>
  <si>
    <t>Appeared</t>
  </si>
  <si>
    <t>Passed</t>
  </si>
  <si>
    <t>Pass %age</t>
  </si>
  <si>
    <t>Boys</t>
  </si>
  <si>
    <t>Girls</t>
  </si>
  <si>
    <t>Total</t>
  </si>
  <si>
    <t xml:space="preserve">Note: In Open Schooling System, candidates are not classified as 'Regular' or 'Private". </t>
  </si>
  <si>
    <t>Central Boards</t>
  </si>
  <si>
    <t>State Boards</t>
  </si>
  <si>
    <r>
      <t xml:space="preserve">National Institute of Open Schooling, </t>
    </r>
    <r>
      <rPr>
        <b/>
        <sz val="11"/>
        <rFont val="Cambria"/>
        <family val="1"/>
      </rPr>
      <t>New Delhi</t>
    </r>
  </si>
  <si>
    <t>Table 1- Annual and Supplementary Examination Results - Regular Students - All Categories</t>
  </si>
  <si>
    <t>Table 2 -Annual and Supplementary Examination Results - Private Students - All Categories</t>
  </si>
  <si>
    <t>Table 4 -Annual and Supplementary Examination Results - Regular SC Students</t>
  </si>
  <si>
    <t>Table 5 -Annual and Supplementary Examination Results - Private SC Students</t>
  </si>
  <si>
    <t>Table 7 -Annual and Supplementary Examination Results - Regular ST Students</t>
  </si>
  <si>
    <t>Table 8 -Annual and Supplementary Examination Results - Private ST Students</t>
  </si>
  <si>
    <t>Sl. No.</t>
  </si>
  <si>
    <t>Annual</t>
  </si>
  <si>
    <t>Supplementary</t>
  </si>
  <si>
    <t>Annual + Supplementary</t>
  </si>
  <si>
    <t>Central Board of Secondary Education, New Delhi</t>
  </si>
  <si>
    <t>All Categories</t>
  </si>
  <si>
    <t>Scheduled Caste</t>
  </si>
  <si>
    <t>Scheduled Tribe</t>
  </si>
  <si>
    <t>Year</t>
  </si>
  <si>
    <t>Percentage of Students passed with marks</t>
  </si>
  <si>
    <t>Total Number of Students Passed</t>
  </si>
  <si>
    <t>Out of the Total, Number of Students passed with marks</t>
  </si>
  <si>
    <t>Table 10 -Annual and Supplementary Examination Results - Regular OBC Students</t>
  </si>
  <si>
    <t>Table 11 -Annual and Supplementary Examination Results - Private OBC Students</t>
  </si>
  <si>
    <t>Table 12 -Annual and Supplementary Examination Results - Regular + Private OBC Students</t>
  </si>
  <si>
    <t>Table 13 -Annual and Supplementary Examination Results - Percentage-wise-All Categories</t>
  </si>
  <si>
    <t>Table 14 -Annual and Supplementary Examination Results - Percentage-wise-SC Students</t>
  </si>
  <si>
    <t>Table 15 -Annual and Supplementary Examination Results - Percentage-wise-ST Students</t>
  </si>
  <si>
    <t>75% &amp; above</t>
  </si>
  <si>
    <t>60% to below 75%</t>
  </si>
  <si>
    <t>Other Backward Classes</t>
  </si>
  <si>
    <t>Board of Intermediate Education, Andhra Pradesh</t>
  </si>
  <si>
    <t>Assam Higher Secondary Education Council</t>
  </si>
  <si>
    <t>Bihar Intermediate Education Council</t>
  </si>
  <si>
    <t>Chhattisgarh Board of Secondary Education</t>
  </si>
  <si>
    <t>Chhatisgarh Sanskriti Vidya Mandalam</t>
  </si>
  <si>
    <t>Goa Board of Secondary &amp; Higher Secondary Education</t>
  </si>
  <si>
    <t>Gujarat Secondary &amp; Higher Secondary Education Board</t>
  </si>
  <si>
    <t>Board of School Education Haryana, Bhiwani</t>
  </si>
  <si>
    <t>H.P. Board of School Education, Dharamshala</t>
  </si>
  <si>
    <t>J.K State Board of School Education</t>
  </si>
  <si>
    <t>Jharkhand Academic Council, Ranchi</t>
  </si>
  <si>
    <t>Department of Pre-University Education, Karnataka</t>
  </si>
  <si>
    <t>Kerala Board of Higher Secondary Examination</t>
  </si>
  <si>
    <t>Maharashtra State Board of Secondary &amp; Higher Secondary Education</t>
  </si>
  <si>
    <t>Board of Secondary Education, Madhya Pradesh</t>
  </si>
  <si>
    <t>Council of Higher Secondary Education, Imphal, Manipur</t>
  </si>
  <si>
    <t>Meghalaya Board of School Education</t>
  </si>
  <si>
    <t>Mizoram Board of School Education</t>
  </si>
  <si>
    <t>Nagaland Board of School Education</t>
  </si>
  <si>
    <t>Council of Higher Secondary Education, Orissa</t>
  </si>
  <si>
    <t>Punjab School Education Board, Mohali</t>
  </si>
  <si>
    <t>Tamil Nadu State Board of School Examination</t>
  </si>
  <si>
    <t>Tripura Board of Secondary Education</t>
  </si>
  <si>
    <t>Uttar Pradesh Board of High School &amp; Intermediate Education</t>
  </si>
  <si>
    <t>Uttranchal Shiksha Evm Pariksha Parishad, Ramnagar</t>
  </si>
  <si>
    <t>West Bengal Council of Higher Education, Kolkata</t>
  </si>
  <si>
    <r>
      <t>Chattisgarh</t>
    </r>
    <r>
      <rPr>
        <sz val="11"/>
        <rFont val="Cambria"/>
        <family val="1"/>
      </rPr>
      <t xml:space="preserve"> State Open School</t>
    </r>
  </si>
  <si>
    <r>
      <t>Madhya Pradesh</t>
    </r>
    <r>
      <rPr>
        <sz val="11"/>
        <rFont val="Cambria"/>
        <family val="1"/>
      </rPr>
      <t xml:space="preserve"> State Open School Board of Secondary Education </t>
    </r>
  </si>
  <si>
    <r>
      <t xml:space="preserve">Rajasthan  </t>
    </r>
    <r>
      <rPr>
        <sz val="11"/>
        <rFont val="Cambria"/>
        <family val="1"/>
      </rPr>
      <t>State Open School, Rajasthan</t>
    </r>
  </si>
  <si>
    <t>Number of Students Passed</t>
  </si>
  <si>
    <t>Arts</t>
  </si>
  <si>
    <t>Commerce</t>
  </si>
  <si>
    <t>Science</t>
  </si>
  <si>
    <t>Vocational</t>
  </si>
  <si>
    <t>All Streams</t>
  </si>
  <si>
    <t>Streams</t>
  </si>
  <si>
    <t xml:space="preserve">Boys </t>
  </si>
  <si>
    <t>Table 23 -Share of Pass Out Students in Different Streams - All Categories</t>
  </si>
  <si>
    <t>Table 25 -Share of Pass Out Students in Different Streams- SC Students</t>
  </si>
  <si>
    <t>Table 27 -Share of Pass Out Students in Different Streams - ST Students</t>
  </si>
  <si>
    <t>Council for the Indian School Certificate Examinations, N.Delhi</t>
  </si>
  <si>
    <t xml:space="preserve"> </t>
  </si>
  <si>
    <t>RESULTS OF HIGHER SECONDARY EXAMINATION- 2016</t>
  </si>
  <si>
    <t>AMU Board of Secondary &amp; Sr.Secondary Education</t>
  </si>
  <si>
    <r>
      <rPr>
        <b/>
        <sz val="11"/>
        <rFont val="Cambria"/>
        <family val="1"/>
      </rPr>
      <t>Telangana</t>
    </r>
    <r>
      <rPr>
        <sz val="11"/>
        <rFont val="Cambria"/>
        <family val="1"/>
      </rPr>
      <t xml:space="preserve"> Open School Society</t>
    </r>
  </si>
  <si>
    <r>
      <rPr>
        <b/>
        <sz val="11"/>
        <rFont val="Cambria"/>
        <family val="1"/>
      </rPr>
      <t>A.P</t>
    </r>
    <r>
      <rPr>
        <sz val="11"/>
        <rFont val="Cambria"/>
        <family val="1"/>
      </rPr>
      <t>. Open School Society, Hyderabad</t>
    </r>
  </si>
  <si>
    <r>
      <t xml:space="preserve">Uttarakhand </t>
    </r>
    <r>
      <rPr>
        <sz val="11"/>
        <rFont val="Cambria"/>
        <family val="1"/>
      </rPr>
      <t>Sanskriti Shiksha   Parishad</t>
    </r>
  </si>
  <si>
    <t>Madhya Pradesh Maharshi Patanjali Sanskrit Sansthan</t>
  </si>
  <si>
    <r>
      <t xml:space="preserve">State Open Schooling, </t>
    </r>
    <r>
      <rPr>
        <b/>
        <sz val="11"/>
        <rFont val="Cambria"/>
        <family val="1"/>
      </rPr>
      <t>Assam</t>
    </r>
    <r>
      <rPr>
        <sz val="11"/>
        <rFont val="Cambria"/>
        <family val="1"/>
      </rPr>
      <t xml:space="preserve"> Higher Secondary Education Council</t>
    </r>
  </si>
  <si>
    <r>
      <t>Telangana</t>
    </r>
    <r>
      <rPr>
        <sz val="11"/>
        <rFont val="Cambria"/>
        <family val="1"/>
      </rPr>
      <t xml:space="preserve"> Board of Intermediate Education </t>
    </r>
  </si>
  <si>
    <r>
      <t xml:space="preserve">U.P. </t>
    </r>
    <r>
      <rPr>
        <sz val="11"/>
        <rFont val="Cambria"/>
        <family val="1"/>
      </rPr>
      <t>Dayalbag Education Institute</t>
    </r>
  </si>
  <si>
    <r>
      <rPr>
        <b/>
        <sz val="11"/>
        <rFont val="Cambria"/>
        <family val="1"/>
      </rPr>
      <t xml:space="preserve">New Delhi </t>
    </r>
    <r>
      <rPr>
        <sz val="11"/>
        <rFont val="Cambria"/>
        <family val="1"/>
      </rPr>
      <t>Rashtriya Sanskrit Sansthan</t>
    </r>
  </si>
  <si>
    <r>
      <t>U.P.</t>
    </r>
    <r>
      <rPr>
        <sz val="11"/>
        <rFont val="Cambria"/>
        <family val="1"/>
      </rPr>
      <t>Madhymik Shiksha Parisad, Sanskriti Shiksha Parishad</t>
    </r>
  </si>
  <si>
    <r>
      <t>Board of Secondary Education,</t>
    </r>
    <r>
      <rPr>
        <b/>
        <sz val="11"/>
        <rFont val="Cambria"/>
        <family val="1"/>
      </rPr>
      <t xml:space="preserve"> Rajasthan</t>
    </r>
    <r>
      <rPr>
        <sz val="11"/>
        <rFont val="Cambria"/>
        <family val="1"/>
      </rPr>
      <t>, Ajmer</t>
    </r>
  </si>
  <si>
    <t># The Institute is mainly meant for Women, Boys enrolment pertains to wards of the staff.</t>
  </si>
  <si>
    <t>Black cell indicates that either system does not exist or information is not available.</t>
  </si>
  <si>
    <t># Data repeated from previous year   2013, MHRD</t>
  </si>
  <si>
    <r>
      <t>Banasthali Vidyapith, Rajasthan</t>
    </r>
    <r>
      <rPr>
        <i/>
        <sz val="11"/>
        <rFont val="Cambria"/>
        <family val="1"/>
      </rPr>
      <t>#</t>
    </r>
  </si>
  <si>
    <t>$ Data repeated from previous year 2015, MHRD</t>
  </si>
  <si>
    <t>No. of Boards</t>
  </si>
  <si>
    <r>
      <t>Rabindra Mukta Vidyalaya (</t>
    </r>
    <r>
      <rPr>
        <b/>
        <sz val="11"/>
        <rFont val="Cambria"/>
        <family val="1"/>
      </rPr>
      <t xml:space="preserve">West Bengal </t>
    </r>
    <r>
      <rPr>
        <sz val="11"/>
        <rFont val="Cambria"/>
        <family val="1"/>
      </rPr>
      <t>State Open School)#</t>
    </r>
  </si>
  <si>
    <t>Statement 1 - HIGHER SECONDARY EXAMINATION RESULTS DURING 2011 - 2016 (CENTRAL/STATE BOARDS )</t>
  </si>
  <si>
    <t>Bihar State Madrasa Education Board</t>
  </si>
  <si>
    <t>Chhatisgarh Madrasa Board</t>
  </si>
  <si>
    <t>** Figures pertains to 'ALIM' and 'High Madrasa' as both are equivalent to High School Examination.</t>
  </si>
  <si>
    <t>Statement 2 - HIGHER SECONDARY EXAMINATION RESULTS DURING 2011 - 2016 (OPEN BOARDS)</t>
  </si>
  <si>
    <t>Statement 3 - HIGHER SECONDARY EXAMINATION RESULTS DURING 2011 - 2016 (ALL BOARDS)</t>
  </si>
  <si>
    <t>Statement 5 -  HIGHER SECONDARY EXAMINATION PASS PERCENTAGE DURING 2010 - 2016 (OPEN BOARDS )</t>
  </si>
  <si>
    <t>Statement 4 -  HIGHER SECONDARY EXAMINATION PASS PERCENTAGE DURING 2010 - 2016 (CENTRAL/STATE BOARDS )</t>
  </si>
  <si>
    <t>Statement 6 -  HIGHER SECONDARY EXAMINATION PASS PERCENTAGE DURING 2010 - 2016 (ALL BOARDS)</t>
  </si>
  <si>
    <t>Table 9 -Annual and Supplementary Examination Results - Regular and Private ST Students</t>
  </si>
  <si>
    <t>Table 6 -Annual and Supplementary Examination Results - Regular and Private SC Students</t>
  </si>
  <si>
    <t>Table 3 -Annual and Supplementary Examination Results - Regular and Private Students - All Categories</t>
  </si>
  <si>
    <t>Table 22 -Stream-wise Results Annual &amp; Supplementary - Regular and Private Students - All Categories</t>
  </si>
  <si>
    <t>Table 24 -Stream-wise Results Annual &amp; Supplementary - Regular and Private Students - SC Students</t>
  </si>
  <si>
    <t>Table 26 -Stream-wise Results Annual &amp; Supplementary - Regular and Private Students - ST Students</t>
  </si>
  <si>
    <t>Board of Madrasah Education, West Bengal, Kolkata ** $</t>
  </si>
  <si>
    <t>** Figures pertains to 'ALIM' and 'High Madrasah as both are equivalent to High School Examination.</t>
  </si>
  <si>
    <t>Chhatisgarh Madarsa Board</t>
  </si>
  <si>
    <t>State Madrassa Education Board, Assam</t>
  </si>
  <si>
    <t>** Figures pertain to 'fazil' examination which is equivalent to higher secondary examination.</t>
  </si>
  <si>
    <t>Annual &amp; Supplementary</t>
  </si>
  <si>
    <t xml:space="preserve">Table 17 - Open Board </t>
  </si>
  <si>
    <t>Table 18 - Open Board - Percentage-wise-All Categories</t>
  </si>
  <si>
    <t>Table 19 - Open Board - Percentage-wise-SC Students</t>
  </si>
  <si>
    <t>Table 20 -Open Board - Percentage-wise-ST Students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</si>
</sst>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\-0;;@"/>
    <numFmt numFmtId="174" formatCode="0.0;\-0.0;;@"/>
    <numFmt numFmtId="175" formatCode="[$-4009]dd\ mmmm\ yyyy"/>
    <numFmt numFmtId="176" formatCode="0.0000"/>
    <numFmt numFmtId="177" formatCode="0.000"/>
    <numFmt numFmtId="178" formatCode="0.000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1"/>
      <color indexed="60"/>
      <name val="Cambria"/>
      <family val="1"/>
    </font>
    <font>
      <i/>
      <sz val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i/>
      <sz val="11"/>
      <name val="Calibri"/>
      <family val="2"/>
    </font>
    <font>
      <i/>
      <sz val="10"/>
      <name val="Cambria"/>
      <family val="1"/>
    </font>
    <font>
      <sz val="12"/>
      <name val="Cambria"/>
      <family val="1"/>
    </font>
    <font>
      <i/>
      <sz val="9"/>
      <color indexed="8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b/>
      <sz val="13"/>
      <name val="Cambria"/>
      <family val="1"/>
    </font>
    <font>
      <i/>
      <sz val="11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 applyProtection="1" quotePrefix="1">
      <alignment horizontal="right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 quotePrefix="1">
      <alignment horizontal="right" vertical="center"/>
    </xf>
    <xf numFmtId="0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 quotePrefix="1">
      <alignment vertical="center"/>
      <protection locked="0"/>
    </xf>
    <xf numFmtId="0" fontId="7" fillId="0" borderId="1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/>
    </xf>
    <xf numFmtId="172" fontId="11" fillId="33" borderId="1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172" fontId="1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172" fontId="7" fillId="0" borderId="10" xfId="0" applyNumberFormat="1" applyFont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/>
    </xf>
    <xf numFmtId="0" fontId="13" fillId="0" borderId="18" xfId="0" applyFont="1" applyFill="1" applyBorder="1" applyAlignment="1" quotePrefix="1">
      <alignment vertical="center"/>
    </xf>
    <xf numFmtId="0" fontId="20" fillId="0" borderId="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righ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1" fontId="7" fillId="0" borderId="10" xfId="0" applyNumberFormat="1" applyFont="1" applyFill="1" applyBorder="1" applyAlignment="1" quotePrefix="1">
      <alignment horizontal="right" vertical="center"/>
    </xf>
    <xf numFmtId="1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 quotePrefix="1">
      <alignment horizontal="right" vertical="center"/>
      <protection locked="0"/>
    </xf>
    <xf numFmtId="0" fontId="21" fillId="35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172" fontId="7" fillId="0" borderId="10" xfId="0" applyNumberFormat="1" applyFont="1" applyBorder="1" applyAlignment="1">
      <alignment vertical="center"/>
    </xf>
    <xf numFmtId="172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right" vertical="center"/>
    </xf>
    <xf numFmtId="0" fontId="7" fillId="35" borderId="10" xfId="0" applyFont="1" applyFill="1" applyBorder="1" applyAlignment="1">
      <alignment vertical="center"/>
    </xf>
    <xf numFmtId="0" fontId="7" fillId="36" borderId="10" xfId="0" applyFont="1" applyFill="1" applyBorder="1" applyAlignment="1" applyProtection="1">
      <alignment horizontal="right" vertical="center"/>
      <protection locked="0"/>
    </xf>
    <xf numFmtId="0" fontId="7" fillId="36" borderId="10" xfId="0" applyFont="1" applyFill="1" applyBorder="1" applyAlignment="1">
      <alignment horizontal="right" vertical="center"/>
    </xf>
    <xf numFmtId="0" fontId="7" fillId="36" borderId="10" xfId="0" applyFont="1" applyFill="1" applyBorder="1" applyAlignment="1" applyProtection="1">
      <alignment vertical="center"/>
      <protection locked="0"/>
    </xf>
    <xf numFmtId="172" fontId="7" fillId="36" borderId="10" xfId="0" applyNumberFormat="1" applyFont="1" applyFill="1" applyBorder="1" applyAlignment="1">
      <alignment vertical="center"/>
    </xf>
    <xf numFmtId="0" fontId="7" fillId="36" borderId="10" xfId="0" applyFont="1" applyFill="1" applyBorder="1" applyAlignment="1" applyProtection="1" quotePrefix="1">
      <alignment horizontal="right" vertical="center"/>
      <protection locked="0"/>
    </xf>
    <xf numFmtId="1" fontId="7" fillId="36" borderId="10" xfId="0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1" fontId="7" fillId="36" borderId="10" xfId="0" applyNumberFormat="1" applyFont="1" applyFill="1" applyBorder="1" applyAlignment="1" applyProtection="1" quotePrefix="1">
      <alignment horizontal="right" vertical="center"/>
      <protection locked="0"/>
    </xf>
    <xf numFmtId="0" fontId="7" fillId="36" borderId="10" xfId="0" applyFont="1" applyFill="1" applyBorder="1" applyAlignment="1" quotePrefix="1">
      <alignment horizontal="right" vertical="center"/>
    </xf>
    <xf numFmtId="1" fontId="7" fillId="36" borderId="10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 applyProtection="1">
      <alignment vertical="center"/>
      <protection/>
    </xf>
    <xf numFmtId="172" fontId="7" fillId="36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>
      <alignment vertical="center"/>
    </xf>
    <xf numFmtId="173" fontId="7" fillId="0" borderId="10" xfId="0" applyNumberFormat="1" applyFont="1" applyBorder="1" applyAlignment="1">
      <alignment vertical="center"/>
    </xf>
    <xf numFmtId="173" fontId="63" fillId="0" borderId="10" xfId="0" applyNumberFormat="1" applyFont="1" applyFill="1" applyBorder="1" applyAlignment="1" applyProtection="1">
      <alignment vertical="center"/>
      <protection locked="0"/>
    </xf>
    <xf numFmtId="173" fontId="63" fillId="0" borderId="10" xfId="0" applyNumberFormat="1" applyFont="1" applyFill="1" applyBorder="1" applyAlignment="1" applyProtection="1">
      <alignment vertical="center"/>
      <protection/>
    </xf>
    <xf numFmtId="173" fontId="63" fillId="0" borderId="10" xfId="0" applyNumberFormat="1" applyFont="1" applyFill="1" applyBorder="1" applyAlignment="1">
      <alignment vertical="center"/>
    </xf>
    <xf numFmtId="174" fontId="63" fillId="9" borderId="10" xfId="0" applyNumberFormat="1" applyFont="1" applyFill="1" applyBorder="1" applyAlignment="1">
      <alignment vertical="center"/>
    </xf>
    <xf numFmtId="173" fontId="63" fillId="0" borderId="10" xfId="0" applyNumberFormat="1" applyFont="1" applyFill="1" applyBorder="1" applyAlignment="1">
      <alignment horizontal="right" vertical="center"/>
    </xf>
    <xf numFmtId="173" fontId="63" fillId="0" borderId="10" xfId="0" applyNumberFormat="1" applyFont="1" applyFill="1" applyBorder="1" applyAlignment="1" applyProtection="1">
      <alignment horizontal="right" vertical="center"/>
      <protection locked="0"/>
    </xf>
    <xf numFmtId="173" fontId="63" fillId="0" borderId="11" xfId="0" applyNumberFormat="1" applyFont="1" applyFill="1" applyBorder="1" applyAlignment="1" applyProtection="1">
      <alignment horizontal="right" vertical="center"/>
      <protection locked="0"/>
    </xf>
    <xf numFmtId="173" fontId="63" fillId="0" borderId="10" xfId="0" applyNumberFormat="1" applyFont="1" applyFill="1" applyBorder="1" applyAlignment="1" applyProtection="1" quotePrefix="1">
      <alignment horizontal="right" vertical="center"/>
      <protection locked="0"/>
    </xf>
    <xf numFmtId="173" fontId="63" fillId="0" borderId="10" xfId="0" applyNumberFormat="1" applyFont="1" applyBorder="1" applyAlignment="1">
      <alignment vertical="center"/>
    </xf>
    <xf numFmtId="173" fontId="63" fillId="35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174" fontId="63" fillId="0" borderId="10" xfId="0" applyNumberFormat="1" applyFont="1" applyBorder="1" applyAlignment="1">
      <alignment vertical="center"/>
    </xf>
    <xf numFmtId="174" fontId="63" fillId="0" borderId="10" xfId="0" applyNumberFormat="1" applyFont="1" applyBorder="1" applyAlignment="1">
      <alignment horizontal="center" vertical="center"/>
    </xf>
    <xf numFmtId="1" fontId="7" fillId="36" borderId="10" xfId="0" applyNumberFormat="1" applyFont="1" applyFill="1" applyBorder="1" applyAlignment="1" quotePrefix="1">
      <alignment horizontal="center" vertical="center"/>
    </xf>
    <xf numFmtId="1" fontId="7" fillId="36" borderId="10" xfId="0" applyNumberFormat="1" applyFont="1" applyFill="1" applyBorder="1" applyAlignment="1" applyProtection="1" quotePrefix="1">
      <alignment horizontal="center" vertical="center"/>
      <protection locked="0"/>
    </xf>
    <xf numFmtId="3" fontId="7" fillId="36" borderId="10" xfId="0" applyNumberFormat="1" applyFont="1" applyFill="1" applyBorder="1" applyAlignment="1" applyProtection="1" quotePrefix="1">
      <alignment horizontal="right" vertical="center"/>
      <protection locked="0"/>
    </xf>
    <xf numFmtId="0" fontId="7" fillId="36" borderId="0" xfId="0" applyFont="1" applyFill="1" applyAlignment="1" applyProtection="1">
      <alignment horizontal="right" vertical="center"/>
      <protection locked="0"/>
    </xf>
    <xf numFmtId="0" fontId="7" fillId="36" borderId="11" xfId="0" applyFont="1" applyFill="1" applyBorder="1" applyAlignment="1" applyProtection="1">
      <alignment horizontal="right" vertical="center"/>
      <protection locked="0"/>
    </xf>
    <xf numFmtId="173" fontId="63" fillId="36" borderId="10" xfId="0" applyNumberFormat="1" applyFont="1" applyFill="1" applyBorder="1" applyAlignment="1" applyProtection="1">
      <alignment vertical="center"/>
      <protection locked="0"/>
    </xf>
    <xf numFmtId="173" fontId="63" fillId="36" borderId="10" xfId="0" applyNumberFormat="1" applyFont="1" applyFill="1" applyBorder="1" applyAlignment="1">
      <alignment vertical="center"/>
    </xf>
    <xf numFmtId="173" fontId="63" fillId="36" borderId="10" xfId="0" applyNumberFormat="1" applyFont="1" applyFill="1" applyBorder="1" applyAlignment="1" applyProtection="1" quotePrefix="1">
      <alignment horizontal="right" vertical="center"/>
      <protection locked="0"/>
    </xf>
    <xf numFmtId="173" fontId="63" fillId="36" borderId="10" xfId="0" applyNumberFormat="1" applyFont="1" applyFill="1" applyBorder="1" applyAlignment="1">
      <alignment horizontal="right" vertical="center"/>
    </xf>
    <xf numFmtId="174" fontId="63" fillId="36" borderId="10" xfId="0" applyNumberFormat="1" applyFont="1" applyFill="1" applyBorder="1" applyAlignment="1">
      <alignment vertical="center"/>
    </xf>
    <xf numFmtId="173" fontId="63" fillId="36" borderId="10" xfId="0" applyNumberFormat="1" applyFont="1" applyFill="1" applyBorder="1" applyAlignment="1" quotePrefix="1">
      <alignment horizontal="right" vertical="center"/>
    </xf>
    <xf numFmtId="174" fontId="63" fillId="37" borderId="10" xfId="0" applyNumberFormat="1" applyFont="1" applyFill="1" applyBorder="1" applyAlignment="1">
      <alignment vertical="center"/>
    </xf>
    <xf numFmtId="173" fontId="63" fillId="36" borderId="0" xfId="0" applyNumberFormat="1" applyFont="1" applyFill="1" applyAlignment="1" applyProtection="1">
      <alignment horizontal="right" vertical="center"/>
      <protection locked="0"/>
    </xf>
    <xf numFmtId="173" fontId="63" fillId="36" borderId="10" xfId="0" applyNumberFormat="1" applyFont="1" applyFill="1" applyBorder="1" applyAlignment="1" applyProtection="1">
      <alignment horizontal="right" vertical="center"/>
      <protection locked="0"/>
    </xf>
    <xf numFmtId="173" fontId="63" fillId="36" borderId="11" xfId="0" applyNumberFormat="1" applyFont="1" applyFill="1" applyBorder="1" applyAlignment="1" applyProtection="1">
      <alignment horizontal="right" vertical="center"/>
      <protection locked="0"/>
    </xf>
    <xf numFmtId="172" fontId="7" fillId="37" borderId="10" xfId="0" applyNumberFormat="1" applyFont="1" applyFill="1" applyBorder="1" applyAlignment="1">
      <alignment horizontal="center" vertical="center"/>
    </xf>
    <xf numFmtId="174" fontId="63" fillId="36" borderId="10" xfId="0" applyNumberFormat="1" applyFont="1" applyFill="1" applyBorder="1" applyAlignment="1">
      <alignment horizontal="center" vertical="center"/>
    </xf>
    <xf numFmtId="172" fontId="7" fillId="37" borderId="10" xfId="0" applyNumberFormat="1" applyFont="1" applyFill="1" applyBorder="1" applyAlignment="1">
      <alignment vertical="center"/>
    </xf>
    <xf numFmtId="173" fontId="7" fillId="36" borderId="10" xfId="0" applyNumberFormat="1" applyFont="1" applyFill="1" applyBorder="1" applyAlignment="1">
      <alignment vertical="center"/>
    </xf>
    <xf numFmtId="174" fontId="7" fillId="36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vertical="center" wrapText="1" readingOrder="1"/>
    </xf>
    <xf numFmtId="0" fontId="7" fillId="36" borderId="10" xfId="0" applyFont="1" applyFill="1" applyBorder="1" applyAlignment="1">
      <alignment vertical="center"/>
    </xf>
    <xf numFmtId="1" fontId="7" fillId="36" borderId="10" xfId="0" applyNumberFormat="1" applyFont="1" applyFill="1" applyBorder="1" applyAlignment="1">
      <alignment vertical="center"/>
    </xf>
    <xf numFmtId="172" fontId="7" fillId="36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 vertical="center"/>
    </xf>
    <xf numFmtId="0" fontId="22" fillId="37" borderId="18" xfId="0" applyFont="1" applyFill="1" applyBorder="1" applyAlignment="1">
      <alignment vertical="center"/>
    </xf>
    <xf numFmtId="0" fontId="13" fillId="37" borderId="18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vertical="center"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right" vertical="center"/>
      <protection locked="0"/>
    </xf>
    <xf numFmtId="0" fontId="43" fillId="0" borderId="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1" fontId="7" fillId="34" borderId="15" xfId="0" applyNumberFormat="1" applyFont="1" applyFill="1" applyBorder="1" applyAlignment="1">
      <alignment horizontal="center" vertical="center"/>
    </xf>
    <xf numFmtId="1" fontId="7" fillId="34" borderId="16" xfId="0" applyNumberFormat="1" applyFont="1" applyFill="1" applyBorder="1" applyAlignment="1">
      <alignment horizontal="center" vertical="center"/>
    </xf>
    <xf numFmtId="1" fontId="7" fillId="34" borderId="17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54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5.140625" style="36" customWidth="1"/>
    <col min="2" max="2" width="35.140625" style="22" customWidth="1"/>
    <col min="3" max="3" width="9.28125" style="22" customWidth="1"/>
    <col min="4" max="4" width="9.57421875" style="22" customWidth="1"/>
    <col min="5" max="5" width="10.8515625" style="22" customWidth="1"/>
    <col min="6" max="6" width="9.7109375" style="22" customWidth="1"/>
    <col min="7" max="7" width="9.421875" style="22" bestFit="1" customWidth="1"/>
    <col min="8" max="8" width="10.57421875" style="22" bestFit="1" customWidth="1"/>
    <col min="9" max="10" width="8.140625" style="22" bestFit="1" customWidth="1"/>
    <col min="11" max="11" width="8.140625" style="22" customWidth="1"/>
    <col min="12" max="12" width="9.421875" style="22" customWidth="1"/>
    <col min="13" max="13" width="9.140625" style="22" customWidth="1"/>
    <col min="14" max="14" width="10.57421875" style="22" customWidth="1"/>
    <col min="15" max="15" width="6.8515625" style="22" customWidth="1"/>
    <col min="16" max="16" width="6.28125" style="22" customWidth="1"/>
    <col min="17" max="17" width="6.8515625" style="22" customWidth="1"/>
    <col min="18" max="18" width="9.421875" style="22" customWidth="1"/>
    <col min="19" max="19" width="9.57421875" style="22" customWidth="1"/>
    <col min="20" max="20" width="9.28125" style="22" customWidth="1"/>
    <col min="21" max="21" width="9.00390625" style="22" customWidth="1"/>
    <col min="22" max="22" width="9.140625" style="22" customWidth="1"/>
    <col min="23" max="23" width="8.8515625" style="22" customWidth="1"/>
    <col min="24" max="24" width="8.140625" style="22" customWidth="1"/>
    <col min="25" max="25" width="7.7109375" style="22" customWidth="1"/>
    <col min="26" max="26" width="8.140625" style="22" customWidth="1"/>
    <col min="27" max="27" width="9.421875" style="22" customWidth="1"/>
    <col min="28" max="28" width="9.140625" style="22" customWidth="1"/>
    <col min="29" max="29" width="9.7109375" style="22" customWidth="1"/>
    <col min="30" max="32" width="6.8515625" style="22" customWidth="1"/>
    <col min="33" max="34" width="9.57421875" style="22" customWidth="1"/>
    <col min="35" max="35" width="10.7109375" style="22" customWidth="1"/>
    <col min="36" max="36" width="9.8515625" style="22" customWidth="1"/>
    <col min="37" max="37" width="9.140625" style="22" customWidth="1"/>
    <col min="38" max="38" width="10.57421875" style="22" customWidth="1"/>
    <col min="39" max="39" width="8.140625" style="22" customWidth="1"/>
    <col min="40" max="40" width="8.28125" style="22" customWidth="1"/>
    <col min="41" max="41" width="7.8515625" style="22" customWidth="1"/>
    <col min="42" max="42" width="9.421875" style="22" customWidth="1"/>
    <col min="43" max="43" width="9.140625" style="22" customWidth="1"/>
    <col min="44" max="44" width="10.421875" style="22" customWidth="1"/>
    <col min="45" max="45" width="6.8515625" style="22" customWidth="1"/>
    <col min="46" max="46" width="6.57421875" style="22" customWidth="1"/>
    <col min="47" max="47" width="6.8515625" style="22" customWidth="1"/>
    <col min="48" max="48" width="9.421875" style="22" customWidth="1"/>
    <col min="49" max="49" width="9.57421875" style="22" customWidth="1"/>
    <col min="50" max="50" width="9.28125" style="22" customWidth="1"/>
    <col min="51" max="51" width="9.00390625" style="22" customWidth="1"/>
    <col min="52" max="52" width="9.140625" style="22" customWidth="1"/>
    <col min="53" max="53" width="9.7109375" style="22" customWidth="1"/>
    <col min="54" max="54" width="7.57421875" style="22" customWidth="1"/>
    <col min="55" max="55" width="7.7109375" style="22" customWidth="1"/>
    <col min="56" max="56" width="8.8515625" style="22" customWidth="1"/>
    <col min="57" max="57" width="9.421875" style="22" customWidth="1"/>
    <col min="58" max="58" width="9.140625" style="22" customWidth="1"/>
    <col min="59" max="59" width="9.7109375" style="22" customWidth="1"/>
    <col min="60" max="62" width="6.8515625" style="22" customWidth="1"/>
    <col min="63" max="63" width="8.8515625" style="22" customWidth="1"/>
    <col min="64" max="64" width="9.57421875" style="22" customWidth="1"/>
    <col min="65" max="65" width="9.28125" style="22" customWidth="1"/>
    <col min="66" max="66" width="9.00390625" style="22" customWidth="1"/>
    <col min="67" max="67" width="9.140625" style="22" customWidth="1"/>
    <col min="68" max="68" width="8.8515625" style="22" customWidth="1"/>
    <col min="69" max="69" width="7.57421875" style="22" customWidth="1"/>
    <col min="70" max="70" width="7.7109375" style="22" customWidth="1"/>
    <col min="71" max="71" width="8.8515625" style="22" customWidth="1"/>
    <col min="72" max="72" width="9.421875" style="22" customWidth="1"/>
    <col min="73" max="73" width="9.140625" style="22" customWidth="1"/>
    <col min="74" max="74" width="9.7109375" style="22" customWidth="1"/>
    <col min="75" max="75" width="6.8515625" style="22" customWidth="1"/>
    <col min="76" max="76" width="7.421875" style="22" customWidth="1"/>
    <col min="77" max="77" width="6.8515625" style="22" customWidth="1"/>
    <col min="78" max="78" width="9.8515625" style="22" customWidth="1"/>
    <col min="79" max="79" width="9.57421875" style="22" customWidth="1"/>
    <col min="80" max="80" width="9.28125" style="22" customWidth="1"/>
    <col min="81" max="81" width="9.00390625" style="22" customWidth="1"/>
    <col min="82" max="82" width="9.140625" style="22" customWidth="1"/>
    <col min="83" max="83" width="9.421875" style="22" customWidth="1"/>
    <col min="84" max="84" width="7.57421875" style="22" customWidth="1"/>
    <col min="85" max="85" width="7.7109375" style="22" customWidth="1"/>
    <col min="86" max="86" width="8.8515625" style="22" customWidth="1"/>
    <col min="87" max="87" width="9.421875" style="22" customWidth="1"/>
    <col min="88" max="88" width="9.140625" style="22" customWidth="1"/>
    <col min="89" max="89" width="9.7109375" style="22" customWidth="1"/>
    <col min="90" max="92" width="6.8515625" style="22" customWidth="1"/>
    <col min="93" max="93" width="11.00390625" style="22" customWidth="1"/>
    <col min="94" max="94" width="9.57421875" style="22" customWidth="1"/>
    <col min="95" max="95" width="9.28125" style="22" customWidth="1"/>
    <col min="96" max="96" width="9.00390625" style="22" customWidth="1"/>
    <col min="97" max="97" width="9.140625" style="22" customWidth="1"/>
    <col min="98" max="98" width="8.8515625" style="22" customWidth="1"/>
    <col min="99" max="99" width="8.57421875" style="22" customWidth="1"/>
    <col min="100" max="100" width="7.7109375" style="22" customWidth="1"/>
    <col min="101" max="101" width="8.8515625" style="22" customWidth="1"/>
    <col min="102" max="102" width="9.421875" style="22" customWidth="1"/>
    <col min="103" max="103" width="9.140625" style="22" customWidth="1"/>
    <col min="104" max="104" width="9.7109375" style="22" customWidth="1"/>
    <col min="105" max="107" width="6.8515625" style="22" customWidth="1"/>
    <col min="108" max="108" width="8.8515625" style="22" customWidth="1"/>
    <col min="109" max="109" width="9.57421875" style="22" customWidth="1"/>
    <col min="110" max="110" width="11.57421875" style="22" customWidth="1"/>
    <col min="111" max="111" width="9.00390625" style="22" customWidth="1"/>
    <col min="112" max="112" width="9.140625" style="22" customWidth="1"/>
    <col min="113" max="113" width="10.57421875" style="22" customWidth="1"/>
    <col min="114" max="114" width="7.57421875" style="22" customWidth="1"/>
    <col min="115" max="115" width="7.7109375" style="22" customWidth="1"/>
    <col min="116" max="116" width="10.57421875" style="22" customWidth="1"/>
    <col min="117" max="117" width="9.421875" style="22" customWidth="1"/>
    <col min="118" max="118" width="9.140625" style="22" customWidth="1"/>
    <col min="119" max="119" width="9.7109375" style="22" customWidth="1"/>
    <col min="120" max="122" width="7.8515625" style="22" customWidth="1"/>
    <col min="123" max="123" width="8.8515625" style="22" customWidth="1"/>
    <col min="124" max="124" width="9.57421875" style="22" customWidth="1"/>
    <col min="125" max="125" width="9.28125" style="22" customWidth="1"/>
    <col min="126" max="126" width="9.00390625" style="22" customWidth="1"/>
    <col min="127" max="127" width="9.140625" style="22" customWidth="1"/>
    <col min="128" max="128" width="8.8515625" style="22" customWidth="1"/>
    <col min="129" max="129" width="7.57421875" style="22" customWidth="1"/>
    <col min="130" max="130" width="7.7109375" style="22" customWidth="1"/>
    <col min="131" max="131" width="8.8515625" style="22" customWidth="1"/>
    <col min="132" max="132" width="9.421875" style="22" customWidth="1"/>
    <col min="133" max="133" width="9.140625" style="22" customWidth="1"/>
    <col min="134" max="134" width="9.7109375" style="22" customWidth="1"/>
    <col min="135" max="137" width="6.8515625" style="22" customWidth="1"/>
    <col min="138" max="138" width="8.8515625" style="22" hidden="1" customWidth="1"/>
    <col min="139" max="139" width="9.57421875" style="22" hidden="1" customWidth="1"/>
    <col min="140" max="140" width="9.28125" style="22" hidden="1" customWidth="1"/>
    <col min="141" max="141" width="9.00390625" style="22" hidden="1" customWidth="1"/>
    <col min="142" max="142" width="0" style="22" hidden="1" customWidth="1"/>
    <col min="143" max="143" width="8.8515625" style="22" hidden="1" customWidth="1"/>
    <col min="144" max="144" width="7.57421875" style="22" hidden="1" customWidth="1"/>
    <col min="145" max="145" width="7.7109375" style="22" hidden="1" customWidth="1"/>
    <col min="146" max="146" width="8.8515625" style="22" hidden="1" customWidth="1"/>
    <col min="147" max="147" width="9.421875" style="22" hidden="1" customWidth="1"/>
    <col min="148" max="148" width="0" style="22" hidden="1" customWidth="1"/>
    <col min="149" max="149" width="9.7109375" style="22" hidden="1" customWidth="1"/>
    <col min="150" max="152" width="6.8515625" style="22" hidden="1" customWidth="1"/>
    <col min="153" max="153" width="8.8515625" style="22" hidden="1" customWidth="1"/>
    <col min="154" max="154" width="9.57421875" style="22" hidden="1" customWidth="1"/>
    <col min="155" max="155" width="9.28125" style="22" hidden="1" customWidth="1"/>
    <col min="156" max="156" width="9.00390625" style="22" hidden="1" customWidth="1"/>
    <col min="157" max="157" width="0" style="22" hidden="1" customWidth="1"/>
    <col min="158" max="158" width="8.8515625" style="22" hidden="1" customWidth="1"/>
    <col min="159" max="159" width="7.57421875" style="22" hidden="1" customWidth="1"/>
    <col min="160" max="160" width="7.7109375" style="22" hidden="1" customWidth="1"/>
    <col min="161" max="161" width="8.8515625" style="22" hidden="1" customWidth="1"/>
    <col min="162" max="162" width="9.421875" style="22" hidden="1" customWidth="1"/>
    <col min="163" max="163" width="0" style="22" hidden="1" customWidth="1"/>
    <col min="164" max="164" width="9.7109375" style="22" hidden="1" customWidth="1"/>
    <col min="165" max="167" width="6.8515625" style="22" hidden="1" customWidth="1"/>
    <col min="168" max="168" width="8.8515625" style="22" hidden="1" customWidth="1"/>
    <col min="169" max="169" width="9.57421875" style="22" hidden="1" customWidth="1"/>
    <col min="170" max="170" width="9.28125" style="22" hidden="1" customWidth="1"/>
    <col min="171" max="171" width="9.00390625" style="22" hidden="1" customWidth="1"/>
    <col min="172" max="172" width="0" style="22" hidden="1" customWidth="1"/>
    <col min="173" max="173" width="8.8515625" style="22" hidden="1" customWidth="1"/>
    <col min="174" max="174" width="7.57421875" style="22" hidden="1" customWidth="1"/>
    <col min="175" max="175" width="7.7109375" style="22" hidden="1" customWidth="1"/>
    <col min="176" max="176" width="8.8515625" style="22" hidden="1" customWidth="1"/>
    <col min="177" max="177" width="9.421875" style="22" hidden="1" customWidth="1"/>
    <col min="178" max="178" width="0" style="22" hidden="1" customWidth="1"/>
    <col min="179" max="179" width="9.7109375" style="22" hidden="1" customWidth="1"/>
    <col min="180" max="182" width="6.8515625" style="22" hidden="1" customWidth="1"/>
    <col min="183" max="183" width="12.8515625" style="22" customWidth="1"/>
    <col min="184" max="184" width="11.28125" style="22" bestFit="1" customWidth="1"/>
    <col min="185" max="185" width="12.57421875" style="22" bestFit="1" customWidth="1"/>
    <col min="186" max="186" width="8.7109375" style="22" customWidth="1"/>
    <col min="187" max="187" width="9.7109375" style="22" customWidth="1"/>
    <col min="188" max="188" width="9.57421875" style="22" customWidth="1"/>
    <col min="189" max="189" width="9.00390625" style="22" customWidth="1"/>
    <col min="190" max="190" width="9.421875" style="22" customWidth="1"/>
    <col min="191" max="191" width="11.28125" style="22" bestFit="1" customWidth="1"/>
    <col min="192" max="192" width="7.57421875" style="22" customWidth="1"/>
    <col min="193" max="197" width="8.140625" style="22" customWidth="1"/>
    <col min="198" max="200" width="9.57421875" style="22" customWidth="1"/>
    <col min="201" max="202" width="8.7109375" style="22" customWidth="1"/>
    <col min="203" max="203" width="9.57421875" style="22" customWidth="1"/>
    <col min="204" max="205" width="8.7109375" style="22" customWidth="1"/>
    <col min="206" max="206" width="9.57421875" style="22" customWidth="1"/>
    <col min="207" max="207" width="10.00390625" style="22" customWidth="1"/>
    <col min="208" max="212" width="8.140625" style="22" customWidth="1"/>
    <col min="213" max="215" width="9.57421875" style="22" customWidth="1"/>
    <col min="216" max="217" width="8.7109375" style="22" customWidth="1"/>
    <col min="218" max="218" width="9.57421875" style="22" customWidth="1"/>
    <col min="219" max="220" width="8.7109375" style="22" customWidth="1"/>
    <col min="221" max="221" width="9.57421875" style="22" customWidth="1"/>
    <col min="222" max="227" width="8.140625" style="22" customWidth="1"/>
    <col min="228" max="16384" width="9.140625" style="22" customWidth="1"/>
  </cols>
  <sheetData>
    <row r="1" spans="1:215" ht="30" customHeight="1">
      <c r="A1" s="22"/>
      <c r="B1" s="23"/>
      <c r="C1" s="49" t="s">
        <v>81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75" t="str">
        <f>C1</f>
        <v>RESULTS OF HIGHER SECONDARY EXAMINATION- 2016</v>
      </c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 t="str">
        <f>R1</f>
        <v>RESULTS OF HIGHER SECONDARY EXAMINATION- 2016</v>
      </c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 t="str">
        <f>AG1</f>
        <v>RESULTS OF HIGHER SECONDARY EXAMINATION- 2016</v>
      </c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 t="str">
        <f>AV1</f>
        <v>RESULTS OF HIGHER SECONDARY EXAMINATION- 2016</v>
      </c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 t="str">
        <f>BK1</f>
        <v>RESULTS OF HIGHER SECONDARY EXAMINATION- 2016</v>
      </c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 t="str">
        <f>AG1</f>
        <v>RESULTS OF HIGHER SECONDARY EXAMINATION- 2016</v>
      </c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 t="str">
        <f>CO1</f>
        <v>RESULTS OF HIGHER SECONDARY EXAMINATION- 2016</v>
      </c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 t="str">
        <f>DD1</f>
        <v>RESULTS OF HIGHER SECONDARY EXAMINATION- 2016</v>
      </c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 t="str">
        <f>BZ1</f>
        <v>RESULTS OF HIGHER SECONDARY EXAMINATION- 2016</v>
      </c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 t="str">
        <f>EH1</f>
        <v>RESULTS OF HIGHER SECONDARY EXAMINATION- 2016</v>
      </c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 t="str">
        <f>EW1</f>
        <v>RESULTS OF HIGHER SECONDARY EXAMINATION- 2016</v>
      </c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49" t="str">
        <f>C1</f>
        <v>RESULTS OF HIGHER SECONDARY EXAMINATION- 2016</v>
      </c>
      <c r="GB1" s="49"/>
      <c r="GC1" s="49"/>
      <c r="GP1" s="49" t="str">
        <f>C1</f>
        <v>RESULTS OF HIGHER SECONDARY EXAMINATION- 2016</v>
      </c>
      <c r="GQ1" s="49"/>
      <c r="GR1" s="49"/>
      <c r="HE1" s="49" t="str">
        <f>C1</f>
        <v>RESULTS OF HIGHER SECONDARY EXAMINATION- 2016</v>
      </c>
      <c r="HF1" s="49"/>
      <c r="HG1" s="49"/>
    </row>
    <row r="2" spans="2:227" s="24" customFormat="1" ht="18" customHeight="1">
      <c r="B2" s="25"/>
      <c r="C2" s="174" t="s">
        <v>12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 t="s">
        <v>13</v>
      </c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 t="s">
        <v>111</v>
      </c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 t="s">
        <v>14</v>
      </c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 t="s">
        <v>15</v>
      </c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 t="s">
        <v>110</v>
      </c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 t="s">
        <v>16</v>
      </c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 t="s">
        <v>17</v>
      </c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 t="s">
        <v>109</v>
      </c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 t="s">
        <v>30</v>
      </c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 t="s">
        <v>31</v>
      </c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4"/>
      <c r="FK2" s="174"/>
      <c r="FL2" s="174" t="s">
        <v>32</v>
      </c>
      <c r="FM2" s="174"/>
      <c r="FN2" s="174"/>
      <c r="FO2" s="174"/>
      <c r="FP2" s="174"/>
      <c r="FQ2" s="174"/>
      <c r="FR2" s="174"/>
      <c r="FS2" s="174"/>
      <c r="FT2" s="174"/>
      <c r="FU2" s="174"/>
      <c r="FV2" s="174"/>
      <c r="FW2" s="174"/>
      <c r="FX2" s="174"/>
      <c r="FY2" s="174"/>
      <c r="FZ2" s="174"/>
      <c r="GA2" s="53" t="s">
        <v>33</v>
      </c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191" t="s">
        <v>34</v>
      </c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 t="s">
        <v>35</v>
      </c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</row>
    <row r="3" spans="1:227" ht="18" customHeight="1">
      <c r="A3" s="170" t="s">
        <v>18</v>
      </c>
      <c r="B3" s="172" t="s">
        <v>0</v>
      </c>
      <c r="C3" s="172" t="s">
        <v>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 t="s">
        <v>4</v>
      </c>
      <c r="P3" s="172"/>
      <c r="Q3" s="172"/>
      <c r="R3" s="172" t="s">
        <v>1</v>
      </c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 t="s">
        <v>4</v>
      </c>
      <c r="AE3" s="172"/>
      <c r="AF3" s="172"/>
      <c r="AG3" s="172" t="s">
        <v>1</v>
      </c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 t="s">
        <v>4</v>
      </c>
      <c r="AT3" s="172"/>
      <c r="AU3" s="172"/>
      <c r="AV3" s="172" t="s">
        <v>1</v>
      </c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 t="s">
        <v>4</v>
      </c>
      <c r="BI3" s="172"/>
      <c r="BJ3" s="172"/>
      <c r="BK3" s="172" t="s">
        <v>1</v>
      </c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 t="s">
        <v>4</v>
      </c>
      <c r="BX3" s="172"/>
      <c r="BY3" s="172"/>
      <c r="BZ3" s="172" t="s">
        <v>1</v>
      </c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 t="s">
        <v>4</v>
      </c>
      <c r="CM3" s="172"/>
      <c r="CN3" s="172"/>
      <c r="CO3" s="172" t="s">
        <v>1</v>
      </c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 t="s">
        <v>4</v>
      </c>
      <c r="DB3" s="172"/>
      <c r="DC3" s="172"/>
      <c r="DD3" s="172" t="s">
        <v>1</v>
      </c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 t="s">
        <v>4</v>
      </c>
      <c r="DQ3" s="172"/>
      <c r="DR3" s="172"/>
      <c r="DS3" s="172" t="s">
        <v>1</v>
      </c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 t="s">
        <v>4</v>
      </c>
      <c r="EF3" s="172"/>
      <c r="EG3" s="172"/>
      <c r="EH3" s="172" t="s">
        <v>1</v>
      </c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 t="s">
        <v>4</v>
      </c>
      <c r="EU3" s="172"/>
      <c r="EV3" s="172"/>
      <c r="EW3" s="172" t="s">
        <v>1</v>
      </c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 t="s">
        <v>4</v>
      </c>
      <c r="FJ3" s="172"/>
      <c r="FK3" s="172"/>
      <c r="FL3" s="172" t="s">
        <v>1</v>
      </c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 t="s">
        <v>4</v>
      </c>
      <c r="FY3" s="172"/>
      <c r="FZ3" s="172"/>
      <c r="GA3" s="179" t="s">
        <v>28</v>
      </c>
      <c r="GB3" s="180"/>
      <c r="GC3" s="181"/>
      <c r="GD3" s="179" t="s">
        <v>29</v>
      </c>
      <c r="GE3" s="180"/>
      <c r="GF3" s="180"/>
      <c r="GG3" s="180"/>
      <c r="GH3" s="180"/>
      <c r="GI3" s="181"/>
      <c r="GJ3" s="179" t="s">
        <v>27</v>
      </c>
      <c r="GK3" s="180"/>
      <c r="GL3" s="180"/>
      <c r="GM3" s="180"/>
      <c r="GN3" s="180"/>
      <c r="GO3" s="181"/>
      <c r="GP3" s="179" t="s">
        <v>28</v>
      </c>
      <c r="GQ3" s="180"/>
      <c r="GR3" s="181"/>
      <c r="GS3" s="179" t="s">
        <v>29</v>
      </c>
      <c r="GT3" s="180"/>
      <c r="GU3" s="180"/>
      <c r="GV3" s="180"/>
      <c r="GW3" s="180"/>
      <c r="GX3" s="181"/>
      <c r="GY3" s="179" t="s">
        <v>27</v>
      </c>
      <c r="GZ3" s="180"/>
      <c r="HA3" s="180"/>
      <c r="HB3" s="180"/>
      <c r="HC3" s="180"/>
      <c r="HD3" s="181"/>
      <c r="HE3" s="179" t="s">
        <v>28</v>
      </c>
      <c r="HF3" s="180"/>
      <c r="HG3" s="181"/>
      <c r="HH3" s="179" t="s">
        <v>29</v>
      </c>
      <c r="HI3" s="180"/>
      <c r="HJ3" s="180"/>
      <c r="HK3" s="180"/>
      <c r="HL3" s="180"/>
      <c r="HM3" s="181"/>
      <c r="HN3" s="179" t="s">
        <v>27</v>
      </c>
      <c r="HO3" s="180"/>
      <c r="HP3" s="180"/>
      <c r="HQ3" s="180"/>
      <c r="HR3" s="180"/>
      <c r="HS3" s="181"/>
    </row>
    <row r="4" spans="1:227" ht="18" customHeight="1">
      <c r="A4" s="170"/>
      <c r="B4" s="172"/>
      <c r="C4" s="172" t="s">
        <v>2</v>
      </c>
      <c r="D4" s="172"/>
      <c r="E4" s="172"/>
      <c r="F4" s="172" t="s">
        <v>3</v>
      </c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 t="s">
        <v>2</v>
      </c>
      <c r="S4" s="172"/>
      <c r="T4" s="172"/>
      <c r="U4" s="172" t="s">
        <v>3</v>
      </c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 t="s">
        <v>2</v>
      </c>
      <c r="AH4" s="172"/>
      <c r="AI4" s="172"/>
      <c r="AJ4" s="172" t="s">
        <v>3</v>
      </c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 t="s">
        <v>2</v>
      </c>
      <c r="AW4" s="172"/>
      <c r="AX4" s="172"/>
      <c r="AY4" s="172" t="s">
        <v>3</v>
      </c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 t="s">
        <v>2</v>
      </c>
      <c r="BL4" s="172"/>
      <c r="BM4" s="172"/>
      <c r="BN4" s="172" t="s">
        <v>3</v>
      </c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 t="s">
        <v>2</v>
      </c>
      <c r="CA4" s="172"/>
      <c r="CB4" s="172"/>
      <c r="CC4" s="172" t="s">
        <v>3</v>
      </c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 t="s">
        <v>2</v>
      </c>
      <c r="CP4" s="172"/>
      <c r="CQ4" s="172"/>
      <c r="CR4" s="172" t="s">
        <v>3</v>
      </c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 t="s">
        <v>2</v>
      </c>
      <c r="DE4" s="172"/>
      <c r="DF4" s="172"/>
      <c r="DG4" s="172" t="s">
        <v>3</v>
      </c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 t="s">
        <v>2</v>
      </c>
      <c r="DT4" s="172"/>
      <c r="DU4" s="172"/>
      <c r="DV4" s="172" t="s">
        <v>3</v>
      </c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 t="s">
        <v>2</v>
      </c>
      <c r="EI4" s="172"/>
      <c r="EJ4" s="172"/>
      <c r="EK4" s="172" t="s">
        <v>3</v>
      </c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 t="s">
        <v>2</v>
      </c>
      <c r="EX4" s="172"/>
      <c r="EY4" s="172"/>
      <c r="EZ4" s="172" t="s">
        <v>3</v>
      </c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 t="s">
        <v>2</v>
      </c>
      <c r="FM4" s="172"/>
      <c r="FN4" s="172"/>
      <c r="FO4" s="172" t="s">
        <v>3</v>
      </c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85"/>
      <c r="GB4" s="186"/>
      <c r="GC4" s="187"/>
      <c r="GD4" s="182"/>
      <c r="GE4" s="183"/>
      <c r="GF4" s="183"/>
      <c r="GG4" s="183"/>
      <c r="GH4" s="183"/>
      <c r="GI4" s="184"/>
      <c r="GJ4" s="182"/>
      <c r="GK4" s="183"/>
      <c r="GL4" s="183"/>
      <c r="GM4" s="183"/>
      <c r="GN4" s="183"/>
      <c r="GO4" s="184"/>
      <c r="GP4" s="185"/>
      <c r="GQ4" s="186"/>
      <c r="GR4" s="187"/>
      <c r="GS4" s="182"/>
      <c r="GT4" s="183"/>
      <c r="GU4" s="183"/>
      <c r="GV4" s="183"/>
      <c r="GW4" s="183"/>
      <c r="GX4" s="184"/>
      <c r="GY4" s="182"/>
      <c r="GZ4" s="183"/>
      <c r="HA4" s="183"/>
      <c r="HB4" s="183"/>
      <c r="HC4" s="183"/>
      <c r="HD4" s="184"/>
      <c r="HE4" s="185"/>
      <c r="HF4" s="186"/>
      <c r="HG4" s="187"/>
      <c r="HH4" s="182"/>
      <c r="HI4" s="183"/>
      <c r="HJ4" s="183"/>
      <c r="HK4" s="183"/>
      <c r="HL4" s="183"/>
      <c r="HM4" s="184"/>
      <c r="HN4" s="182"/>
      <c r="HO4" s="183"/>
      <c r="HP4" s="183"/>
      <c r="HQ4" s="183"/>
      <c r="HR4" s="183"/>
      <c r="HS4" s="184"/>
    </row>
    <row r="5" spans="1:227" ht="18" customHeight="1">
      <c r="A5" s="170"/>
      <c r="B5" s="172"/>
      <c r="C5" s="172"/>
      <c r="D5" s="172"/>
      <c r="E5" s="172"/>
      <c r="F5" s="172" t="s">
        <v>19</v>
      </c>
      <c r="G5" s="172"/>
      <c r="H5" s="172"/>
      <c r="I5" s="172" t="s">
        <v>20</v>
      </c>
      <c r="J5" s="172"/>
      <c r="K5" s="172"/>
      <c r="L5" s="173" t="s">
        <v>120</v>
      </c>
      <c r="M5" s="172"/>
      <c r="N5" s="172"/>
      <c r="O5" s="172"/>
      <c r="P5" s="172"/>
      <c r="Q5" s="172"/>
      <c r="R5" s="172"/>
      <c r="S5" s="172"/>
      <c r="T5" s="172"/>
      <c r="U5" s="172" t="s">
        <v>19</v>
      </c>
      <c r="V5" s="172"/>
      <c r="W5" s="172"/>
      <c r="X5" s="172" t="s">
        <v>20</v>
      </c>
      <c r="Y5" s="172"/>
      <c r="Z5" s="172"/>
      <c r="AA5" s="173" t="s">
        <v>120</v>
      </c>
      <c r="AB5" s="172"/>
      <c r="AC5" s="172"/>
      <c r="AD5" s="172"/>
      <c r="AE5" s="172"/>
      <c r="AF5" s="172"/>
      <c r="AG5" s="172"/>
      <c r="AH5" s="172"/>
      <c r="AI5" s="172"/>
      <c r="AJ5" s="172" t="s">
        <v>19</v>
      </c>
      <c r="AK5" s="172"/>
      <c r="AL5" s="172"/>
      <c r="AM5" s="172" t="s">
        <v>20</v>
      </c>
      <c r="AN5" s="172"/>
      <c r="AO5" s="172"/>
      <c r="AP5" s="173" t="s">
        <v>120</v>
      </c>
      <c r="AQ5" s="172"/>
      <c r="AR5" s="172"/>
      <c r="AS5" s="172"/>
      <c r="AT5" s="172"/>
      <c r="AU5" s="172"/>
      <c r="AV5" s="172"/>
      <c r="AW5" s="172"/>
      <c r="AX5" s="172"/>
      <c r="AY5" s="172" t="s">
        <v>19</v>
      </c>
      <c r="AZ5" s="172"/>
      <c r="BA5" s="172"/>
      <c r="BB5" s="172" t="s">
        <v>20</v>
      </c>
      <c r="BC5" s="172"/>
      <c r="BD5" s="172"/>
      <c r="BE5" s="173" t="s">
        <v>120</v>
      </c>
      <c r="BF5" s="172"/>
      <c r="BG5" s="172"/>
      <c r="BH5" s="172"/>
      <c r="BI5" s="172"/>
      <c r="BJ5" s="172"/>
      <c r="BK5" s="172"/>
      <c r="BL5" s="172"/>
      <c r="BM5" s="172"/>
      <c r="BN5" s="172" t="s">
        <v>19</v>
      </c>
      <c r="BO5" s="172"/>
      <c r="BP5" s="172"/>
      <c r="BQ5" s="172" t="s">
        <v>20</v>
      </c>
      <c r="BR5" s="172"/>
      <c r="BS5" s="172"/>
      <c r="BT5" s="173" t="s">
        <v>120</v>
      </c>
      <c r="BU5" s="172"/>
      <c r="BV5" s="172"/>
      <c r="BW5" s="172"/>
      <c r="BX5" s="172"/>
      <c r="BY5" s="172"/>
      <c r="BZ5" s="172"/>
      <c r="CA5" s="172"/>
      <c r="CB5" s="172"/>
      <c r="CC5" s="172" t="s">
        <v>19</v>
      </c>
      <c r="CD5" s="172"/>
      <c r="CE5" s="172"/>
      <c r="CF5" s="172" t="s">
        <v>20</v>
      </c>
      <c r="CG5" s="172"/>
      <c r="CH5" s="172"/>
      <c r="CI5" s="173" t="s">
        <v>120</v>
      </c>
      <c r="CJ5" s="172"/>
      <c r="CK5" s="172"/>
      <c r="CL5" s="172"/>
      <c r="CM5" s="172"/>
      <c r="CN5" s="172"/>
      <c r="CO5" s="172"/>
      <c r="CP5" s="172"/>
      <c r="CQ5" s="172"/>
      <c r="CR5" s="172" t="s">
        <v>19</v>
      </c>
      <c r="CS5" s="172"/>
      <c r="CT5" s="172"/>
      <c r="CU5" s="172" t="s">
        <v>20</v>
      </c>
      <c r="CV5" s="172"/>
      <c r="CW5" s="172"/>
      <c r="CX5" s="173" t="s">
        <v>120</v>
      </c>
      <c r="CY5" s="172"/>
      <c r="CZ5" s="172"/>
      <c r="DA5" s="172"/>
      <c r="DB5" s="172"/>
      <c r="DC5" s="172"/>
      <c r="DD5" s="172"/>
      <c r="DE5" s="172"/>
      <c r="DF5" s="172"/>
      <c r="DG5" s="172" t="s">
        <v>19</v>
      </c>
      <c r="DH5" s="172"/>
      <c r="DI5" s="172"/>
      <c r="DJ5" s="172" t="s">
        <v>20</v>
      </c>
      <c r="DK5" s="172"/>
      <c r="DL5" s="172"/>
      <c r="DM5" s="173" t="s">
        <v>120</v>
      </c>
      <c r="DN5" s="172"/>
      <c r="DO5" s="172"/>
      <c r="DP5" s="172"/>
      <c r="DQ5" s="172"/>
      <c r="DR5" s="172"/>
      <c r="DS5" s="172"/>
      <c r="DT5" s="172"/>
      <c r="DU5" s="172"/>
      <c r="DV5" s="172" t="s">
        <v>19</v>
      </c>
      <c r="DW5" s="172"/>
      <c r="DX5" s="172"/>
      <c r="DY5" s="172" t="s">
        <v>20</v>
      </c>
      <c r="DZ5" s="172"/>
      <c r="EA5" s="172"/>
      <c r="EB5" s="173" t="s">
        <v>120</v>
      </c>
      <c r="EC5" s="172"/>
      <c r="ED5" s="172"/>
      <c r="EE5" s="172"/>
      <c r="EF5" s="172"/>
      <c r="EG5" s="172"/>
      <c r="EH5" s="172"/>
      <c r="EI5" s="172"/>
      <c r="EJ5" s="172"/>
      <c r="EK5" s="172" t="s">
        <v>19</v>
      </c>
      <c r="EL5" s="172"/>
      <c r="EM5" s="172"/>
      <c r="EN5" s="172" t="s">
        <v>20</v>
      </c>
      <c r="EO5" s="172"/>
      <c r="EP5" s="172"/>
      <c r="EQ5" s="172" t="s">
        <v>21</v>
      </c>
      <c r="ER5" s="172"/>
      <c r="ES5" s="172"/>
      <c r="ET5" s="172"/>
      <c r="EU5" s="172"/>
      <c r="EV5" s="172"/>
      <c r="EW5" s="172"/>
      <c r="EX5" s="172"/>
      <c r="EY5" s="172"/>
      <c r="EZ5" s="172" t="s">
        <v>19</v>
      </c>
      <c r="FA5" s="172"/>
      <c r="FB5" s="172"/>
      <c r="FC5" s="172" t="s">
        <v>20</v>
      </c>
      <c r="FD5" s="172"/>
      <c r="FE5" s="172"/>
      <c r="FF5" s="172" t="s">
        <v>21</v>
      </c>
      <c r="FG5" s="172"/>
      <c r="FH5" s="172"/>
      <c r="FI5" s="172"/>
      <c r="FJ5" s="172"/>
      <c r="FK5" s="172"/>
      <c r="FL5" s="172"/>
      <c r="FM5" s="172"/>
      <c r="FN5" s="172"/>
      <c r="FO5" s="172" t="s">
        <v>19</v>
      </c>
      <c r="FP5" s="172"/>
      <c r="FQ5" s="172"/>
      <c r="FR5" s="172" t="s">
        <v>20</v>
      </c>
      <c r="FS5" s="172"/>
      <c r="FT5" s="172"/>
      <c r="FU5" s="172" t="s">
        <v>21</v>
      </c>
      <c r="FV5" s="172"/>
      <c r="FW5" s="172"/>
      <c r="FX5" s="172"/>
      <c r="FY5" s="172"/>
      <c r="FZ5" s="172"/>
      <c r="GA5" s="182"/>
      <c r="GB5" s="183"/>
      <c r="GC5" s="184"/>
      <c r="GD5" s="176" t="s">
        <v>36</v>
      </c>
      <c r="GE5" s="177"/>
      <c r="GF5" s="178"/>
      <c r="GG5" s="176" t="s">
        <v>37</v>
      </c>
      <c r="GH5" s="177"/>
      <c r="GI5" s="178"/>
      <c r="GJ5" s="176" t="s">
        <v>36</v>
      </c>
      <c r="GK5" s="177"/>
      <c r="GL5" s="178"/>
      <c r="GM5" s="176" t="s">
        <v>37</v>
      </c>
      <c r="GN5" s="177"/>
      <c r="GO5" s="178"/>
      <c r="GP5" s="182"/>
      <c r="GQ5" s="183"/>
      <c r="GR5" s="184"/>
      <c r="GS5" s="176" t="s">
        <v>36</v>
      </c>
      <c r="GT5" s="177"/>
      <c r="GU5" s="178"/>
      <c r="GV5" s="176" t="s">
        <v>37</v>
      </c>
      <c r="GW5" s="177"/>
      <c r="GX5" s="178"/>
      <c r="GY5" s="176" t="s">
        <v>36</v>
      </c>
      <c r="GZ5" s="177"/>
      <c r="HA5" s="178"/>
      <c r="HB5" s="176" t="s">
        <v>37</v>
      </c>
      <c r="HC5" s="177"/>
      <c r="HD5" s="178"/>
      <c r="HE5" s="182"/>
      <c r="HF5" s="183"/>
      <c r="HG5" s="184"/>
      <c r="HH5" s="176" t="s">
        <v>36</v>
      </c>
      <c r="HI5" s="177"/>
      <c r="HJ5" s="178"/>
      <c r="HK5" s="176" t="s">
        <v>37</v>
      </c>
      <c r="HL5" s="177"/>
      <c r="HM5" s="178"/>
      <c r="HN5" s="176" t="s">
        <v>36</v>
      </c>
      <c r="HO5" s="177"/>
      <c r="HP5" s="178"/>
      <c r="HQ5" s="176" t="s">
        <v>37</v>
      </c>
      <c r="HR5" s="177"/>
      <c r="HS5" s="178"/>
    </row>
    <row r="6" spans="1:227" ht="18" customHeight="1">
      <c r="A6" s="170"/>
      <c r="B6" s="172"/>
      <c r="C6" s="26" t="s">
        <v>5</v>
      </c>
      <c r="D6" s="26" t="s">
        <v>6</v>
      </c>
      <c r="E6" s="26" t="s">
        <v>7</v>
      </c>
      <c r="F6" s="26" t="s">
        <v>5</v>
      </c>
      <c r="G6" s="26" t="s">
        <v>6</v>
      </c>
      <c r="H6" s="26" t="s">
        <v>7</v>
      </c>
      <c r="I6" s="26" t="s">
        <v>5</v>
      </c>
      <c r="J6" s="26" t="s">
        <v>6</v>
      </c>
      <c r="K6" s="26" t="s">
        <v>7</v>
      </c>
      <c r="L6" s="26" t="s">
        <v>5</v>
      </c>
      <c r="M6" s="26" t="s">
        <v>6</v>
      </c>
      <c r="N6" s="26" t="s">
        <v>7</v>
      </c>
      <c r="O6" s="26" t="s">
        <v>5</v>
      </c>
      <c r="P6" s="26" t="s">
        <v>6</v>
      </c>
      <c r="Q6" s="26" t="s">
        <v>7</v>
      </c>
      <c r="R6" s="26" t="s">
        <v>5</v>
      </c>
      <c r="S6" s="26" t="s">
        <v>6</v>
      </c>
      <c r="T6" s="26" t="s">
        <v>7</v>
      </c>
      <c r="U6" s="26" t="s">
        <v>5</v>
      </c>
      <c r="V6" s="26" t="s">
        <v>6</v>
      </c>
      <c r="W6" s="26" t="s">
        <v>7</v>
      </c>
      <c r="X6" s="26" t="s">
        <v>5</v>
      </c>
      <c r="Y6" s="26" t="s">
        <v>6</v>
      </c>
      <c r="Z6" s="26" t="s">
        <v>7</v>
      </c>
      <c r="AA6" s="26" t="s">
        <v>5</v>
      </c>
      <c r="AB6" s="26" t="s">
        <v>6</v>
      </c>
      <c r="AC6" s="26" t="s">
        <v>7</v>
      </c>
      <c r="AD6" s="26" t="s">
        <v>5</v>
      </c>
      <c r="AE6" s="26" t="s">
        <v>6</v>
      </c>
      <c r="AF6" s="26" t="s">
        <v>7</v>
      </c>
      <c r="AG6" s="26" t="s">
        <v>5</v>
      </c>
      <c r="AH6" s="26" t="s">
        <v>6</v>
      </c>
      <c r="AI6" s="26" t="s">
        <v>7</v>
      </c>
      <c r="AJ6" s="26" t="s">
        <v>5</v>
      </c>
      <c r="AK6" s="26" t="s">
        <v>6</v>
      </c>
      <c r="AL6" s="26" t="s">
        <v>7</v>
      </c>
      <c r="AM6" s="26" t="s">
        <v>5</v>
      </c>
      <c r="AN6" s="26" t="s">
        <v>6</v>
      </c>
      <c r="AO6" s="26" t="s">
        <v>7</v>
      </c>
      <c r="AP6" s="26" t="s">
        <v>5</v>
      </c>
      <c r="AQ6" s="26" t="s">
        <v>6</v>
      </c>
      <c r="AR6" s="26" t="s">
        <v>7</v>
      </c>
      <c r="AS6" s="26" t="s">
        <v>5</v>
      </c>
      <c r="AT6" s="26" t="s">
        <v>6</v>
      </c>
      <c r="AU6" s="26" t="s">
        <v>7</v>
      </c>
      <c r="AV6" s="26" t="s">
        <v>5</v>
      </c>
      <c r="AW6" s="26" t="s">
        <v>6</v>
      </c>
      <c r="AX6" s="26" t="s">
        <v>7</v>
      </c>
      <c r="AY6" s="26" t="s">
        <v>5</v>
      </c>
      <c r="AZ6" s="26" t="s">
        <v>6</v>
      </c>
      <c r="BA6" s="26" t="s">
        <v>7</v>
      </c>
      <c r="BB6" s="26" t="s">
        <v>5</v>
      </c>
      <c r="BC6" s="26" t="s">
        <v>6</v>
      </c>
      <c r="BD6" s="26" t="s">
        <v>7</v>
      </c>
      <c r="BE6" s="26" t="s">
        <v>5</v>
      </c>
      <c r="BF6" s="26" t="s">
        <v>6</v>
      </c>
      <c r="BG6" s="26" t="s">
        <v>7</v>
      </c>
      <c r="BH6" s="26" t="s">
        <v>5</v>
      </c>
      <c r="BI6" s="26" t="s">
        <v>6</v>
      </c>
      <c r="BJ6" s="26" t="s">
        <v>7</v>
      </c>
      <c r="BK6" s="26" t="s">
        <v>5</v>
      </c>
      <c r="BL6" s="26" t="s">
        <v>6</v>
      </c>
      <c r="BM6" s="26" t="s">
        <v>7</v>
      </c>
      <c r="BN6" s="26" t="s">
        <v>5</v>
      </c>
      <c r="BO6" s="26" t="s">
        <v>6</v>
      </c>
      <c r="BP6" s="26" t="s">
        <v>7</v>
      </c>
      <c r="BQ6" s="26" t="s">
        <v>5</v>
      </c>
      <c r="BR6" s="26" t="s">
        <v>6</v>
      </c>
      <c r="BS6" s="26" t="s">
        <v>7</v>
      </c>
      <c r="BT6" s="26" t="s">
        <v>5</v>
      </c>
      <c r="BU6" s="26" t="s">
        <v>6</v>
      </c>
      <c r="BV6" s="26" t="s">
        <v>7</v>
      </c>
      <c r="BW6" s="26" t="s">
        <v>5</v>
      </c>
      <c r="BX6" s="26" t="s">
        <v>6</v>
      </c>
      <c r="BY6" s="26" t="s">
        <v>7</v>
      </c>
      <c r="BZ6" s="26" t="s">
        <v>5</v>
      </c>
      <c r="CA6" s="26" t="s">
        <v>6</v>
      </c>
      <c r="CB6" s="26" t="s">
        <v>7</v>
      </c>
      <c r="CC6" s="26" t="s">
        <v>5</v>
      </c>
      <c r="CD6" s="26" t="s">
        <v>6</v>
      </c>
      <c r="CE6" s="26" t="s">
        <v>7</v>
      </c>
      <c r="CF6" s="26" t="s">
        <v>5</v>
      </c>
      <c r="CG6" s="26" t="s">
        <v>6</v>
      </c>
      <c r="CH6" s="26" t="s">
        <v>7</v>
      </c>
      <c r="CI6" s="26" t="s">
        <v>5</v>
      </c>
      <c r="CJ6" s="26" t="s">
        <v>6</v>
      </c>
      <c r="CK6" s="26" t="s">
        <v>7</v>
      </c>
      <c r="CL6" s="26" t="s">
        <v>5</v>
      </c>
      <c r="CM6" s="26" t="s">
        <v>6</v>
      </c>
      <c r="CN6" s="26" t="s">
        <v>7</v>
      </c>
      <c r="CO6" s="26" t="s">
        <v>5</v>
      </c>
      <c r="CP6" s="26" t="s">
        <v>6</v>
      </c>
      <c r="CQ6" s="26" t="s">
        <v>7</v>
      </c>
      <c r="CR6" s="26" t="s">
        <v>5</v>
      </c>
      <c r="CS6" s="26" t="s">
        <v>6</v>
      </c>
      <c r="CT6" s="26" t="s">
        <v>7</v>
      </c>
      <c r="CU6" s="26" t="s">
        <v>5</v>
      </c>
      <c r="CV6" s="26" t="s">
        <v>6</v>
      </c>
      <c r="CW6" s="26" t="s">
        <v>7</v>
      </c>
      <c r="CX6" s="26" t="s">
        <v>5</v>
      </c>
      <c r="CY6" s="26" t="s">
        <v>6</v>
      </c>
      <c r="CZ6" s="26" t="s">
        <v>7</v>
      </c>
      <c r="DA6" s="26" t="s">
        <v>5</v>
      </c>
      <c r="DB6" s="26" t="s">
        <v>6</v>
      </c>
      <c r="DC6" s="26" t="s">
        <v>7</v>
      </c>
      <c r="DD6" s="26" t="s">
        <v>5</v>
      </c>
      <c r="DE6" s="26" t="s">
        <v>6</v>
      </c>
      <c r="DF6" s="26" t="s">
        <v>7</v>
      </c>
      <c r="DG6" s="26" t="s">
        <v>5</v>
      </c>
      <c r="DH6" s="26" t="s">
        <v>6</v>
      </c>
      <c r="DI6" s="26" t="s">
        <v>7</v>
      </c>
      <c r="DJ6" s="26" t="s">
        <v>5</v>
      </c>
      <c r="DK6" s="26" t="s">
        <v>6</v>
      </c>
      <c r="DL6" s="26" t="s">
        <v>7</v>
      </c>
      <c r="DM6" s="26" t="s">
        <v>5</v>
      </c>
      <c r="DN6" s="26" t="s">
        <v>6</v>
      </c>
      <c r="DO6" s="26" t="s">
        <v>7</v>
      </c>
      <c r="DP6" s="26" t="s">
        <v>5</v>
      </c>
      <c r="DQ6" s="26" t="s">
        <v>6</v>
      </c>
      <c r="DR6" s="26" t="s">
        <v>7</v>
      </c>
      <c r="DS6" s="26" t="s">
        <v>5</v>
      </c>
      <c r="DT6" s="26" t="s">
        <v>6</v>
      </c>
      <c r="DU6" s="26" t="s">
        <v>7</v>
      </c>
      <c r="DV6" s="26" t="s">
        <v>5</v>
      </c>
      <c r="DW6" s="26" t="s">
        <v>6</v>
      </c>
      <c r="DX6" s="26" t="s">
        <v>7</v>
      </c>
      <c r="DY6" s="26" t="s">
        <v>5</v>
      </c>
      <c r="DZ6" s="26" t="s">
        <v>6</v>
      </c>
      <c r="EA6" s="26" t="s">
        <v>7</v>
      </c>
      <c r="EB6" s="26" t="s">
        <v>5</v>
      </c>
      <c r="EC6" s="26" t="s">
        <v>6</v>
      </c>
      <c r="ED6" s="26" t="s">
        <v>7</v>
      </c>
      <c r="EE6" s="26" t="s">
        <v>5</v>
      </c>
      <c r="EF6" s="26" t="s">
        <v>6</v>
      </c>
      <c r="EG6" s="26" t="s">
        <v>7</v>
      </c>
      <c r="EH6" s="26" t="s">
        <v>5</v>
      </c>
      <c r="EI6" s="26" t="s">
        <v>6</v>
      </c>
      <c r="EJ6" s="26" t="s">
        <v>7</v>
      </c>
      <c r="EK6" s="26" t="s">
        <v>5</v>
      </c>
      <c r="EL6" s="26" t="s">
        <v>6</v>
      </c>
      <c r="EM6" s="26" t="s">
        <v>7</v>
      </c>
      <c r="EN6" s="26" t="s">
        <v>5</v>
      </c>
      <c r="EO6" s="26" t="s">
        <v>6</v>
      </c>
      <c r="EP6" s="26" t="s">
        <v>7</v>
      </c>
      <c r="EQ6" s="26" t="s">
        <v>5</v>
      </c>
      <c r="ER6" s="26" t="s">
        <v>6</v>
      </c>
      <c r="ES6" s="26" t="s">
        <v>7</v>
      </c>
      <c r="ET6" s="26" t="s">
        <v>5</v>
      </c>
      <c r="EU6" s="26" t="s">
        <v>6</v>
      </c>
      <c r="EV6" s="26" t="s">
        <v>7</v>
      </c>
      <c r="EW6" s="26" t="s">
        <v>5</v>
      </c>
      <c r="EX6" s="26" t="s">
        <v>6</v>
      </c>
      <c r="EY6" s="26" t="s">
        <v>7</v>
      </c>
      <c r="EZ6" s="26" t="s">
        <v>5</v>
      </c>
      <c r="FA6" s="26" t="s">
        <v>6</v>
      </c>
      <c r="FB6" s="26" t="s">
        <v>7</v>
      </c>
      <c r="FC6" s="26" t="s">
        <v>5</v>
      </c>
      <c r="FD6" s="26" t="s">
        <v>6</v>
      </c>
      <c r="FE6" s="26" t="s">
        <v>7</v>
      </c>
      <c r="FF6" s="26" t="s">
        <v>5</v>
      </c>
      <c r="FG6" s="26" t="s">
        <v>6</v>
      </c>
      <c r="FH6" s="26" t="s">
        <v>7</v>
      </c>
      <c r="FI6" s="26" t="s">
        <v>5</v>
      </c>
      <c r="FJ6" s="26" t="s">
        <v>6</v>
      </c>
      <c r="FK6" s="26" t="s">
        <v>7</v>
      </c>
      <c r="FL6" s="26" t="s">
        <v>5</v>
      </c>
      <c r="FM6" s="26" t="s">
        <v>6</v>
      </c>
      <c r="FN6" s="26" t="s">
        <v>7</v>
      </c>
      <c r="FO6" s="26" t="s">
        <v>5</v>
      </c>
      <c r="FP6" s="26" t="s">
        <v>6</v>
      </c>
      <c r="FQ6" s="26" t="s">
        <v>7</v>
      </c>
      <c r="FR6" s="26" t="s">
        <v>5</v>
      </c>
      <c r="FS6" s="26" t="s">
        <v>6</v>
      </c>
      <c r="FT6" s="26" t="s">
        <v>7</v>
      </c>
      <c r="FU6" s="26" t="s">
        <v>5</v>
      </c>
      <c r="FV6" s="26" t="s">
        <v>6</v>
      </c>
      <c r="FW6" s="26" t="s">
        <v>7</v>
      </c>
      <c r="FX6" s="26" t="s">
        <v>5</v>
      </c>
      <c r="FY6" s="26" t="s">
        <v>6</v>
      </c>
      <c r="FZ6" s="26" t="s">
        <v>7</v>
      </c>
      <c r="GA6" s="26" t="s">
        <v>5</v>
      </c>
      <c r="GB6" s="26" t="s">
        <v>6</v>
      </c>
      <c r="GC6" s="26" t="s">
        <v>7</v>
      </c>
      <c r="GD6" s="26" t="s">
        <v>5</v>
      </c>
      <c r="GE6" s="26" t="s">
        <v>6</v>
      </c>
      <c r="GF6" s="26" t="s">
        <v>7</v>
      </c>
      <c r="GG6" s="26" t="s">
        <v>5</v>
      </c>
      <c r="GH6" s="26" t="s">
        <v>6</v>
      </c>
      <c r="GI6" s="26" t="s">
        <v>7</v>
      </c>
      <c r="GJ6" s="26" t="s">
        <v>5</v>
      </c>
      <c r="GK6" s="26" t="s">
        <v>6</v>
      </c>
      <c r="GL6" s="26" t="s">
        <v>7</v>
      </c>
      <c r="GM6" s="26" t="s">
        <v>5</v>
      </c>
      <c r="GN6" s="26" t="s">
        <v>6</v>
      </c>
      <c r="GO6" s="26" t="s">
        <v>7</v>
      </c>
      <c r="GP6" s="26" t="s">
        <v>5</v>
      </c>
      <c r="GQ6" s="26" t="s">
        <v>6</v>
      </c>
      <c r="GR6" s="26" t="s">
        <v>7</v>
      </c>
      <c r="GS6" s="26" t="s">
        <v>5</v>
      </c>
      <c r="GT6" s="26" t="s">
        <v>6</v>
      </c>
      <c r="GU6" s="26" t="s">
        <v>7</v>
      </c>
      <c r="GV6" s="26" t="s">
        <v>5</v>
      </c>
      <c r="GW6" s="26" t="s">
        <v>6</v>
      </c>
      <c r="GX6" s="26" t="s">
        <v>7</v>
      </c>
      <c r="GY6" s="26" t="s">
        <v>5</v>
      </c>
      <c r="GZ6" s="26" t="s">
        <v>6</v>
      </c>
      <c r="HA6" s="26" t="s">
        <v>7</v>
      </c>
      <c r="HB6" s="26" t="s">
        <v>5</v>
      </c>
      <c r="HC6" s="26" t="s">
        <v>6</v>
      </c>
      <c r="HD6" s="26" t="s">
        <v>7</v>
      </c>
      <c r="HE6" s="26" t="s">
        <v>5</v>
      </c>
      <c r="HF6" s="26" t="s">
        <v>6</v>
      </c>
      <c r="HG6" s="26" t="s">
        <v>7</v>
      </c>
      <c r="HH6" s="26" t="s">
        <v>5</v>
      </c>
      <c r="HI6" s="26" t="s">
        <v>6</v>
      </c>
      <c r="HJ6" s="26" t="s">
        <v>7</v>
      </c>
      <c r="HK6" s="26" t="s">
        <v>5</v>
      </c>
      <c r="HL6" s="26" t="s">
        <v>6</v>
      </c>
      <c r="HM6" s="26" t="s">
        <v>7</v>
      </c>
      <c r="HN6" s="26" t="s">
        <v>5</v>
      </c>
      <c r="HO6" s="26" t="s">
        <v>6</v>
      </c>
      <c r="HP6" s="26" t="s">
        <v>7</v>
      </c>
      <c r="HQ6" s="26" t="s">
        <v>5</v>
      </c>
      <c r="HR6" s="26" t="s">
        <v>6</v>
      </c>
      <c r="HS6" s="26" t="s">
        <v>7</v>
      </c>
    </row>
    <row r="7" spans="1:227" s="28" customFormat="1" ht="12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3</v>
      </c>
      <c r="S7" s="27">
        <v>4</v>
      </c>
      <c r="T7" s="27">
        <v>5</v>
      </c>
      <c r="U7" s="27">
        <v>6</v>
      </c>
      <c r="V7" s="27">
        <v>7</v>
      </c>
      <c r="W7" s="27">
        <v>8</v>
      </c>
      <c r="X7" s="27">
        <v>9</v>
      </c>
      <c r="Y7" s="27">
        <v>10</v>
      </c>
      <c r="Z7" s="27">
        <v>11</v>
      </c>
      <c r="AA7" s="27">
        <v>12</v>
      </c>
      <c r="AB7" s="27">
        <v>13</v>
      </c>
      <c r="AC7" s="27">
        <v>14</v>
      </c>
      <c r="AD7" s="27">
        <v>15</v>
      </c>
      <c r="AE7" s="27">
        <v>16</v>
      </c>
      <c r="AF7" s="27">
        <v>17</v>
      </c>
      <c r="AG7" s="27">
        <v>3</v>
      </c>
      <c r="AH7" s="27">
        <v>4</v>
      </c>
      <c r="AI7" s="27">
        <v>5</v>
      </c>
      <c r="AJ7" s="27">
        <v>6</v>
      </c>
      <c r="AK7" s="27">
        <v>7</v>
      </c>
      <c r="AL7" s="27">
        <v>8</v>
      </c>
      <c r="AM7" s="27">
        <v>9</v>
      </c>
      <c r="AN7" s="27">
        <v>10</v>
      </c>
      <c r="AO7" s="27">
        <v>11</v>
      </c>
      <c r="AP7" s="27">
        <v>12</v>
      </c>
      <c r="AQ7" s="27">
        <v>13</v>
      </c>
      <c r="AR7" s="27">
        <v>14</v>
      </c>
      <c r="AS7" s="27">
        <v>15</v>
      </c>
      <c r="AT7" s="27">
        <v>16</v>
      </c>
      <c r="AU7" s="27">
        <v>17</v>
      </c>
      <c r="AV7" s="27">
        <v>3</v>
      </c>
      <c r="AW7" s="27">
        <v>4</v>
      </c>
      <c r="AX7" s="27">
        <v>5</v>
      </c>
      <c r="AY7" s="27">
        <v>6</v>
      </c>
      <c r="AZ7" s="27">
        <v>7</v>
      </c>
      <c r="BA7" s="27">
        <v>8</v>
      </c>
      <c r="BB7" s="27">
        <v>9</v>
      </c>
      <c r="BC7" s="27">
        <v>10</v>
      </c>
      <c r="BD7" s="27">
        <v>11</v>
      </c>
      <c r="BE7" s="27">
        <v>12</v>
      </c>
      <c r="BF7" s="27">
        <v>13</v>
      </c>
      <c r="BG7" s="27">
        <v>14</v>
      </c>
      <c r="BH7" s="27">
        <v>15</v>
      </c>
      <c r="BI7" s="27">
        <v>16</v>
      </c>
      <c r="BJ7" s="27">
        <v>17</v>
      </c>
      <c r="BK7" s="27">
        <v>3</v>
      </c>
      <c r="BL7" s="27">
        <v>4</v>
      </c>
      <c r="BM7" s="27">
        <v>5</v>
      </c>
      <c r="BN7" s="27">
        <v>6</v>
      </c>
      <c r="BO7" s="27">
        <v>7</v>
      </c>
      <c r="BP7" s="27">
        <v>8</v>
      </c>
      <c r="BQ7" s="27">
        <v>9</v>
      </c>
      <c r="BR7" s="27">
        <v>10</v>
      </c>
      <c r="BS7" s="27">
        <v>11</v>
      </c>
      <c r="BT7" s="27">
        <v>12</v>
      </c>
      <c r="BU7" s="27">
        <v>13</v>
      </c>
      <c r="BV7" s="27">
        <v>14</v>
      </c>
      <c r="BW7" s="27">
        <v>15</v>
      </c>
      <c r="BX7" s="27">
        <v>16</v>
      </c>
      <c r="BY7" s="27">
        <v>17</v>
      </c>
      <c r="BZ7" s="27">
        <v>3</v>
      </c>
      <c r="CA7" s="27">
        <v>4</v>
      </c>
      <c r="CB7" s="27">
        <v>5</v>
      </c>
      <c r="CC7" s="27">
        <v>6</v>
      </c>
      <c r="CD7" s="27">
        <v>7</v>
      </c>
      <c r="CE7" s="27">
        <v>8</v>
      </c>
      <c r="CF7" s="27">
        <v>9</v>
      </c>
      <c r="CG7" s="27">
        <v>10</v>
      </c>
      <c r="CH7" s="27">
        <v>11</v>
      </c>
      <c r="CI7" s="27">
        <v>12</v>
      </c>
      <c r="CJ7" s="27">
        <v>13</v>
      </c>
      <c r="CK7" s="27">
        <v>14</v>
      </c>
      <c r="CL7" s="27">
        <v>15</v>
      </c>
      <c r="CM7" s="27">
        <v>16</v>
      </c>
      <c r="CN7" s="27">
        <v>17</v>
      </c>
      <c r="CO7" s="27">
        <v>3</v>
      </c>
      <c r="CP7" s="27">
        <v>4</v>
      </c>
      <c r="CQ7" s="27">
        <v>5</v>
      </c>
      <c r="CR7" s="27">
        <v>6</v>
      </c>
      <c r="CS7" s="27">
        <v>7</v>
      </c>
      <c r="CT7" s="27">
        <v>8</v>
      </c>
      <c r="CU7" s="27">
        <v>9</v>
      </c>
      <c r="CV7" s="27">
        <v>10</v>
      </c>
      <c r="CW7" s="27">
        <v>11</v>
      </c>
      <c r="CX7" s="27">
        <v>12</v>
      </c>
      <c r="CY7" s="27">
        <v>13</v>
      </c>
      <c r="CZ7" s="27">
        <v>14</v>
      </c>
      <c r="DA7" s="27">
        <v>15</v>
      </c>
      <c r="DB7" s="27">
        <v>16</v>
      </c>
      <c r="DC7" s="27">
        <v>17</v>
      </c>
      <c r="DD7" s="27">
        <v>3</v>
      </c>
      <c r="DE7" s="27">
        <v>4</v>
      </c>
      <c r="DF7" s="27">
        <v>5</v>
      </c>
      <c r="DG7" s="27">
        <v>6</v>
      </c>
      <c r="DH7" s="27">
        <v>7</v>
      </c>
      <c r="DI7" s="27">
        <v>8</v>
      </c>
      <c r="DJ7" s="27">
        <v>9</v>
      </c>
      <c r="DK7" s="27">
        <v>10</v>
      </c>
      <c r="DL7" s="27">
        <v>11</v>
      </c>
      <c r="DM7" s="27">
        <v>12</v>
      </c>
      <c r="DN7" s="27">
        <v>13</v>
      </c>
      <c r="DO7" s="27">
        <v>14</v>
      </c>
      <c r="DP7" s="27">
        <v>15</v>
      </c>
      <c r="DQ7" s="27">
        <v>16</v>
      </c>
      <c r="DR7" s="27">
        <v>17</v>
      </c>
      <c r="DS7" s="27">
        <v>3</v>
      </c>
      <c r="DT7" s="27">
        <v>4</v>
      </c>
      <c r="DU7" s="27">
        <v>5</v>
      </c>
      <c r="DV7" s="27">
        <v>6</v>
      </c>
      <c r="DW7" s="27">
        <v>7</v>
      </c>
      <c r="DX7" s="27">
        <v>8</v>
      </c>
      <c r="DY7" s="27">
        <v>9</v>
      </c>
      <c r="DZ7" s="27">
        <v>10</v>
      </c>
      <c r="EA7" s="27">
        <v>11</v>
      </c>
      <c r="EB7" s="27">
        <v>12</v>
      </c>
      <c r="EC7" s="27">
        <v>13</v>
      </c>
      <c r="ED7" s="27">
        <v>14</v>
      </c>
      <c r="EE7" s="27">
        <v>15</v>
      </c>
      <c r="EF7" s="27">
        <v>16</v>
      </c>
      <c r="EG7" s="27">
        <v>17</v>
      </c>
      <c r="EH7" s="27">
        <v>3</v>
      </c>
      <c r="EI7" s="27">
        <v>4</v>
      </c>
      <c r="EJ7" s="27">
        <v>5</v>
      </c>
      <c r="EK7" s="27">
        <v>6</v>
      </c>
      <c r="EL7" s="27">
        <v>7</v>
      </c>
      <c r="EM7" s="27">
        <v>8</v>
      </c>
      <c r="EN7" s="27">
        <v>9</v>
      </c>
      <c r="EO7" s="27">
        <v>10</v>
      </c>
      <c r="EP7" s="27">
        <v>11</v>
      </c>
      <c r="EQ7" s="27">
        <v>12</v>
      </c>
      <c r="ER7" s="27">
        <v>13</v>
      </c>
      <c r="ES7" s="27">
        <v>14</v>
      </c>
      <c r="ET7" s="27">
        <v>15</v>
      </c>
      <c r="EU7" s="27">
        <v>16</v>
      </c>
      <c r="EV7" s="27">
        <v>17</v>
      </c>
      <c r="EW7" s="27">
        <v>3</v>
      </c>
      <c r="EX7" s="27">
        <v>4</v>
      </c>
      <c r="EY7" s="27">
        <v>5</v>
      </c>
      <c r="EZ7" s="27">
        <v>6</v>
      </c>
      <c r="FA7" s="27">
        <v>7</v>
      </c>
      <c r="FB7" s="27">
        <v>8</v>
      </c>
      <c r="FC7" s="27">
        <v>9</v>
      </c>
      <c r="FD7" s="27">
        <v>10</v>
      </c>
      <c r="FE7" s="27">
        <v>11</v>
      </c>
      <c r="FF7" s="27">
        <v>12</v>
      </c>
      <c r="FG7" s="27">
        <v>13</v>
      </c>
      <c r="FH7" s="27">
        <v>14</v>
      </c>
      <c r="FI7" s="27">
        <v>15</v>
      </c>
      <c r="FJ7" s="27">
        <v>16</v>
      </c>
      <c r="FK7" s="27">
        <v>17</v>
      </c>
      <c r="FL7" s="27">
        <v>3</v>
      </c>
      <c r="FM7" s="27">
        <v>4</v>
      </c>
      <c r="FN7" s="27">
        <v>5</v>
      </c>
      <c r="FO7" s="27">
        <v>6</v>
      </c>
      <c r="FP7" s="27">
        <v>7</v>
      </c>
      <c r="FQ7" s="27">
        <v>8</v>
      </c>
      <c r="FR7" s="27">
        <v>9</v>
      </c>
      <c r="FS7" s="27">
        <v>10</v>
      </c>
      <c r="FT7" s="27">
        <v>11</v>
      </c>
      <c r="FU7" s="27">
        <v>12</v>
      </c>
      <c r="FV7" s="27">
        <v>13</v>
      </c>
      <c r="FW7" s="27">
        <v>14</v>
      </c>
      <c r="FX7" s="27">
        <v>15</v>
      </c>
      <c r="FY7" s="27">
        <v>16</v>
      </c>
      <c r="FZ7" s="27">
        <v>17</v>
      </c>
      <c r="GA7" s="45">
        <v>3</v>
      </c>
      <c r="GB7" s="45">
        <v>4</v>
      </c>
      <c r="GC7" s="45">
        <v>5</v>
      </c>
      <c r="GD7" s="45">
        <v>6</v>
      </c>
      <c r="GE7" s="45">
        <v>7</v>
      </c>
      <c r="GF7" s="45">
        <v>8</v>
      </c>
      <c r="GG7" s="45">
        <v>9</v>
      </c>
      <c r="GH7" s="45">
        <v>10</v>
      </c>
      <c r="GI7" s="45">
        <v>11</v>
      </c>
      <c r="GJ7" s="45">
        <v>12</v>
      </c>
      <c r="GK7" s="45">
        <v>13</v>
      </c>
      <c r="GL7" s="45">
        <v>14</v>
      </c>
      <c r="GM7" s="45">
        <v>15</v>
      </c>
      <c r="GN7" s="45">
        <v>16</v>
      </c>
      <c r="GO7" s="45">
        <v>17</v>
      </c>
      <c r="GP7" s="45">
        <v>3</v>
      </c>
      <c r="GQ7" s="45">
        <v>4</v>
      </c>
      <c r="GR7" s="45">
        <v>5</v>
      </c>
      <c r="GS7" s="45">
        <v>6</v>
      </c>
      <c r="GT7" s="45">
        <v>7</v>
      </c>
      <c r="GU7" s="45">
        <v>8</v>
      </c>
      <c r="GV7" s="45">
        <v>9</v>
      </c>
      <c r="GW7" s="45">
        <v>10</v>
      </c>
      <c r="GX7" s="45">
        <v>11</v>
      </c>
      <c r="GY7" s="45">
        <v>12</v>
      </c>
      <c r="GZ7" s="45">
        <v>13</v>
      </c>
      <c r="HA7" s="45">
        <v>14</v>
      </c>
      <c r="HB7" s="45">
        <v>15</v>
      </c>
      <c r="HC7" s="45">
        <v>16</v>
      </c>
      <c r="HD7" s="45">
        <v>17</v>
      </c>
      <c r="HE7" s="45">
        <v>3</v>
      </c>
      <c r="HF7" s="45">
        <v>4</v>
      </c>
      <c r="HG7" s="45">
        <v>5</v>
      </c>
      <c r="HH7" s="45">
        <v>6</v>
      </c>
      <c r="HI7" s="45">
        <v>7</v>
      </c>
      <c r="HJ7" s="45">
        <v>8</v>
      </c>
      <c r="HK7" s="45">
        <v>9</v>
      </c>
      <c r="HL7" s="45">
        <v>10</v>
      </c>
      <c r="HM7" s="45">
        <v>11</v>
      </c>
      <c r="HN7" s="45">
        <v>12</v>
      </c>
      <c r="HO7" s="45">
        <v>13</v>
      </c>
      <c r="HP7" s="45">
        <v>14</v>
      </c>
      <c r="HQ7" s="45">
        <v>15</v>
      </c>
      <c r="HR7" s="45">
        <v>16</v>
      </c>
      <c r="HS7" s="45">
        <v>17</v>
      </c>
    </row>
    <row r="8" spans="1:227" s="29" customFormat="1" ht="15.75" customHeight="1">
      <c r="A8" s="171" t="s">
        <v>9</v>
      </c>
      <c r="B8" s="171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88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90"/>
      <c r="GP8" s="188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90"/>
      <c r="HE8" s="188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90"/>
    </row>
    <row r="9" spans="1:227" ht="28.5" customHeight="1">
      <c r="A9" s="4">
        <v>1</v>
      </c>
      <c r="B9" s="153" t="s">
        <v>22</v>
      </c>
      <c r="C9" s="76">
        <v>551548</v>
      </c>
      <c r="D9" s="76">
        <v>421483</v>
      </c>
      <c r="E9" s="84">
        <f>C9+D9</f>
        <v>973031</v>
      </c>
      <c r="F9" s="76">
        <v>440993</v>
      </c>
      <c r="G9" s="76">
        <v>376971</v>
      </c>
      <c r="H9" s="83">
        <f>F9+G9</f>
        <v>817964</v>
      </c>
      <c r="I9" s="77">
        <v>19808</v>
      </c>
      <c r="J9" s="77">
        <v>11241</v>
      </c>
      <c r="K9" s="85">
        <f>I9+J9</f>
        <v>31049</v>
      </c>
      <c r="L9" s="76">
        <f aca="true" t="shared" si="0" ref="L9:N10">SUM(F9,I9)</f>
        <v>460801</v>
      </c>
      <c r="M9" s="76">
        <f t="shared" si="0"/>
        <v>388212</v>
      </c>
      <c r="N9" s="76">
        <f t="shared" si="0"/>
        <v>849013</v>
      </c>
      <c r="O9" s="86">
        <f>L9/C9*100</f>
        <v>83.54685358300638</v>
      </c>
      <c r="P9" s="86">
        <f>M9/D9*100</f>
        <v>92.10620594424923</v>
      </c>
      <c r="Q9" s="86">
        <f>N9/E9*100</f>
        <v>87.2544656850604</v>
      </c>
      <c r="R9" s="76">
        <v>12665</v>
      </c>
      <c r="S9" s="76">
        <v>6960</v>
      </c>
      <c r="T9" s="83">
        <f>R9+S9</f>
        <v>19625</v>
      </c>
      <c r="U9" s="76">
        <v>3839</v>
      </c>
      <c r="V9" s="76">
        <v>2552</v>
      </c>
      <c r="W9" s="83">
        <f>U9+V9</f>
        <v>6391</v>
      </c>
      <c r="X9" s="77">
        <v>1987</v>
      </c>
      <c r="Y9" s="77">
        <v>1253</v>
      </c>
      <c r="Z9" s="85">
        <f>X9+Y9</f>
        <v>3240</v>
      </c>
      <c r="AA9" s="76">
        <f aca="true" t="shared" si="1" ref="AA9:AC10">SUM(U9,X9)</f>
        <v>5826</v>
      </c>
      <c r="AB9" s="76">
        <f t="shared" si="1"/>
        <v>3805</v>
      </c>
      <c r="AC9" s="76">
        <f t="shared" si="1"/>
        <v>9631</v>
      </c>
      <c r="AD9" s="86">
        <f aca="true" t="shared" si="2" ref="AD9:AF10">IF(R9=0,"",AA9/R9*100)</f>
        <v>46.00078957757599</v>
      </c>
      <c r="AE9" s="86">
        <f t="shared" si="2"/>
        <v>54.66954022988506</v>
      </c>
      <c r="AF9" s="86">
        <f t="shared" si="2"/>
        <v>49.07515923566879</v>
      </c>
      <c r="AG9" s="85">
        <f>C9+R9</f>
        <v>564213</v>
      </c>
      <c r="AH9" s="85">
        <f>D9+S9</f>
        <v>428443</v>
      </c>
      <c r="AI9" s="85">
        <f>AG9+AH9</f>
        <v>992656</v>
      </c>
      <c r="AJ9" s="85">
        <f>F9+U9</f>
        <v>444832</v>
      </c>
      <c r="AK9" s="85">
        <f>G9+V9</f>
        <v>379523</v>
      </c>
      <c r="AL9" s="85">
        <f>AJ9+AK9</f>
        <v>824355</v>
      </c>
      <c r="AM9" s="85">
        <f>I9+X9</f>
        <v>21795</v>
      </c>
      <c r="AN9" s="85">
        <f>J9+Y9</f>
        <v>12494</v>
      </c>
      <c r="AO9" s="85">
        <f>AM9+AN9</f>
        <v>34289</v>
      </c>
      <c r="AP9" s="76">
        <f aca="true" t="shared" si="3" ref="AP9:AR10">SUM(AJ9,AM9)</f>
        <v>466627</v>
      </c>
      <c r="AQ9" s="76">
        <f t="shared" si="3"/>
        <v>392017</v>
      </c>
      <c r="AR9" s="76">
        <f t="shared" si="3"/>
        <v>858644</v>
      </c>
      <c r="AS9" s="86">
        <f aca="true" t="shared" si="4" ref="AS9:AU10">IF(AG9=0,"",AP9/AG9*100)</f>
        <v>82.70404971172235</v>
      </c>
      <c r="AT9" s="86">
        <f t="shared" si="4"/>
        <v>91.49805224965748</v>
      </c>
      <c r="AU9" s="86">
        <f t="shared" si="4"/>
        <v>86.49965345497333</v>
      </c>
      <c r="AV9" s="77">
        <v>42277</v>
      </c>
      <c r="AW9" s="77">
        <v>34368</v>
      </c>
      <c r="AX9" s="85">
        <f>AV9+AW9</f>
        <v>76645</v>
      </c>
      <c r="AY9" s="77">
        <v>33010</v>
      </c>
      <c r="AZ9" s="77">
        <v>29963</v>
      </c>
      <c r="BA9" s="85">
        <f>AY9+AZ9</f>
        <v>62973</v>
      </c>
      <c r="BB9" s="77">
        <v>1823</v>
      </c>
      <c r="BC9" s="77">
        <v>1256</v>
      </c>
      <c r="BD9" s="85">
        <f>BB9+BC9</f>
        <v>3079</v>
      </c>
      <c r="BE9" s="76">
        <f aca="true" t="shared" si="5" ref="BE9:BG10">SUM(AY9,BB9)</f>
        <v>34833</v>
      </c>
      <c r="BF9" s="76">
        <f t="shared" si="5"/>
        <v>31219</v>
      </c>
      <c r="BG9" s="76">
        <f t="shared" si="5"/>
        <v>66052</v>
      </c>
      <c r="BH9" s="86">
        <f aca="true" t="shared" si="6" ref="BH9:BJ10">IF(AV9=0,"",BE9/AV9*100)</f>
        <v>82.39231733566714</v>
      </c>
      <c r="BI9" s="86">
        <f t="shared" si="6"/>
        <v>90.83740689013035</v>
      </c>
      <c r="BJ9" s="86">
        <f t="shared" si="6"/>
        <v>86.17913758236023</v>
      </c>
      <c r="BK9" s="77">
        <v>3874</v>
      </c>
      <c r="BL9" s="77">
        <v>1632</v>
      </c>
      <c r="BM9" s="85">
        <f>BK9+BL9</f>
        <v>5506</v>
      </c>
      <c r="BN9" s="77">
        <v>780</v>
      </c>
      <c r="BO9" s="77">
        <v>505</v>
      </c>
      <c r="BP9" s="85">
        <f>BN9+BO9</f>
        <v>1285</v>
      </c>
      <c r="BQ9" s="77">
        <v>185</v>
      </c>
      <c r="BR9" s="77">
        <v>156</v>
      </c>
      <c r="BS9" s="85">
        <f>BQ9+BR9</f>
        <v>341</v>
      </c>
      <c r="BT9" s="76">
        <f aca="true" t="shared" si="7" ref="BT9:BV10">SUM(BN9,BQ9)</f>
        <v>965</v>
      </c>
      <c r="BU9" s="76">
        <f t="shared" si="7"/>
        <v>661</v>
      </c>
      <c r="BV9" s="76">
        <f t="shared" si="7"/>
        <v>1626</v>
      </c>
      <c r="BW9" s="86">
        <f aca="true" t="shared" si="8" ref="BW9:BY10">IF(BK9=0,"",BT9/BK9*100)</f>
        <v>24.909654104284975</v>
      </c>
      <c r="BX9" s="86">
        <f t="shared" si="8"/>
        <v>40.502450980392155</v>
      </c>
      <c r="BY9" s="86">
        <f t="shared" si="8"/>
        <v>29.531420268797675</v>
      </c>
      <c r="BZ9" s="85">
        <f>AV9+BK9</f>
        <v>46151</v>
      </c>
      <c r="CA9" s="85">
        <f>AW9+BL9</f>
        <v>36000</v>
      </c>
      <c r="CB9" s="85">
        <f>BZ9+CA9</f>
        <v>82151</v>
      </c>
      <c r="CC9" s="85">
        <f>AY9+BN9</f>
        <v>33790</v>
      </c>
      <c r="CD9" s="85">
        <f>AZ9+BO9</f>
        <v>30468</v>
      </c>
      <c r="CE9" s="85">
        <f>CC9+CD9</f>
        <v>64258</v>
      </c>
      <c r="CF9" s="85">
        <f>BB9+BQ9</f>
        <v>2008</v>
      </c>
      <c r="CG9" s="85">
        <f>BC9+BR9</f>
        <v>1412</v>
      </c>
      <c r="CH9" s="85">
        <f>CF9+CG9</f>
        <v>3420</v>
      </c>
      <c r="CI9" s="76">
        <f aca="true" t="shared" si="9" ref="CI9:CK10">SUM(CC9,CF9)</f>
        <v>35798</v>
      </c>
      <c r="CJ9" s="76">
        <f t="shared" si="9"/>
        <v>31880</v>
      </c>
      <c r="CK9" s="76">
        <f t="shared" si="9"/>
        <v>67678</v>
      </c>
      <c r="CL9" s="86">
        <f aca="true" t="shared" si="10" ref="CL9:CN10">IF(BZ9=0,"",CI9/BZ9*100)</f>
        <v>77.5671166388594</v>
      </c>
      <c r="CM9" s="86">
        <f t="shared" si="10"/>
        <v>88.55555555555556</v>
      </c>
      <c r="CN9" s="86">
        <f t="shared" si="10"/>
        <v>82.3824420883495</v>
      </c>
      <c r="CO9" s="77">
        <v>19054</v>
      </c>
      <c r="CP9" s="77">
        <v>17308</v>
      </c>
      <c r="CQ9" s="85">
        <f>CO9+CP9</f>
        <v>36362</v>
      </c>
      <c r="CR9" s="77">
        <v>13529</v>
      </c>
      <c r="CS9" s="77">
        <v>13175</v>
      </c>
      <c r="CT9" s="85">
        <f>CR9+CS9</f>
        <v>26704</v>
      </c>
      <c r="CU9" s="77">
        <v>1242</v>
      </c>
      <c r="CV9" s="77">
        <v>1059</v>
      </c>
      <c r="CW9" s="85">
        <f>CU9+CV9</f>
        <v>2301</v>
      </c>
      <c r="CX9" s="76">
        <f aca="true" t="shared" si="11" ref="CX9:CZ10">SUM(CR9,CU9)</f>
        <v>14771</v>
      </c>
      <c r="CY9" s="76">
        <f t="shared" si="11"/>
        <v>14234</v>
      </c>
      <c r="CZ9" s="76">
        <f t="shared" si="11"/>
        <v>29005</v>
      </c>
      <c r="DA9" s="86">
        <f aca="true" t="shared" si="12" ref="DA9:DC10">IF(CO9=0,"",CX9/CO9*100)</f>
        <v>77.52178020363178</v>
      </c>
      <c r="DB9" s="86">
        <f t="shared" si="12"/>
        <v>82.23942685463369</v>
      </c>
      <c r="DC9" s="86">
        <f t="shared" si="12"/>
        <v>79.76733953027886</v>
      </c>
      <c r="DD9" s="77">
        <v>2320</v>
      </c>
      <c r="DE9" s="77">
        <v>1547</v>
      </c>
      <c r="DF9" s="85">
        <f>DD9+DE9</f>
        <v>3867</v>
      </c>
      <c r="DG9" s="77">
        <v>625</v>
      </c>
      <c r="DH9" s="77">
        <v>523</v>
      </c>
      <c r="DI9" s="85">
        <f>DG9+DH9</f>
        <v>1148</v>
      </c>
      <c r="DJ9" s="77">
        <v>170</v>
      </c>
      <c r="DK9" s="77">
        <v>155</v>
      </c>
      <c r="DL9" s="85">
        <f>DJ9+DK9</f>
        <v>325</v>
      </c>
      <c r="DM9" s="76">
        <f aca="true" t="shared" si="13" ref="DM9:DO10">SUM(DG9,DJ9)</f>
        <v>795</v>
      </c>
      <c r="DN9" s="76">
        <f t="shared" si="13"/>
        <v>678</v>
      </c>
      <c r="DO9" s="76">
        <f t="shared" si="13"/>
        <v>1473</v>
      </c>
      <c r="DP9" s="86">
        <f aca="true" t="shared" si="14" ref="DP9:DR10">IF(DD9=0,"",DM9/DD9*100)</f>
        <v>34.26724137931034</v>
      </c>
      <c r="DQ9" s="86">
        <f t="shared" si="14"/>
        <v>43.8267614738203</v>
      </c>
      <c r="DR9" s="86">
        <f t="shared" si="14"/>
        <v>38.091543832428236</v>
      </c>
      <c r="DS9" s="85">
        <f>CO9+DD9</f>
        <v>21374</v>
      </c>
      <c r="DT9" s="85">
        <f>CP9+DE9</f>
        <v>18855</v>
      </c>
      <c r="DU9" s="85">
        <f>DS9+DT9</f>
        <v>40229</v>
      </c>
      <c r="DV9" s="85">
        <f>CR9+DG9</f>
        <v>14154</v>
      </c>
      <c r="DW9" s="85">
        <f>CS9+DH9</f>
        <v>13698</v>
      </c>
      <c r="DX9" s="85">
        <f>DV9+DW9</f>
        <v>27852</v>
      </c>
      <c r="DY9" s="85">
        <f>CU9+DJ9</f>
        <v>1412</v>
      </c>
      <c r="DZ9" s="85">
        <f>CV9+DK9</f>
        <v>1214</v>
      </c>
      <c r="EA9" s="85">
        <f>DY9+DZ9</f>
        <v>2626</v>
      </c>
      <c r="EB9" s="76">
        <f aca="true" t="shared" si="15" ref="EB9:ED10">SUM(DV9,DY9)</f>
        <v>15566</v>
      </c>
      <c r="EC9" s="76">
        <f t="shared" si="15"/>
        <v>14912</v>
      </c>
      <c r="ED9" s="76">
        <f t="shared" si="15"/>
        <v>30478</v>
      </c>
      <c r="EE9" s="86">
        <f aca="true" t="shared" si="16" ref="EE9:EG10">IF(DS9=0,"",EB9/DS9*100)</f>
        <v>72.8267989145691</v>
      </c>
      <c r="EF9" s="86">
        <f t="shared" si="16"/>
        <v>79.08777512596129</v>
      </c>
      <c r="EG9" s="86">
        <f t="shared" si="16"/>
        <v>75.76126674786845</v>
      </c>
      <c r="EH9" s="77">
        <v>66489</v>
      </c>
      <c r="EI9" s="77">
        <v>40457</v>
      </c>
      <c r="EJ9" s="85">
        <f>EH9+EI9</f>
        <v>106946</v>
      </c>
      <c r="EK9" s="77">
        <v>50444</v>
      </c>
      <c r="EL9" s="77">
        <v>35202</v>
      </c>
      <c r="EM9" s="85">
        <f>EK9+EL9</f>
        <v>85646</v>
      </c>
      <c r="EN9" s="77">
        <v>3428</v>
      </c>
      <c r="EO9" s="77">
        <v>1789</v>
      </c>
      <c r="EP9" s="85">
        <f>EN9+EO9</f>
        <v>5217</v>
      </c>
      <c r="EQ9" s="76">
        <f aca="true" t="shared" si="17" ref="EQ9:ES10">SUM(EK9,EN9)</f>
        <v>53872</v>
      </c>
      <c r="ER9" s="76">
        <f t="shared" si="17"/>
        <v>36991</v>
      </c>
      <c r="ES9" s="76">
        <f t="shared" si="17"/>
        <v>90863</v>
      </c>
      <c r="ET9" s="86">
        <f aca="true" t="shared" si="18" ref="ET9:EV10">IF(EH9=0,"",EQ9/EH9*100)</f>
        <v>81.02392877017252</v>
      </c>
      <c r="EU9" s="86">
        <f t="shared" si="18"/>
        <v>91.43287935338755</v>
      </c>
      <c r="EV9" s="86">
        <f t="shared" si="18"/>
        <v>84.96156939015953</v>
      </c>
      <c r="EW9" s="77">
        <v>712</v>
      </c>
      <c r="EX9" s="77">
        <v>276</v>
      </c>
      <c r="EY9" s="85">
        <f>EW9+EX9</f>
        <v>988</v>
      </c>
      <c r="EZ9" s="77">
        <v>239</v>
      </c>
      <c r="FA9" s="77">
        <v>134</v>
      </c>
      <c r="FB9" s="85">
        <f>EZ9+FA9</f>
        <v>373</v>
      </c>
      <c r="FC9" s="77">
        <v>106</v>
      </c>
      <c r="FD9" s="77">
        <v>37</v>
      </c>
      <c r="FE9" s="85">
        <f>FC9+FD9</f>
        <v>143</v>
      </c>
      <c r="FF9" s="76">
        <f aca="true" t="shared" si="19" ref="FF9:FH10">SUM(EZ9,FC9)</f>
        <v>345</v>
      </c>
      <c r="FG9" s="76">
        <f t="shared" si="19"/>
        <v>171</v>
      </c>
      <c r="FH9" s="76">
        <f t="shared" si="19"/>
        <v>516</v>
      </c>
      <c r="FI9" s="86">
        <f aca="true" t="shared" si="20" ref="FI9:FK10">IF(EW9=0,"",FF9/EW9*100)</f>
        <v>48.45505617977528</v>
      </c>
      <c r="FJ9" s="86">
        <f t="shared" si="20"/>
        <v>61.95652173913043</v>
      </c>
      <c r="FK9" s="86">
        <f t="shared" si="20"/>
        <v>52.226720647773284</v>
      </c>
      <c r="FL9" s="85">
        <f>EH9+EW9</f>
        <v>67201</v>
      </c>
      <c r="FM9" s="85">
        <f>EI9+EX9</f>
        <v>40733</v>
      </c>
      <c r="FN9" s="85">
        <f>FL9+FM9</f>
        <v>107934</v>
      </c>
      <c r="FO9" s="85">
        <f>EK9+EZ9</f>
        <v>50683</v>
      </c>
      <c r="FP9" s="85">
        <f>EL9+FA9</f>
        <v>35336</v>
      </c>
      <c r="FQ9" s="85">
        <f>FO9+FP9</f>
        <v>86019</v>
      </c>
      <c r="FR9" s="85">
        <f>EN9+FC9</f>
        <v>3534</v>
      </c>
      <c r="FS9" s="85">
        <f>EO9+FD9</f>
        <v>1826</v>
      </c>
      <c r="FT9" s="85">
        <f>FR9+FS9</f>
        <v>5360</v>
      </c>
      <c r="FU9" s="76">
        <f aca="true" t="shared" si="21" ref="FU9:FW10">SUM(FO9,FR9)</f>
        <v>54217</v>
      </c>
      <c r="FV9" s="76">
        <f t="shared" si="21"/>
        <v>37162</v>
      </c>
      <c r="FW9" s="76">
        <f t="shared" si="21"/>
        <v>91379</v>
      </c>
      <c r="FX9" s="86">
        <f aca="true" t="shared" si="22" ref="FX9:FZ10">IF(FL9=0,"",FU9/FL9*100)</f>
        <v>80.6788589455514</v>
      </c>
      <c r="FY9" s="86">
        <f t="shared" si="22"/>
        <v>91.23315248078954</v>
      </c>
      <c r="FZ9" s="86">
        <f t="shared" si="22"/>
        <v>84.66192302703503</v>
      </c>
      <c r="GA9" s="87">
        <f aca="true" t="shared" si="23" ref="GA9:GC10">AP9</f>
        <v>466627</v>
      </c>
      <c r="GB9" s="87">
        <f t="shared" si="23"/>
        <v>392017</v>
      </c>
      <c r="GC9" s="87">
        <f t="shared" si="23"/>
        <v>858644</v>
      </c>
      <c r="GD9" s="87">
        <v>142691</v>
      </c>
      <c r="GE9" s="87">
        <v>145412</v>
      </c>
      <c r="GF9" s="87">
        <f>GD9+GE9</f>
        <v>288103</v>
      </c>
      <c r="GG9" s="87">
        <v>170435</v>
      </c>
      <c r="GH9" s="87">
        <v>147195</v>
      </c>
      <c r="GI9" s="87">
        <f>GG9+GH9</f>
        <v>317630</v>
      </c>
      <c r="GJ9" s="88">
        <f aca="true" t="shared" si="24" ref="GJ9:GL10">GD9/GA9%</f>
        <v>30.579242092720737</v>
      </c>
      <c r="GK9" s="88">
        <f t="shared" si="24"/>
        <v>37.09328932163656</v>
      </c>
      <c r="GL9" s="88">
        <f t="shared" si="24"/>
        <v>33.55325373495884</v>
      </c>
      <c r="GM9" s="89">
        <f aca="true" t="shared" si="25" ref="GM9:GO10">GG9/GA9%</f>
        <v>36.52489032996376</v>
      </c>
      <c r="GN9" s="89">
        <f t="shared" si="25"/>
        <v>37.54811653576248</v>
      </c>
      <c r="GO9" s="89">
        <f t="shared" si="25"/>
        <v>36.99204792673098</v>
      </c>
      <c r="GP9" s="87">
        <f aca="true" t="shared" si="26" ref="GP9:GR10">CI9</f>
        <v>35798</v>
      </c>
      <c r="GQ9" s="87">
        <f t="shared" si="26"/>
        <v>31880</v>
      </c>
      <c r="GR9" s="87">
        <f t="shared" si="26"/>
        <v>67678</v>
      </c>
      <c r="GS9" s="87">
        <v>6829</v>
      </c>
      <c r="GT9" s="87">
        <v>6285</v>
      </c>
      <c r="GU9" s="87">
        <f>GS9+GT9</f>
        <v>13114</v>
      </c>
      <c r="GV9" s="87">
        <v>12838</v>
      </c>
      <c r="GW9" s="87">
        <v>12479</v>
      </c>
      <c r="GX9" s="87">
        <f>GV9+GW9</f>
        <v>25317</v>
      </c>
      <c r="GY9" s="88">
        <f aca="true" t="shared" si="27" ref="GY9:HA10">GS9/GP9%</f>
        <v>19.076484719816747</v>
      </c>
      <c r="GZ9" s="88">
        <f t="shared" si="27"/>
        <v>19.714554579673777</v>
      </c>
      <c r="HA9" s="88">
        <f t="shared" si="27"/>
        <v>19.37705014923609</v>
      </c>
      <c r="HB9" s="89">
        <f aca="true" t="shared" si="28" ref="HB9:HD10">GV9/GP9%</f>
        <v>35.86233867813844</v>
      </c>
      <c r="HC9" s="89">
        <f t="shared" si="28"/>
        <v>39.14366373902133</v>
      </c>
      <c r="HD9" s="89">
        <f t="shared" si="28"/>
        <v>37.408020331570086</v>
      </c>
      <c r="HE9" s="87">
        <f aca="true" t="shared" si="29" ref="HE9:HG10">EB9</f>
        <v>15566</v>
      </c>
      <c r="HF9" s="87">
        <f t="shared" si="29"/>
        <v>14912</v>
      </c>
      <c r="HG9" s="87">
        <f t="shared" si="29"/>
        <v>30478</v>
      </c>
      <c r="HH9" s="87">
        <v>2293</v>
      </c>
      <c r="HI9" s="87">
        <v>2465</v>
      </c>
      <c r="HJ9" s="87">
        <f>HH9+HI9</f>
        <v>4758</v>
      </c>
      <c r="HK9" s="87">
        <v>5269</v>
      </c>
      <c r="HL9" s="87">
        <v>5588</v>
      </c>
      <c r="HM9" s="87">
        <f>HK9+HL9</f>
        <v>10857</v>
      </c>
      <c r="HN9" s="88">
        <f aca="true" t="shared" si="30" ref="HN9:HP10">HH9/HE9%</f>
        <v>14.730823589875369</v>
      </c>
      <c r="HO9" s="88">
        <f t="shared" si="30"/>
        <v>16.530311158798284</v>
      </c>
      <c r="HP9" s="88">
        <f t="shared" si="30"/>
        <v>15.61126058140298</v>
      </c>
      <c r="HQ9" s="89">
        <f aca="true" t="shared" si="31" ref="HQ9:HS10">HK9/HE9%</f>
        <v>33.84941539252216</v>
      </c>
      <c r="HR9" s="89">
        <f t="shared" si="31"/>
        <v>37.473175965665234</v>
      </c>
      <c r="HS9" s="89">
        <f t="shared" si="31"/>
        <v>35.622416169039965</v>
      </c>
    </row>
    <row r="10" spans="1:227" ht="34.5" customHeight="1">
      <c r="A10" s="4">
        <v>2</v>
      </c>
      <c r="B10" s="6" t="s">
        <v>79</v>
      </c>
      <c r="C10" s="8">
        <v>37513</v>
      </c>
      <c r="D10" s="8">
        <v>32849</v>
      </c>
      <c r="E10" s="17">
        <f>C10+D10</f>
        <v>70362</v>
      </c>
      <c r="F10" s="8">
        <v>35925</v>
      </c>
      <c r="G10" s="8">
        <v>32190</v>
      </c>
      <c r="H10" s="9">
        <f>F10+G10</f>
        <v>68115</v>
      </c>
      <c r="I10" s="94"/>
      <c r="J10" s="94"/>
      <c r="K10" s="93"/>
      <c r="L10" s="8">
        <f t="shared" si="0"/>
        <v>35925</v>
      </c>
      <c r="M10" s="8">
        <f t="shared" si="0"/>
        <v>32190</v>
      </c>
      <c r="N10" s="8">
        <f t="shared" si="0"/>
        <v>68115</v>
      </c>
      <c r="O10" s="30">
        <f aca="true" t="shared" si="32" ref="O10:Q41">L10/C10*100</f>
        <v>95.76680084237465</v>
      </c>
      <c r="P10" s="30">
        <f t="shared" si="32"/>
        <v>97.99385064994368</v>
      </c>
      <c r="Q10" s="30">
        <f t="shared" si="32"/>
        <v>96.806514880191</v>
      </c>
      <c r="R10" s="8">
        <v>1321</v>
      </c>
      <c r="S10" s="8">
        <v>387</v>
      </c>
      <c r="T10" s="9">
        <f>R10+S10</f>
        <v>1708</v>
      </c>
      <c r="U10" s="8">
        <v>1103</v>
      </c>
      <c r="V10" s="8">
        <v>310</v>
      </c>
      <c r="W10" s="9">
        <f>U10+V10</f>
        <v>1413</v>
      </c>
      <c r="X10" s="123"/>
      <c r="Y10" s="124"/>
      <c r="Z10" s="93"/>
      <c r="AA10" s="8">
        <f t="shared" si="1"/>
        <v>1103</v>
      </c>
      <c r="AB10" s="8">
        <f t="shared" si="1"/>
        <v>310</v>
      </c>
      <c r="AC10" s="8">
        <f t="shared" si="1"/>
        <v>1413</v>
      </c>
      <c r="AD10" s="30">
        <f t="shared" si="2"/>
        <v>83.49735049205148</v>
      </c>
      <c r="AE10" s="30">
        <f t="shared" si="2"/>
        <v>80.10335917312662</v>
      </c>
      <c r="AF10" s="30">
        <f t="shared" si="2"/>
        <v>82.72833723653396</v>
      </c>
      <c r="AG10" s="11">
        <f>C10+R10</f>
        <v>38834</v>
      </c>
      <c r="AH10" s="11">
        <f>D10+S10</f>
        <v>33236</v>
      </c>
      <c r="AI10" s="11">
        <f>AG10+AH10</f>
        <v>72070</v>
      </c>
      <c r="AJ10" s="11">
        <f>F10+U10</f>
        <v>37028</v>
      </c>
      <c r="AK10" s="11">
        <f>G10+V10</f>
        <v>32500</v>
      </c>
      <c r="AL10" s="11">
        <f>AJ10+AK10</f>
        <v>69528</v>
      </c>
      <c r="AM10" s="93"/>
      <c r="AN10" s="93"/>
      <c r="AO10" s="93"/>
      <c r="AP10" s="8">
        <f t="shared" si="3"/>
        <v>37028</v>
      </c>
      <c r="AQ10" s="8">
        <f t="shared" si="3"/>
        <v>32500</v>
      </c>
      <c r="AR10" s="8">
        <f t="shared" si="3"/>
        <v>69528</v>
      </c>
      <c r="AS10" s="30">
        <f t="shared" si="4"/>
        <v>95.3494360611835</v>
      </c>
      <c r="AT10" s="30">
        <f t="shared" si="4"/>
        <v>97.78553375857504</v>
      </c>
      <c r="AU10" s="30">
        <f t="shared" si="4"/>
        <v>96.47287359511586</v>
      </c>
      <c r="AV10" s="10">
        <v>1371</v>
      </c>
      <c r="AW10" s="10">
        <v>1019</v>
      </c>
      <c r="AX10" s="11">
        <f>AV10+AW10</f>
        <v>2390</v>
      </c>
      <c r="AY10" s="10">
        <v>1285</v>
      </c>
      <c r="AZ10" s="10">
        <v>985</v>
      </c>
      <c r="BA10" s="11">
        <f>AY10+AZ10</f>
        <v>2270</v>
      </c>
      <c r="BB10" s="96"/>
      <c r="BC10" s="96"/>
      <c r="BD10" s="93"/>
      <c r="BE10" s="8">
        <f t="shared" si="5"/>
        <v>1285</v>
      </c>
      <c r="BF10" s="8">
        <f t="shared" si="5"/>
        <v>985</v>
      </c>
      <c r="BG10" s="8">
        <f t="shared" si="5"/>
        <v>2270</v>
      </c>
      <c r="BH10" s="30">
        <f t="shared" si="6"/>
        <v>93.72720641867251</v>
      </c>
      <c r="BI10" s="30">
        <f t="shared" si="6"/>
        <v>96.66339548577037</v>
      </c>
      <c r="BJ10" s="30">
        <f t="shared" si="6"/>
        <v>94.97907949790795</v>
      </c>
      <c r="BK10" s="10">
        <v>57</v>
      </c>
      <c r="BL10" s="10">
        <v>16</v>
      </c>
      <c r="BM10" s="11">
        <f>BK10+BL10</f>
        <v>73</v>
      </c>
      <c r="BN10" s="10">
        <v>44</v>
      </c>
      <c r="BO10" s="10">
        <v>13</v>
      </c>
      <c r="BP10" s="11">
        <f>BN10+BO10</f>
        <v>57</v>
      </c>
      <c r="BQ10" s="96"/>
      <c r="BR10" s="96"/>
      <c r="BS10" s="93"/>
      <c r="BT10" s="8">
        <f t="shared" si="7"/>
        <v>44</v>
      </c>
      <c r="BU10" s="8">
        <f t="shared" si="7"/>
        <v>13</v>
      </c>
      <c r="BV10" s="8">
        <f t="shared" si="7"/>
        <v>57</v>
      </c>
      <c r="BW10" s="30">
        <f t="shared" si="8"/>
        <v>77.19298245614034</v>
      </c>
      <c r="BX10" s="30">
        <f t="shared" si="8"/>
        <v>81.25</v>
      </c>
      <c r="BY10" s="30">
        <f t="shared" si="8"/>
        <v>78.08219178082192</v>
      </c>
      <c r="BZ10" s="11">
        <f>AV10+BK10</f>
        <v>1428</v>
      </c>
      <c r="CA10" s="11">
        <f>AW10+BL10</f>
        <v>1035</v>
      </c>
      <c r="CB10" s="11">
        <f>BZ10+CA10</f>
        <v>2463</v>
      </c>
      <c r="CC10" s="11">
        <f>AY10+BN10</f>
        <v>1329</v>
      </c>
      <c r="CD10" s="11">
        <f>AZ10+BO10</f>
        <v>998</v>
      </c>
      <c r="CE10" s="11">
        <f>CC10+CD10</f>
        <v>2327</v>
      </c>
      <c r="CF10" s="93"/>
      <c r="CG10" s="93"/>
      <c r="CH10" s="93"/>
      <c r="CI10" s="8">
        <f t="shared" si="9"/>
        <v>1329</v>
      </c>
      <c r="CJ10" s="8">
        <f t="shared" si="9"/>
        <v>998</v>
      </c>
      <c r="CK10" s="8">
        <f t="shared" si="9"/>
        <v>2327</v>
      </c>
      <c r="CL10" s="30">
        <f t="shared" si="10"/>
        <v>93.0672268907563</v>
      </c>
      <c r="CM10" s="30">
        <f t="shared" si="10"/>
        <v>96.42512077294685</v>
      </c>
      <c r="CN10" s="30">
        <f t="shared" si="10"/>
        <v>94.4782785221275</v>
      </c>
      <c r="CO10" s="10">
        <v>1272</v>
      </c>
      <c r="CP10" s="10">
        <v>1276</v>
      </c>
      <c r="CQ10" s="11">
        <f>CO10+CP10</f>
        <v>2548</v>
      </c>
      <c r="CR10" s="10">
        <v>1174</v>
      </c>
      <c r="CS10" s="10">
        <v>1212</v>
      </c>
      <c r="CT10" s="11">
        <f>CR10+CS10</f>
        <v>2386</v>
      </c>
      <c r="CU10" s="96"/>
      <c r="CV10" s="96"/>
      <c r="CW10" s="93"/>
      <c r="CX10" s="8">
        <f t="shared" si="11"/>
        <v>1174</v>
      </c>
      <c r="CY10" s="8">
        <f t="shared" si="11"/>
        <v>1212</v>
      </c>
      <c r="CZ10" s="8">
        <f t="shared" si="11"/>
        <v>2386</v>
      </c>
      <c r="DA10" s="30">
        <f t="shared" si="12"/>
        <v>92.29559748427673</v>
      </c>
      <c r="DB10" s="30">
        <f t="shared" si="12"/>
        <v>94.98432601880877</v>
      </c>
      <c r="DC10" s="30">
        <f t="shared" si="12"/>
        <v>93.64207221350078</v>
      </c>
      <c r="DD10" s="10">
        <v>68</v>
      </c>
      <c r="DE10" s="10">
        <v>42</v>
      </c>
      <c r="DF10" s="11">
        <f>DD10+DE10</f>
        <v>110</v>
      </c>
      <c r="DG10" s="10">
        <v>51</v>
      </c>
      <c r="DH10" s="10">
        <v>26</v>
      </c>
      <c r="DI10" s="11">
        <f>DG10+DH10</f>
        <v>77</v>
      </c>
      <c r="DJ10" s="96"/>
      <c r="DK10" s="96"/>
      <c r="DL10" s="93"/>
      <c r="DM10" s="8">
        <f t="shared" si="13"/>
        <v>51</v>
      </c>
      <c r="DN10" s="8">
        <f t="shared" si="13"/>
        <v>26</v>
      </c>
      <c r="DO10" s="8">
        <f t="shared" si="13"/>
        <v>77</v>
      </c>
      <c r="DP10" s="30">
        <f t="shared" si="14"/>
        <v>75</v>
      </c>
      <c r="DQ10" s="30">
        <f t="shared" si="14"/>
        <v>61.904761904761905</v>
      </c>
      <c r="DR10" s="30">
        <f t="shared" si="14"/>
        <v>70</v>
      </c>
      <c r="DS10" s="11">
        <f>CO10+DD10</f>
        <v>1340</v>
      </c>
      <c r="DT10" s="11">
        <f>CP10+DE10</f>
        <v>1318</v>
      </c>
      <c r="DU10" s="11">
        <f>DS10+DT10</f>
        <v>2658</v>
      </c>
      <c r="DV10" s="11">
        <f>CR10+DG10</f>
        <v>1225</v>
      </c>
      <c r="DW10" s="11">
        <f>CS10+DH10</f>
        <v>1238</v>
      </c>
      <c r="DX10" s="11">
        <f>DV10+DW10</f>
        <v>2463</v>
      </c>
      <c r="DY10" s="93"/>
      <c r="DZ10" s="93"/>
      <c r="EA10" s="93"/>
      <c r="EB10" s="8">
        <f t="shared" si="15"/>
        <v>1225</v>
      </c>
      <c r="EC10" s="8">
        <f t="shared" si="15"/>
        <v>1238</v>
      </c>
      <c r="ED10" s="8">
        <f t="shared" si="15"/>
        <v>2463</v>
      </c>
      <c r="EE10" s="30">
        <f t="shared" si="16"/>
        <v>91.4179104477612</v>
      </c>
      <c r="EF10" s="30">
        <f t="shared" si="16"/>
        <v>93.93019726858877</v>
      </c>
      <c r="EG10" s="30">
        <f t="shared" si="16"/>
        <v>92.66365688487585</v>
      </c>
      <c r="EH10" s="10">
        <v>3023</v>
      </c>
      <c r="EI10" s="10">
        <v>2142</v>
      </c>
      <c r="EJ10" s="11">
        <f>EH10+EI10</f>
        <v>5165</v>
      </c>
      <c r="EK10" s="10">
        <v>2921</v>
      </c>
      <c r="EL10" s="10">
        <v>2111</v>
      </c>
      <c r="EM10" s="11">
        <f>EK10+EL10</f>
        <v>5032</v>
      </c>
      <c r="EN10" s="7">
        <v>130</v>
      </c>
      <c r="EO10" s="7">
        <v>38</v>
      </c>
      <c r="EP10" s="11">
        <f>EN10+EO10</f>
        <v>168</v>
      </c>
      <c r="EQ10" s="8">
        <f t="shared" si="17"/>
        <v>3051</v>
      </c>
      <c r="ER10" s="8">
        <f t="shared" si="17"/>
        <v>2149</v>
      </c>
      <c r="ES10" s="8">
        <f t="shared" si="17"/>
        <v>5200</v>
      </c>
      <c r="ET10" s="30">
        <f t="shared" si="18"/>
        <v>100.92623221964936</v>
      </c>
      <c r="EU10" s="30">
        <f t="shared" si="18"/>
        <v>100.32679738562092</v>
      </c>
      <c r="EV10" s="30">
        <f t="shared" si="18"/>
        <v>100.67763794772506</v>
      </c>
      <c r="EW10" s="10"/>
      <c r="EX10" s="10"/>
      <c r="EY10" s="11">
        <f>EW10+EX10</f>
        <v>0</v>
      </c>
      <c r="EZ10" s="10"/>
      <c r="FA10" s="10"/>
      <c r="FB10" s="11">
        <f>EZ10+FA10</f>
        <v>0</v>
      </c>
      <c r="FC10" s="7"/>
      <c r="FD10" s="7"/>
      <c r="FE10" s="11">
        <f>FC10+FD10</f>
        <v>0</v>
      </c>
      <c r="FF10" s="8">
        <f t="shared" si="19"/>
        <v>0</v>
      </c>
      <c r="FG10" s="8">
        <f t="shared" si="19"/>
        <v>0</v>
      </c>
      <c r="FH10" s="8">
        <f t="shared" si="19"/>
        <v>0</v>
      </c>
      <c r="FI10" s="30">
        <f t="shared" si="20"/>
      </c>
      <c r="FJ10" s="30">
        <f t="shared" si="20"/>
      </c>
      <c r="FK10" s="30">
        <f t="shared" si="20"/>
      </c>
      <c r="FL10" s="11">
        <f>EH10+EW10</f>
        <v>3023</v>
      </c>
      <c r="FM10" s="11">
        <f>EI10+EX10</f>
        <v>2142</v>
      </c>
      <c r="FN10" s="11">
        <f>FL10+FM10</f>
        <v>5165</v>
      </c>
      <c r="FO10" s="11">
        <f>EK10+EZ10</f>
        <v>2921</v>
      </c>
      <c r="FP10" s="11">
        <f>EL10+FA10</f>
        <v>2111</v>
      </c>
      <c r="FQ10" s="11">
        <f>FO10+FP10</f>
        <v>5032</v>
      </c>
      <c r="FR10" s="11">
        <f>EN10+FC10</f>
        <v>130</v>
      </c>
      <c r="FS10" s="11">
        <f>EO10+FD10</f>
        <v>38</v>
      </c>
      <c r="FT10" s="11">
        <f>FR10+FS10</f>
        <v>168</v>
      </c>
      <c r="FU10" s="8">
        <f t="shared" si="21"/>
        <v>3051</v>
      </c>
      <c r="FV10" s="8">
        <f t="shared" si="21"/>
        <v>2149</v>
      </c>
      <c r="FW10" s="8">
        <f t="shared" si="21"/>
        <v>5200</v>
      </c>
      <c r="FX10" s="30">
        <f t="shared" si="22"/>
        <v>100.92623221964936</v>
      </c>
      <c r="FY10" s="30">
        <f t="shared" si="22"/>
        <v>100.32679738562092</v>
      </c>
      <c r="FZ10" s="30">
        <f t="shared" si="22"/>
        <v>100.67763794772506</v>
      </c>
      <c r="GA10" s="21">
        <f t="shared" si="23"/>
        <v>37028</v>
      </c>
      <c r="GB10" s="21">
        <f t="shared" si="23"/>
        <v>32500</v>
      </c>
      <c r="GC10" s="21">
        <f t="shared" si="23"/>
        <v>69528</v>
      </c>
      <c r="GD10" s="21">
        <v>19460</v>
      </c>
      <c r="GE10" s="21">
        <v>20489</v>
      </c>
      <c r="GF10" s="21">
        <f>GD10+GE10</f>
        <v>39949</v>
      </c>
      <c r="GG10" s="21">
        <v>12951</v>
      </c>
      <c r="GH10" s="21">
        <v>9989</v>
      </c>
      <c r="GI10" s="21">
        <f>GG10+GH10</f>
        <v>22940</v>
      </c>
      <c r="GJ10" s="57">
        <f t="shared" si="24"/>
        <v>52.55482337690397</v>
      </c>
      <c r="GK10" s="57">
        <f t="shared" si="24"/>
        <v>63.043076923076924</v>
      </c>
      <c r="GL10" s="57">
        <f t="shared" si="24"/>
        <v>57.45742722356461</v>
      </c>
      <c r="GM10" s="138">
        <f t="shared" si="25"/>
        <v>34.97623420114508</v>
      </c>
      <c r="GN10" s="46">
        <f t="shared" si="25"/>
        <v>30.735384615384614</v>
      </c>
      <c r="GO10" s="46">
        <f t="shared" si="25"/>
        <v>32.993901737429525</v>
      </c>
      <c r="GP10" s="21">
        <f t="shared" si="26"/>
        <v>1329</v>
      </c>
      <c r="GQ10" s="21">
        <f t="shared" si="26"/>
        <v>998</v>
      </c>
      <c r="GR10" s="21">
        <f t="shared" si="26"/>
        <v>2327</v>
      </c>
      <c r="GS10" s="21">
        <v>526</v>
      </c>
      <c r="GT10" s="21">
        <v>463</v>
      </c>
      <c r="GU10" s="21">
        <f>GS10+GT10</f>
        <v>989</v>
      </c>
      <c r="GV10" s="21">
        <v>598</v>
      </c>
      <c r="GW10" s="21">
        <v>422</v>
      </c>
      <c r="GX10" s="21">
        <f>GV10+GW10</f>
        <v>1020</v>
      </c>
      <c r="GY10" s="57">
        <f t="shared" si="27"/>
        <v>39.57863054928518</v>
      </c>
      <c r="GZ10" s="57">
        <f t="shared" si="27"/>
        <v>46.392785571142284</v>
      </c>
      <c r="HA10" s="57">
        <f t="shared" si="27"/>
        <v>42.501074344649766</v>
      </c>
      <c r="HB10" s="46">
        <f t="shared" si="28"/>
        <v>44.996237772761475</v>
      </c>
      <c r="HC10" s="46">
        <f t="shared" si="28"/>
        <v>42.28456913827655</v>
      </c>
      <c r="HD10" s="46">
        <f t="shared" si="28"/>
        <v>43.83326171035668</v>
      </c>
      <c r="HE10" s="21">
        <f t="shared" si="29"/>
        <v>1225</v>
      </c>
      <c r="HF10" s="21">
        <f t="shared" si="29"/>
        <v>1238</v>
      </c>
      <c r="HG10" s="21">
        <f t="shared" si="29"/>
        <v>2463</v>
      </c>
      <c r="HH10" s="21">
        <v>346</v>
      </c>
      <c r="HI10" s="21">
        <v>486</v>
      </c>
      <c r="HJ10" s="21">
        <f>HH10+HI10</f>
        <v>832</v>
      </c>
      <c r="HK10" s="21">
        <v>541</v>
      </c>
      <c r="HL10" s="21">
        <v>581</v>
      </c>
      <c r="HM10" s="21">
        <f>HK10+HL10</f>
        <v>1122</v>
      </c>
      <c r="HN10" s="57">
        <f t="shared" si="30"/>
        <v>28.244897959183675</v>
      </c>
      <c r="HO10" s="57">
        <f t="shared" si="30"/>
        <v>39.25686591276252</v>
      </c>
      <c r="HP10" s="57">
        <f t="shared" si="30"/>
        <v>33.7799431587495</v>
      </c>
      <c r="HQ10" s="46">
        <f t="shared" si="31"/>
        <v>44.16326530612245</v>
      </c>
      <c r="HR10" s="46">
        <f t="shared" si="31"/>
        <v>46.93053311793214</v>
      </c>
      <c r="HS10" s="46">
        <f t="shared" si="31"/>
        <v>45.55420219244824</v>
      </c>
    </row>
    <row r="11" spans="1:227" s="29" customFormat="1" ht="15.75" customHeight="1">
      <c r="A11" s="171" t="s">
        <v>10</v>
      </c>
      <c r="B11" s="171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54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6"/>
      <c r="GP11" s="54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6"/>
      <c r="HE11" s="54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6"/>
    </row>
    <row r="12" spans="1:227" ht="29.25" customHeight="1">
      <c r="A12" s="4">
        <v>3</v>
      </c>
      <c r="B12" s="6" t="s">
        <v>39</v>
      </c>
      <c r="C12" s="76">
        <v>219499</v>
      </c>
      <c r="D12" s="76">
        <v>214150</v>
      </c>
      <c r="E12" s="17">
        <f>C12+D12</f>
        <v>433649</v>
      </c>
      <c r="F12" s="76">
        <v>155923</v>
      </c>
      <c r="G12" s="76">
        <v>163545</v>
      </c>
      <c r="H12" s="9">
        <f aca="true" t="shared" si="33" ref="H12:H41">F12+G12</f>
        <v>319468</v>
      </c>
      <c r="I12" s="96"/>
      <c r="J12" s="96"/>
      <c r="K12" s="100"/>
      <c r="L12" s="8">
        <f aca="true" t="shared" si="34" ref="L12:N41">SUM(F12,I12)</f>
        <v>155923</v>
      </c>
      <c r="M12" s="8">
        <f t="shared" si="34"/>
        <v>163545</v>
      </c>
      <c r="N12" s="8">
        <f t="shared" si="34"/>
        <v>319468</v>
      </c>
      <c r="O12" s="30">
        <f t="shared" si="32"/>
        <v>71.0358589332981</v>
      </c>
      <c r="P12" s="30">
        <f t="shared" si="32"/>
        <v>76.3693672659351</v>
      </c>
      <c r="Q12" s="30">
        <f t="shared" si="32"/>
        <v>73.66971905850123</v>
      </c>
      <c r="R12" s="76">
        <v>100791</v>
      </c>
      <c r="S12" s="76">
        <v>73272</v>
      </c>
      <c r="T12" s="9">
        <f>R12+S12</f>
        <v>174063</v>
      </c>
      <c r="U12" s="76">
        <v>12466</v>
      </c>
      <c r="V12" s="76">
        <v>8746</v>
      </c>
      <c r="W12" s="9">
        <f aca="true" t="shared" si="35" ref="W12:W40">U12+V12</f>
        <v>21212</v>
      </c>
      <c r="X12" s="77">
        <v>33159</v>
      </c>
      <c r="Y12" s="77">
        <v>24194</v>
      </c>
      <c r="Z12" s="11">
        <f aca="true" t="shared" si="36" ref="Z12:Z38">X12+Y12</f>
        <v>57353</v>
      </c>
      <c r="AA12" s="8">
        <f aca="true" t="shared" si="37" ref="AA12:AB15">SUM(U12,X12)</f>
        <v>45625</v>
      </c>
      <c r="AB12" s="8">
        <f t="shared" si="37"/>
        <v>32940</v>
      </c>
      <c r="AC12" s="11">
        <f>SUM(AA12,AB12)</f>
        <v>78565</v>
      </c>
      <c r="AD12" s="30">
        <f>IF(R12=0,"",AA12/R12*100)</f>
        <v>45.266938516335784</v>
      </c>
      <c r="AE12" s="30">
        <f>IF(S12=0,"",AB12/S12*100)</f>
        <v>44.95578119882083</v>
      </c>
      <c r="AF12" s="30">
        <f>IF(T12=0,"",AC12/T12*100)</f>
        <v>45.13595652148935</v>
      </c>
      <c r="AG12" s="11">
        <f aca="true" t="shared" si="38" ref="AG12:AH41">C12+R12</f>
        <v>320290</v>
      </c>
      <c r="AH12" s="11">
        <f t="shared" si="38"/>
        <v>287422</v>
      </c>
      <c r="AI12" s="11">
        <f aca="true" t="shared" si="39" ref="AI12:AI41">AG12+AH12</f>
        <v>607712</v>
      </c>
      <c r="AJ12" s="11">
        <f aca="true" t="shared" si="40" ref="AJ12:AK41">F12+U12</f>
        <v>168389</v>
      </c>
      <c r="AK12" s="11">
        <f t="shared" si="40"/>
        <v>172291</v>
      </c>
      <c r="AL12" s="11">
        <f aca="true" t="shared" si="41" ref="AL12:AL41">AJ12+AK12</f>
        <v>340680</v>
      </c>
      <c r="AM12" s="11">
        <f>I12+X12</f>
        <v>33159</v>
      </c>
      <c r="AN12" s="11">
        <f>J12+Y12</f>
        <v>24194</v>
      </c>
      <c r="AO12" s="11">
        <f aca="true" t="shared" si="42" ref="AO12:AO41">AM12+AN12</f>
        <v>57353</v>
      </c>
      <c r="AP12" s="8">
        <f aca="true" t="shared" si="43" ref="AP12:AQ41">SUM(AJ12,AM12)</f>
        <v>201548</v>
      </c>
      <c r="AQ12" s="8">
        <v>219499</v>
      </c>
      <c r="AR12" s="11">
        <f>SUM(AP12,AQ12)</f>
        <v>421047</v>
      </c>
      <c r="AS12" s="30">
        <f>IF(AG12=0,"",AP12/AG12*100)</f>
        <v>62.92672265759156</v>
      </c>
      <c r="AT12" s="30">
        <f>IF(AH12=0,"",AQ12/AH12*100)</f>
        <v>76.36819728482858</v>
      </c>
      <c r="AU12" s="30">
        <f>IF(AI12=0,"",AR12/AI12*100)</f>
        <v>69.28397003843926</v>
      </c>
      <c r="AV12" s="77">
        <v>36776</v>
      </c>
      <c r="AW12" s="77">
        <v>39950</v>
      </c>
      <c r="AX12" s="11">
        <f aca="true" t="shared" si="44" ref="AX12:AX41">AV12+AW12</f>
        <v>76726</v>
      </c>
      <c r="AY12" s="77">
        <v>22189</v>
      </c>
      <c r="AZ12" s="77">
        <v>26353</v>
      </c>
      <c r="BA12" s="11">
        <f aca="true" t="shared" si="45" ref="BA12:BA40">AY12+AZ12</f>
        <v>48542</v>
      </c>
      <c r="BB12" s="96"/>
      <c r="BC12" s="96"/>
      <c r="BD12" s="93"/>
      <c r="BE12" s="8">
        <f aca="true" t="shared" si="46" ref="BE12:BF41">SUM(AY12,BB12)</f>
        <v>22189</v>
      </c>
      <c r="BF12" s="8">
        <f t="shared" si="46"/>
        <v>26353</v>
      </c>
      <c r="BG12" s="11">
        <f>SUM(BE12,BF12)</f>
        <v>48542</v>
      </c>
      <c r="BH12" s="30">
        <f>IF(AV12=0,"",BE12/AV12*100)</f>
        <v>60.33554492060039</v>
      </c>
      <c r="BI12" s="30">
        <f>IF(AW12=0,"",BF12/AW12*100)</f>
        <v>65.96495619524406</v>
      </c>
      <c r="BJ12" s="30">
        <f>IF(AX12=0,"",BG12/AX12*100)</f>
        <v>63.26668925787868</v>
      </c>
      <c r="BK12" s="77">
        <v>23953</v>
      </c>
      <c r="BL12" s="77">
        <v>20189</v>
      </c>
      <c r="BM12" s="11">
        <f aca="true" t="shared" si="47" ref="BM12:BM40">BK12+BL12</f>
        <v>44142</v>
      </c>
      <c r="BN12" s="77">
        <v>2945</v>
      </c>
      <c r="BO12" s="77">
        <v>2375</v>
      </c>
      <c r="BP12" s="11">
        <f aca="true" t="shared" si="48" ref="BP12:BP40">BN12+BO12</f>
        <v>5320</v>
      </c>
      <c r="BQ12" s="78">
        <v>6645</v>
      </c>
      <c r="BR12" s="78">
        <v>5787</v>
      </c>
      <c r="BS12" s="11">
        <f aca="true" t="shared" si="49" ref="BS12:BS38">BQ12+BR12</f>
        <v>12432</v>
      </c>
      <c r="BT12" s="8">
        <f aca="true" t="shared" si="50" ref="BT12:BU40">SUM(BN12,BQ12)</f>
        <v>9590</v>
      </c>
      <c r="BU12" s="8">
        <f t="shared" si="50"/>
        <v>8162</v>
      </c>
      <c r="BV12" s="11">
        <f>SUM(BT12,BU12)</f>
        <v>17752</v>
      </c>
      <c r="BW12" s="30">
        <f>IF(BK12=0,"",BT12/BK12*100)</f>
        <v>40.03673861311736</v>
      </c>
      <c r="BX12" s="30">
        <f>IF(BL12=0,"",BU12/BL12*100)</f>
        <v>40.4279558175244</v>
      </c>
      <c r="BY12" s="30">
        <f>IF(BM12=0,"",BV12/BM12*100)</f>
        <v>40.21566761814145</v>
      </c>
      <c r="BZ12" s="11">
        <f aca="true" t="shared" si="51" ref="BZ12:CA41">AV12+BK12</f>
        <v>60729</v>
      </c>
      <c r="CA12" s="11">
        <f t="shared" si="51"/>
        <v>60139</v>
      </c>
      <c r="CB12" s="11">
        <f aca="true" t="shared" si="52" ref="CB12:CB41">BZ12+CA12</f>
        <v>120868</v>
      </c>
      <c r="CC12" s="11">
        <f aca="true" t="shared" si="53" ref="CC12:CD41">AY12+BN12</f>
        <v>25134</v>
      </c>
      <c r="CD12" s="11">
        <f t="shared" si="53"/>
        <v>28728</v>
      </c>
      <c r="CE12" s="11">
        <f aca="true" t="shared" si="54" ref="CE12:CE41">CC12+CD12</f>
        <v>53862</v>
      </c>
      <c r="CF12" s="11">
        <f>BB12+BQ12</f>
        <v>6645</v>
      </c>
      <c r="CG12" s="11">
        <f>BC12+BR12</f>
        <v>5787</v>
      </c>
      <c r="CH12" s="11">
        <f aca="true" t="shared" si="55" ref="CH12:CH41">CF12+CG12</f>
        <v>12432</v>
      </c>
      <c r="CI12" s="8">
        <f aca="true" t="shared" si="56" ref="CI12:CJ41">SUM(CC12,CF12)</f>
        <v>31779</v>
      </c>
      <c r="CJ12" s="8">
        <f t="shared" si="56"/>
        <v>34515</v>
      </c>
      <c r="CK12" s="11">
        <f>SUM(CI12,CJ12)</f>
        <v>66294</v>
      </c>
      <c r="CL12" s="30">
        <f>IF(BZ12=0,"",CI12/BZ12*100)</f>
        <v>52.32920021735909</v>
      </c>
      <c r="CM12" s="30">
        <f>IF(CA12=0,"",CJ12/CA12*100)</f>
        <v>57.392041769899734</v>
      </c>
      <c r="CN12" s="30">
        <f>IF(CB12=0,"",CK12/CB12*100)</f>
        <v>54.848264222126616</v>
      </c>
      <c r="CO12" s="77">
        <v>10162</v>
      </c>
      <c r="CP12" s="77">
        <v>9898</v>
      </c>
      <c r="CQ12" s="11">
        <f aca="true" t="shared" si="57" ref="CQ12:CQ17">CO12+CP12</f>
        <v>20060</v>
      </c>
      <c r="CR12" s="77">
        <v>6462</v>
      </c>
      <c r="CS12" s="77">
        <v>6746</v>
      </c>
      <c r="CT12" s="11">
        <f aca="true" t="shared" si="58" ref="CT12:CT17">CR12+CS12</f>
        <v>13208</v>
      </c>
      <c r="CU12" s="92"/>
      <c r="CV12" s="92"/>
      <c r="CW12" s="93"/>
      <c r="CX12" s="8">
        <f aca="true" t="shared" si="59" ref="CX12:CX41">SUM(CR12,CU12)</f>
        <v>6462</v>
      </c>
      <c r="CY12" s="8">
        <f aca="true" t="shared" si="60" ref="CY12:CY41">SUM(CS12,CV12)</f>
        <v>6746</v>
      </c>
      <c r="CZ12" s="11">
        <f>SUM(CX12,CY12)</f>
        <v>13208</v>
      </c>
      <c r="DA12" s="30">
        <f>IF(CO12=0,"",CX12/CO12*100)</f>
        <v>63.589844518795516</v>
      </c>
      <c r="DB12" s="30">
        <f>IF(CP12=0,"",CY12/CP12*100)</f>
        <v>68.1551828652253</v>
      </c>
      <c r="DC12" s="30">
        <f>IF(CQ12=0,"",CZ12/CQ12*100)</f>
        <v>65.84247258225324</v>
      </c>
      <c r="DD12" s="77">
        <v>5610</v>
      </c>
      <c r="DE12" s="77">
        <v>4794</v>
      </c>
      <c r="DF12" s="11">
        <f aca="true" t="shared" si="61" ref="DF12:DF40">DD12+DE12</f>
        <v>10404</v>
      </c>
      <c r="DG12" s="77">
        <v>605</v>
      </c>
      <c r="DH12" s="77">
        <v>581</v>
      </c>
      <c r="DI12" s="11">
        <f aca="true" t="shared" si="62" ref="DI12:DI40">DG12+DH12</f>
        <v>1186</v>
      </c>
      <c r="DJ12" s="78">
        <v>1768</v>
      </c>
      <c r="DK12" s="78">
        <v>1435</v>
      </c>
      <c r="DL12" s="7">
        <f>SUM(DJ12:DK12)</f>
        <v>3203</v>
      </c>
      <c r="DM12" s="8">
        <f aca="true" t="shared" si="63" ref="DM12:DM40">SUM(DG12,DJ12)</f>
        <v>2373</v>
      </c>
      <c r="DN12" s="8">
        <f aca="true" t="shared" si="64" ref="DN12:DN40">SUM(DH12,DK12)</f>
        <v>2016</v>
      </c>
      <c r="DO12" s="11">
        <f>SUM(DM12,DN12)</f>
        <v>4389</v>
      </c>
      <c r="DP12" s="30">
        <f>IF(DD12=0,"",DM12/DD12*100)</f>
        <v>42.29946524064171</v>
      </c>
      <c r="DQ12" s="30">
        <f>IF(DE12=0,"",DN12/DE12*100)</f>
        <v>42.052565707133915</v>
      </c>
      <c r="DR12" s="30">
        <f>IF(DF12=0,"",DO12/DF12*100)</f>
        <v>42.185697808535174</v>
      </c>
      <c r="DS12" s="11">
        <f aca="true" t="shared" si="65" ref="DS12:DS41">CO12+DD12</f>
        <v>15772</v>
      </c>
      <c r="DT12" s="11">
        <f aca="true" t="shared" si="66" ref="DT12:DT41">CP12+DE12</f>
        <v>14692</v>
      </c>
      <c r="DU12" s="11">
        <f aca="true" t="shared" si="67" ref="DU12:DU41">DS12+DT12</f>
        <v>30464</v>
      </c>
      <c r="DV12" s="11">
        <f aca="true" t="shared" si="68" ref="DV12:DV41">CR12+DG12</f>
        <v>7067</v>
      </c>
      <c r="DW12" s="11">
        <f aca="true" t="shared" si="69" ref="DW12:DW41">CS12+DH12</f>
        <v>7327</v>
      </c>
      <c r="DX12" s="11">
        <f aca="true" t="shared" si="70" ref="DX12:DX41">DV12+DW12</f>
        <v>14394</v>
      </c>
      <c r="DY12" s="11">
        <f>CU12+DJ12</f>
        <v>1768</v>
      </c>
      <c r="DZ12" s="11">
        <f>CV12+DK12</f>
        <v>1435</v>
      </c>
      <c r="EA12" s="11">
        <f aca="true" t="shared" si="71" ref="EA12:EA41">DY12+DZ12</f>
        <v>3203</v>
      </c>
      <c r="EB12" s="8">
        <f aca="true" t="shared" si="72" ref="EB12:EB41">SUM(DV12,DY12)</f>
        <v>8835</v>
      </c>
      <c r="EC12" s="8">
        <f aca="true" t="shared" si="73" ref="EC12:EC41">SUM(DW12,DZ12)</f>
        <v>8762</v>
      </c>
      <c r="ED12" s="11">
        <f>SUM(EB12,EC12)</f>
        <v>17597</v>
      </c>
      <c r="EE12" s="30">
        <f>IF(DS12=0,"",EB12/DS12*100)</f>
        <v>56.016992137966014</v>
      </c>
      <c r="EF12" s="30">
        <f>IF(DT12=0,"",EC12/DT12*100)</f>
        <v>59.63789817587802</v>
      </c>
      <c r="EG12" s="30">
        <f>IF(DU12=0,"",ED12/DU12*100)</f>
        <v>57.76326155462185</v>
      </c>
      <c r="EH12" s="77">
        <v>192064</v>
      </c>
      <c r="EI12" s="77">
        <v>163155</v>
      </c>
      <c r="EJ12" s="11">
        <f aca="true" t="shared" si="74" ref="EJ12:EJ41">EH12+EI12</f>
        <v>355219</v>
      </c>
      <c r="EK12" s="77">
        <v>105711</v>
      </c>
      <c r="EL12" s="77">
        <v>97628</v>
      </c>
      <c r="EM12" s="11">
        <f aca="true" t="shared" si="75" ref="EM12:EM41">EK12+EL12</f>
        <v>203339</v>
      </c>
      <c r="EN12" s="10"/>
      <c r="EO12" s="10"/>
      <c r="EP12" s="11">
        <f aca="true" t="shared" si="76" ref="EP12:EP35">EN12+EO12</f>
        <v>0</v>
      </c>
      <c r="EQ12" s="8">
        <f aca="true" t="shared" si="77" ref="EQ12:ER41">SUM(EK12,EN12)</f>
        <v>105711</v>
      </c>
      <c r="ER12" s="8">
        <f t="shared" si="77"/>
        <v>97628</v>
      </c>
      <c r="ES12" s="11">
        <f>SUM(EQ12,ER12)</f>
        <v>203339</v>
      </c>
      <c r="ET12" s="30">
        <f>IF(EH12=0,"",EQ12/EH12*100)</f>
        <v>55.03946601132955</v>
      </c>
      <c r="EU12" s="30">
        <f>IF(EI12=0,"",ER12/EI12*100)</f>
        <v>59.837577763476446</v>
      </c>
      <c r="EV12" s="30">
        <f>IF(EJ12=0,"",ES12/EJ12*100)</f>
        <v>57.24327809041746</v>
      </c>
      <c r="EW12" s="77">
        <v>54583</v>
      </c>
      <c r="EX12" s="77">
        <v>27389</v>
      </c>
      <c r="EY12" s="11">
        <f aca="true" t="shared" si="78" ref="EY12:EY41">EW12+EX12</f>
        <v>81972</v>
      </c>
      <c r="EZ12" s="77">
        <v>15098</v>
      </c>
      <c r="FA12" s="77">
        <v>8731</v>
      </c>
      <c r="FB12" s="11">
        <f aca="true" t="shared" si="79" ref="FB12:FB41">EZ12+FA12</f>
        <v>23829</v>
      </c>
      <c r="FC12" s="78">
        <v>96824</v>
      </c>
      <c r="FD12" s="78">
        <v>74360</v>
      </c>
      <c r="FE12" s="7">
        <f>SUM(FC12:FD12)</f>
        <v>171184</v>
      </c>
      <c r="FF12" s="8">
        <f aca="true" t="shared" si="80" ref="FF12:FG41">SUM(EZ12,FC12)</f>
        <v>111922</v>
      </c>
      <c r="FG12" s="8">
        <f t="shared" si="80"/>
        <v>83091</v>
      </c>
      <c r="FH12" s="11">
        <f>SUM(FF12,FG12)</f>
        <v>195013</v>
      </c>
      <c r="FI12" s="30">
        <f>IF(EW12=0,"",FF12/EW12*100)</f>
        <v>205.04919114009857</v>
      </c>
      <c r="FJ12" s="30">
        <f>IF(EX12=0,"",FG12/EX12*100)</f>
        <v>303.37361714556937</v>
      </c>
      <c r="FK12" s="30">
        <f>IF(EY12=0,"",FH12/EY12*100)</f>
        <v>237.90196652515493</v>
      </c>
      <c r="FL12" s="11">
        <f aca="true" t="shared" si="81" ref="FL12:FM41">EH12+EW12</f>
        <v>246647</v>
      </c>
      <c r="FM12" s="11">
        <f t="shared" si="81"/>
        <v>190544</v>
      </c>
      <c r="FN12" s="11">
        <f aca="true" t="shared" si="82" ref="FN12:FN41">FL12+FM12</f>
        <v>437191</v>
      </c>
      <c r="FO12" s="11">
        <f aca="true" t="shared" si="83" ref="FO12:FP41">EK12+EZ12</f>
        <v>120809</v>
      </c>
      <c r="FP12" s="11">
        <f t="shared" si="83"/>
        <v>106359</v>
      </c>
      <c r="FQ12" s="11">
        <f aca="true" t="shared" si="84" ref="FQ12:FQ41">FO12+FP12</f>
        <v>227168</v>
      </c>
      <c r="FR12" s="11">
        <f>EN12+FC12</f>
        <v>96824</v>
      </c>
      <c r="FS12" s="11">
        <f>EO12+FD12</f>
        <v>74360</v>
      </c>
      <c r="FT12" s="11">
        <f aca="true" t="shared" si="85" ref="FT12:FT41">FR12+FS12</f>
        <v>171184</v>
      </c>
      <c r="FU12" s="8">
        <f aca="true" t="shared" si="86" ref="FU12:FV41">SUM(FO12,FR12)</f>
        <v>217633</v>
      </c>
      <c r="FV12" s="8">
        <f t="shared" si="86"/>
        <v>180719</v>
      </c>
      <c r="FW12" s="11">
        <f>SUM(FU12,FV12)</f>
        <v>398352</v>
      </c>
      <c r="FX12" s="30">
        <f>IF(FL12=0,"",FU12/FL12*100)</f>
        <v>88.23662967723102</v>
      </c>
      <c r="FY12" s="30">
        <f>IF(FM12=0,"",FV12/FM12*100)</f>
        <v>94.84371063901251</v>
      </c>
      <c r="FZ12" s="30">
        <f>IF(FN12=0,"",FW12/FN12*100)</f>
        <v>91.11623981280493</v>
      </c>
      <c r="GA12" s="21">
        <f>AP12</f>
        <v>201548</v>
      </c>
      <c r="GB12" s="21">
        <f>AQ12</f>
        <v>219499</v>
      </c>
      <c r="GC12" s="21">
        <f>AR12</f>
        <v>421047</v>
      </c>
      <c r="GD12" s="9">
        <v>88020</v>
      </c>
      <c r="GE12" s="9">
        <v>96626</v>
      </c>
      <c r="GF12" s="21">
        <f aca="true" t="shared" si="87" ref="GF12:GF50">GD12+GE12</f>
        <v>184646</v>
      </c>
      <c r="GG12" s="21">
        <v>43278</v>
      </c>
      <c r="GH12" s="21">
        <v>46698</v>
      </c>
      <c r="GI12" s="21">
        <f aca="true" t="shared" si="88" ref="GI12:GI50">GG12+GH12</f>
        <v>89976</v>
      </c>
      <c r="GJ12" s="57">
        <f aca="true" t="shared" si="89" ref="GJ12:GJ51">GD12/GA12%</f>
        <v>43.67197888344216</v>
      </c>
      <c r="GK12" s="57">
        <f aca="true" t="shared" si="90" ref="GK12:GK51">GE12/GB12%</f>
        <v>44.02115727178712</v>
      </c>
      <c r="GL12" s="57">
        <f aca="true" t="shared" si="91" ref="GL12:GL51">GF12/GC12%</f>
        <v>43.85401154740445</v>
      </c>
      <c r="GM12" s="46">
        <f aca="true" t="shared" si="92" ref="GM12:GM51">GG12/GA12%</f>
        <v>21.472800523944667</v>
      </c>
      <c r="GN12" s="46">
        <f aca="true" t="shared" si="93" ref="GN12:GN51">GH12/GB12%</f>
        <v>21.27481218593251</v>
      </c>
      <c r="GO12" s="46">
        <f aca="true" t="shared" si="94" ref="GO12:GO51">GI12/GC12%</f>
        <v>21.369585818210318</v>
      </c>
      <c r="GP12" s="21">
        <f aca="true" t="shared" si="95" ref="GP12:GP41">CI12</f>
        <v>31779</v>
      </c>
      <c r="GQ12" s="21">
        <f aca="true" t="shared" si="96" ref="GQ12:GQ41">CJ12</f>
        <v>34515</v>
      </c>
      <c r="GR12" s="21">
        <f aca="true" t="shared" si="97" ref="GR12:GR41">CK12</f>
        <v>66294</v>
      </c>
      <c r="GS12" s="9">
        <v>9404</v>
      </c>
      <c r="GT12" s="9">
        <v>11846</v>
      </c>
      <c r="GU12" s="21">
        <f aca="true" t="shared" si="98" ref="GU12:GU40">GS12+GT12</f>
        <v>21250</v>
      </c>
      <c r="GV12" s="21">
        <v>7707</v>
      </c>
      <c r="GW12" s="21">
        <v>9599</v>
      </c>
      <c r="GX12" s="21">
        <f aca="true" t="shared" si="99" ref="GX12:GX40">GV12+GW12</f>
        <v>17306</v>
      </c>
      <c r="GY12" s="57">
        <f aca="true" t="shared" si="100" ref="GY12:GY40">GS12/GP12%</f>
        <v>29.59186884420529</v>
      </c>
      <c r="GZ12" s="57">
        <f aca="true" t="shared" si="101" ref="GZ12:GZ40">GT12/GQ12%</f>
        <v>34.32130957554686</v>
      </c>
      <c r="HA12" s="57">
        <f aca="true" t="shared" si="102" ref="HA12:HA40">GU12/GR12%</f>
        <v>32.05418288231212</v>
      </c>
      <c r="HB12" s="46">
        <f aca="true" t="shared" si="103" ref="HB12:HB40">GV12/GP12%</f>
        <v>24.251864438780323</v>
      </c>
      <c r="HC12" s="46">
        <f aca="true" t="shared" si="104" ref="HC12:HC40">GW12/GQ12%</f>
        <v>27.81109662465595</v>
      </c>
      <c r="HD12" s="46">
        <f aca="true" t="shared" si="105" ref="HD12:HD40">GX12/GR12%</f>
        <v>26.10492653935499</v>
      </c>
      <c r="HE12" s="21">
        <f aca="true" t="shared" si="106" ref="HE12:HE41">EB12</f>
        <v>8835</v>
      </c>
      <c r="HF12" s="21">
        <f aca="true" t="shared" si="107" ref="HF12:HF41">EC12</f>
        <v>8762</v>
      </c>
      <c r="HG12" s="21">
        <f aca="true" t="shared" si="108" ref="HG12:HG41">ED12</f>
        <v>17597</v>
      </c>
      <c r="HH12" s="9">
        <v>2776</v>
      </c>
      <c r="HI12" s="9">
        <v>3071</v>
      </c>
      <c r="HJ12" s="21">
        <f aca="true" t="shared" si="109" ref="HJ12:HJ40">HH12+HI12</f>
        <v>5847</v>
      </c>
      <c r="HK12" s="21">
        <v>2299</v>
      </c>
      <c r="HL12" s="21">
        <v>2473</v>
      </c>
      <c r="HM12" s="21">
        <f aca="true" t="shared" si="110" ref="HM12:HM40">HK12+HL12</f>
        <v>4772</v>
      </c>
      <c r="HN12" s="57">
        <f aca="true" t="shared" si="111" ref="HN12:HN40">HH12/HE12%</f>
        <v>31.420486700622526</v>
      </c>
      <c r="HO12" s="57">
        <f>HI12/HF12%</f>
        <v>35.04907555352659</v>
      </c>
      <c r="HP12" s="57">
        <f aca="true" t="shared" si="112" ref="HP12:HP40">HJ12/HG12%</f>
        <v>33.227254645678244</v>
      </c>
      <c r="HQ12" s="46">
        <f aca="true" t="shared" si="113" ref="HQ12:HQ40">HK12/HE12%</f>
        <v>26.021505376344088</v>
      </c>
      <c r="HR12" s="46">
        <f>HL12/HF12%</f>
        <v>28.224149737502852</v>
      </c>
      <c r="HS12" s="46">
        <f aca="true" t="shared" si="114" ref="HS12:HS40">HM12/HG12%</f>
        <v>27.118258794112634</v>
      </c>
    </row>
    <row r="13" spans="1:227" ht="29.25" customHeight="1">
      <c r="A13" s="4">
        <v>4</v>
      </c>
      <c r="B13" s="6" t="s">
        <v>40</v>
      </c>
      <c r="C13" s="8">
        <v>108807</v>
      </c>
      <c r="D13" s="8">
        <v>99294</v>
      </c>
      <c r="E13" s="17">
        <f>C13+D13</f>
        <v>208101</v>
      </c>
      <c r="F13" s="8">
        <v>94277</v>
      </c>
      <c r="G13" s="8">
        <v>86685</v>
      </c>
      <c r="H13" s="9">
        <f>F13+G13</f>
        <v>180962</v>
      </c>
      <c r="I13" s="96"/>
      <c r="J13" s="96"/>
      <c r="K13" s="100"/>
      <c r="L13" s="8">
        <f t="shared" si="34"/>
        <v>94277</v>
      </c>
      <c r="M13" s="8">
        <f t="shared" si="34"/>
        <v>86685</v>
      </c>
      <c r="N13" s="8">
        <f t="shared" si="34"/>
        <v>180962</v>
      </c>
      <c r="O13" s="30">
        <f t="shared" si="32"/>
        <v>86.64607975589806</v>
      </c>
      <c r="P13" s="30">
        <f t="shared" si="32"/>
        <v>87.30134751344491</v>
      </c>
      <c r="Q13" s="30">
        <f t="shared" si="32"/>
        <v>86.95873638281412</v>
      </c>
      <c r="R13" s="8">
        <v>18086</v>
      </c>
      <c r="S13" s="8">
        <v>15356</v>
      </c>
      <c r="T13" s="9">
        <f aca="true" t="shared" si="115" ref="T13:T40">R13+S13</f>
        <v>33442</v>
      </c>
      <c r="U13" s="8">
        <v>9160</v>
      </c>
      <c r="V13" s="8">
        <v>7756</v>
      </c>
      <c r="W13" s="9">
        <f t="shared" si="35"/>
        <v>16916</v>
      </c>
      <c r="X13" s="100"/>
      <c r="Y13" s="100"/>
      <c r="Z13" s="93"/>
      <c r="AA13" s="8">
        <f t="shared" si="37"/>
        <v>9160</v>
      </c>
      <c r="AB13" s="8">
        <f t="shared" si="37"/>
        <v>7756</v>
      </c>
      <c r="AC13" s="11">
        <f aca="true" t="shared" si="116" ref="AC13:AC40">SUM(AA13,AB13)</f>
        <v>16916</v>
      </c>
      <c r="AD13" s="30">
        <f aca="true" t="shared" si="117" ref="AD13:AF40">IF(R13=0,"",AA13/R13*100)</f>
        <v>50.646909211544845</v>
      </c>
      <c r="AE13" s="30">
        <f t="shared" si="117"/>
        <v>50.50794477728575</v>
      </c>
      <c r="AF13" s="30">
        <f t="shared" si="117"/>
        <v>50.58309909694396</v>
      </c>
      <c r="AG13" s="11">
        <f t="shared" si="38"/>
        <v>126893</v>
      </c>
      <c r="AH13" s="11">
        <f t="shared" si="38"/>
        <v>114650</v>
      </c>
      <c r="AI13" s="11">
        <f t="shared" si="39"/>
        <v>241543</v>
      </c>
      <c r="AJ13" s="11">
        <f t="shared" si="40"/>
        <v>103437</v>
      </c>
      <c r="AK13" s="11">
        <f t="shared" si="40"/>
        <v>94441</v>
      </c>
      <c r="AL13" s="11">
        <f t="shared" si="41"/>
        <v>197878</v>
      </c>
      <c r="AM13" s="93"/>
      <c r="AN13" s="93"/>
      <c r="AO13" s="93"/>
      <c r="AP13" s="8">
        <f t="shared" si="43"/>
        <v>103437</v>
      </c>
      <c r="AQ13" s="8">
        <f t="shared" si="43"/>
        <v>94441</v>
      </c>
      <c r="AR13" s="11">
        <f aca="true" t="shared" si="118" ref="AR13:AR41">SUM(AP13,AQ13)</f>
        <v>197878</v>
      </c>
      <c r="AS13" s="30">
        <f aca="true" t="shared" si="119" ref="AS13:AU41">IF(AG13=0,"",AP13/AG13*100)</f>
        <v>81.51513479860985</v>
      </c>
      <c r="AT13" s="30">
        <f t="shared" si="119"/>
        <v>82.37331007413869</v>
      </c>
      <c r="AU13" s="30">
        <f t="shared" si="119"/>
        <v>81.92247343123171</v>
      </c>
      <c r="AV13" s="10">
        <v>9576</v>
      </c>
      <c r="AW13" s="10">
        <v>8199</v>
      </c>
      <c r="AX13" s="11">
        <f t="shared" si="44"/>
        <v>17775</v>
      </c>
      <c r="AY13" s="10">
        <v>8129</v>
      </c>
      <c r="AZ13" s="10">
        <v>6898</v>
      </c>
      <c r="BA13" s="11">
        <f t="shared" si="45"/>
        <v>15027</v>
      </c>
      <c r="BB13" s="96"/>
      <c r="BC13" s="96"/>
      <c r="BD13" s="93"/>
      <c r="BE13" s="8">
        <f t="shared" si="46"/>
        <v>8129</v>
      </c>
      <c r="BF13" s="8">
        <f t="shared" si="46"/>
        <v>6898</v>
      </c>
      <c r="BG13" s="11">
        <f aca="true" t="shared" si="120" ref="BG13:BG41">SUM(BE13,BF13)</f>
        <v>15027</v>
      </c>
      <c r="BH13" s="30">
        <f aca="true" t="shared" si="121" ref="BH13:BJ41">IF(AV13=0,"",BE13/AV13*100)</f>
        <v>84.88930659983292</v>
      </c>
      <c r="BI13" s="30">
        <f t="shared" si="121"/>
        <v>84.13221124527381</v>
      </c>
      <c r="BJ13" s="30">
        <f t="shared" si="121"/>
        <v>84.54008438818565</v>
      </c>
      <c r="BK13" s="10">
        <v>1704</v>
      </c>
      <c r="BL13" s="10">
        <v>1429</v>
      </c>
      <c r="BM13" s="11">
        <f t="shared" si="47"/>
        <v>3133</v>
      </c>
      <c r="BN13" s="10">
        <v>850</v>
      </c>
      <c r="BO13" s="10">
        <v>762</v>
      </c>
      <c r="BP13" s="11">
        <f t="shared" si="48"/>
        <v>1612</v>
      </c>
      <c r="BQ13" s="92"/>
      <c r="BR13" s="92"/>
      <c r="BS13" s="93"/>
      <c r="BT13" s="8">
        <f t="shared" si="50"/>
        <v>850</v>
      </c>
      <c r="BU13" s="8">
        <f t="shared" si="50"/>
        <v>762</v>
      </c>
      <c r="BV13" s="11">
        <f aca="true" t="shared" si="122" ref="BV13:BV40">SUM(BT13,BU13)</f>
        <v>1612</v>
      </c>
      <c r="BW13" s="30">
        <f aca="true" t="shared" si="123" ref="BW13:BW21">IF(BK13=0,"",BT13/BK13*100)</f>
        <v>49.88262910798122</v>
      </c>
      <c r="BX13" s="30">
        <f aca="true" t="shared" si="124" ref="BX13:BX21">IF(BL13=0,"",BU13/BL13*100)</f>
        <v>53.324002799160255</v>
      </c>
      <c r="BY13" s="30">
        <f aca="true" t="shared" si="125" ref="BY13:BY21">IF(BM13=0,"",BV13/BM13*100)</f>
        <v>51.45228215767634</v>
      </c>
      <c r="BZ13" s="11">
        <f t="shared" si="51"/>
        <v>11280</v>
      </c>
      <c r="CA13" s="11">
        <f t="shared" si="51"/>
        <v>9628</v>
      </c>
      <c r="CB13" s="11">
        <f t="shared" si="52"/>
        <v>20908</v>
      </c>
      <c r="CC13" s="11">
        <f t="shared" si="53"/>
        <v>8979</v>
      </c>
      <c r="CD13" s="11">
        <f t="shared" si="53"/>
        <v>7660</v>
      </c>
      <c r="CE13" s="11">
        <f t="shared" si="54"/>
        <v>16639</v>
      </c>
      <c r="CF13" s="93"/>
      <c r="CG13" s="93"/>
      <c r="CH13" s="93"/>
      <c r="CI13" s="8">
        <f t="shared" si="56"/>
        <v>8979</v>
      </c>
      <c r="CJ13" s="8">
        <f t="shared" si="56"/>
        <v>7660</v>
      </c>
      <c r="CK13" s="11">
        <f aca="true" t="shared" si="126" ref="CK13:CK41">SUM(CI13,CJ13)</f>
        <v>16639</v>
      </c>
      <c r="CL13" s="30">
        <f aca="true" t="shared" si="127" ref="CL13:CN41">IF(BZ13=0,"",CI13/BZ13*100)</f>
        <v>79.60106382978724</v>
      </c>
      <c r="CM13" s="30">
        <f t="shared" si="127"/>
        <v>79.55961778147072</v>
      </c>
      <c r="CN13" s="30">
        <f t="shared" si="127"/>
        <v>79.58197819016645</v>
      </c>
      <c r="CO13" s="10">
        <v>19125</v>
      </c>
      <c r="CP13" s="10">
        <v>16911</v>
      </c>
      <c r="CQ13" s="11">
        <f t="shared" si="57"/>
        <v>36036</v>
      </c>
      <c r="CR13" s="10">
        <v>15489</v>
      </c>
      <c r="CS13" s="10">
        <v>13767</v>
      </c>
      <c r="CT13" s="11">
        <f t="shared" si="58"/>
        <v>29256</v>
      </c>
      <c r="CU13" s="96"/>
      <c r="CV13" s="96"/>
      <c r="CW13" s="93"/>
      <c r="CX13" s="8">
        <f t="shared" si="59"/>
        <v>15489</v>
      </c>
      <c r="CY13" s="8">
        <f t="shared" si="60"/>
        <v>13767</v>
      </c>
      <c r="CZ13" s="11">
        <f aca="true" t="shared" si="128" ref="CZ13:CZ41">SUM(CX13,CY13)</f>
        <v>29256</v>
      </c>
      <c r="DA13" s="30">
        <f aca="true" t="shared" si="129" ref="DA13:DA41">IF(CO13=0,"",CX13/CO13*100)</f>
        <v>80.98823529411764</v>
      </c>
      <c r="DB13" s="30">
        <f aca="true" t="shared" si="130" ref="DB13:DB41">IF(CP13=0,"",CY13/CP13*100)</f>
        <v>81.40855064750754</v>
      </c>
      <c r="DC13" s="30">
        <f aca="true" t="shared" si="131" ref="DC13:DC41">IF(CQ13=0,"",CZ13/CQ13*100)</f>
        <v>81.1854811854812</v>
      </c>
      <c r="DD13" s="10">
        <v>5078</v>
      </c>
      <c r="DE13" s="10">
        <v>4844</v>
      </c>
      <c r="DF13" s="11">
        <f t="shared" si="61"/>
        <v>9922</v>
      </c>
      <c r="DG13" s="10">
        <v>2032</v>
      </c>
      <c r="DH13" s="10">
        <v>2014</v>
      </c>
      <c r="DI13" s="11">
        <f t="shared" si="62"/>
        <v>4046</v>
      </c>
      <c r="DJ13" s="96"/>
      <c r="DK13" s="96"/>
      <c r="DL13" s="96"/>
      <c r="DM13" s="8">
        <f t="shared" si="63"/>
        <v>2032</v>
      </c>
      <c r="DN13" s="8">
        <f t="shared" si="64"/>
        <v>2014</v>
      </c>
      <c r="DO13" s="11">
        <f aca="true" t="shared" si="132" ref="DO13:DO40">SUM(DM13,DN13)</f>
        <v>4046</v>
      </c>
      <c r="DP13" s="30">
        <f>IF(DD13=0,"",DM13/DD13*100)</f>
        <v>40.015754233950375</v>
      </c>
      <c r="DQ13" s="30">
        <f aca="true" t="shared" si="133" ref="DQ13:DQ19">IF(DE13=0,"",DN13/DE13*100)</f>
        <v>41.57720891824938</v>
      </c>
      <c r="DR13" s="30">
        <f aca="true" t="shared" si="134" ref="DR13:DR40">IF(DF13=0,"",DO13/DF13*100)</f>
        <v>40.77806893771417</v>
      </c>
      <c r="DS13" s="11">
        <f t="shared" si="65"/>
        <v>24203</v>
      </c>
      <c r="DT13" s="11">
        <f t="shared" si="66"/>
        <v>21755</v>
      </c>
      <c r="DU13" s="11">
        <f t="shared" si="67"/>
        <v>45958</v>
      </c>
      <c r="DV13" s="11">
        <f t="shared" si="68"/>
        <v>17521</v>
      </c>
      <c r="DW13" s="11">
        <f t="shared" si="69"/>
        <v>15781</v>
      </c>
      <c r="DX13" s="11">
        <f t="shared" si="70"/>
        <v>33302</v>
      </c>
      <c r="DY13" s="93"/>
      <c r="DZ13" s="93"/>
      <c r="EA13" s="93"/>
      <c r="EB13" s="8">
        <f t="shared" si="72"/>
        <v>17521</v>
      </c>
      <c r="EC13" s="8">
        <f t="shared" si="73"/>
        <v>15781</v>
      </c>
      <c r="ED13" s="11">
        <f aca="true" t="shared" si="135" ref="ED13:ED41">SUM(EB13,EC13)</f>
        <v>33302</v>
      </c>
      <c r="EE13" s="30">
        <f aca="true" t="shared" si="136" ref="EE13:EE41">IF(DS13=0,"",EB13/DS13*100)</f>
        <v>72.39185224972111</v>
      </c>
      <c r="EF13" s="30">
        <f aca="true" t="shared" si="137" ref="EF13:EF41">IF(DT13=0,"",EC13/DT13*100)</f>
        <v>72.53964605837739</v>
      </c>
      <c r="EG13" s="30">
        <f aca="true" t="shared" si="138" ref="EG13:EG41">IF(DU13=0,"",ED13/DU13*100)</f>
        <v>72.46181295965883</v>
      </c>
      <c r="EH13" s="10">
        <v>27394</v>
      </c>
      <c r="EI13" s="10">
        <v>26504</v>
      </c>
      <c r="EJ13" s="11">
        <f t="shared" si="74"/>
        <v>53898</v>
      </c>
      <c r="EK13" s="10">
        <v>211158</v>
      </c>
      <c r="EL13" s="10">
        <v>20222</v>
      </c>
      <c r="EM13" s="11">
        <f>EK13+EL13</f>
        <v>231380</v>
      </c>
      <c r="EN13" s="7"/>
      <c r="EO13" s="7"/>
      <c r="EP13" s="11">
        <f t="shared" si="76"/>
        <v>0</v>
      </c>
      <c r="EQ13" s="8">
        <f t="shared" si="77"/>
        <v>211158</v>
      </c>
      <c r="ER13" s="8">
        <f t="shared" si="77"/>
        <v>20222</v>
      </c>
      <c r="ES13" s="11">
        <f aca="true" t="shared" si="139" ref="ES13:ES41">SUM(EQ13,ER13)</f>
        <v>231380</v>
      </c>
      <c r="ET13" s="30">
        <f aca="true" t="shared" si="140" ref="ET13:EV41">IF(EH13=0,"",EQ13/EH13*100)</f>
        <v>770.8184273928597</v>
      </c>
      <c r="EU13" s="30">
        <f t="shared" si="140"/>
        <v>76.29791729550257</v>
      </c>
      <c r="EV13" s="30">
        <f t="shared" si="140"/>
        <v>429.2923670637129</v>
      </c>
      <c r="EW13" s="10">
        <v>3918</v>
      </c>
      <c r="EX13" s="10">
        <v>3951</v>
      </c>
      <c r="EY13" s="11">
        <f t="shared" si="78"/>
        <v>7869</v>
      </c>
      <c r="EZ13" s="10">
        <v>1953</v>
      </c>
      <c r="FA13" s="10">
        <v>2251</v>
      </c>
      <c r="FB13" s="11">
        <f t="shared" si="79"/>
        <v>4204</v>
      </c>
      <c r="FC13" s="7"/>
      <c r="FD13" s="7"/>
      <c r="FE13" s="7">
        <f aca="true" t="shared" si="141" ref="FE13:FE41">SUM(FC13:FD13)</f>
        <v>0</v>
      </c>
      <c r="FF13" s="8">
        <f t="shared" si="80"/>
        <v>1953</v>
      </c>
      <c r="FG13" s="8">
        <f t="shared" si="80"/>
        <v>2251</v>
      </c>
      <c r="FH13" s="11">
        <f aca="true" t="shared" si="142" ref="FH13:FH41">SUM(FF13,FG13)</f>
        <v>4204</v>
      </c>
      <c r="FI13" s="30">
        <f aca="true" t="shared" si="143" ref="FI13:FK41">IF(EW13=0,"",FF13/EW13*100)</f>
        <v>49.846860643185295</v>
      </c>
      <c r="FJ13" s="30">
        <f t="shared" si="143"/>
        <v>56.972918248544666</v>
      </c>
      <c r="FK13" s="30">
        <f t="shared" si="143"/>
        <v>53.424831617740494</v>
      </c>
      <c r="FL13" s="11">
        <f t="shared" si="81"/>
        <v>31312</v>
      </c>
      <c r="FM13" s="11">
        <f t="shared" si="81"/>
        <v>30455</v>
      </c>
      <c r="FN13" s="11">
        <f t="shared" si="82"/>
        <v>61767</v>
      </c>
      <c r="FO13" s="11">
        <f t="shared" si="83"/>
        <v>213111</v>
      </c>
      <c r="FP13" s="11">
        <f t="shared" si="83"/>
        <v>22473</v>
      </c>
      <c r="FQ13" s="11">
        <f t="shared" si="84"/>
        <v>235584</v>
      </c>
      <c r="FR13" s="11">
        <f aca="true" t="shared" si="144" ref="FR13:FS41">EN13+FC13</f>
        <v>0</v>
      </c>
      <c r="FS13" s="11">
        <f t="shared" si="144"/>
        <v>0</v>
      </c>
      <c r="FT13" s="11">
        <f t="shared" si="85"/>
        <v>0</v>
      </c>
      <c r="FU13" s="8">
        <f t="shared" si="86"/>
        <v>213111</v>
      </c>
      <c r="FV13" s="8">
        <f t="shared" si="86"/>
        <v>22473</v>
      </c>
      <c r="FW13" s="11">
        <f aca="true" t="shared" si="145" ref="FW13:FW41">SUM(FU13,FV13)</f>
        <v>235584</v>
      </c>
      <c r="FX13" s="30">
        <f aca="true" t="shared" si="146" ref="FX13:FZ41">IF(FL13=0,"",FU13/FL13*100)</f>
        <v>680.6048799182422</v>
      </c>
      <c r="FY13" s="30">
        <f t="shared" si="146"/>
        <v>73.79083894270235</v>
      </c>
      <c r="FZ13" s="30">
        <f t="shared" si="146"/>
        <v>381.4075477196561</v>
      </c>
      <c r="GA13" s="21">
        <f aca="true" t="shared" si="147" ref="GA13:GA41">AP13</f>
        <v>103437</v>
      </c>
      <c r="GB13" s="21">
        <f aca="true" t="shared" si="148" ref="GB13:GB41">AQ13</f>
        <v>94441</v>
      </c>
      <c r="GC13" s="21">
        <f aca="true" t="shared" si="149" ref="GC13:GC41">AR13</f>
        <v>197878</v>
      </c>
      <c r="GD13" s="98"/>
      <c r="GE13" s="98"/>
      <c r="GF13" s="98"/>
      <c r="GG13" s="98"/>
      <c r="GH13" s="98"/>
      <c r="GI13" s="98"/>
      <c r="GJ13" s="95"/>
      <c r="GK13" s="95"/>
      <c r="GL13" s="95"/>
      <c r="GM13" s="103"/>
      <c r="GN13" s="103"/>
      <c r="GO13" s="103"/>
      <c r="GP13" s="21">
        <f t="shared" si="95"/>
        <v>8979</v>
      </c>
      <c r="GQ13" s="21">
        <f t="shared" si="96"/>
        <v>7660</v>
      </c>
      <c r="GR13" s="21">
        <f t="shared" si="97"/>
        <v>16639</v>
      </c>
      <c r="GS13" s="98"/>
      <c r="GT13" s="98"/>
      <c r="GU13" s="98"/>
      <c r="GV13" s="98"/>
      <c r="GW13" s="98"/>
      <c r="GX13" s="98"/>
      <c r="GY13" s="95"/>
      <c r="GZ13" s="95"/>
      <c r="HA13" s="95"/>
      <c r="HB13" s="103"/>
      <c r="HC13" s="103"/>
      <c r="HD13" s="103"/>
      <c r="HE13" s="21">
        <f t="shared" si="106"/>
        <v>17521</v>
      </c>
      <c r="HF13" s="21">
        <f t="shared" si="107"/>
        <v>15781</v>
      </c>
      <c r="HG13" s="21">
        <f t="shared" si="108"/>
        <v>33302</v>
      </c>
      <c r="HH13" s="98"/>
      <c r="HI13" s="98"/>
      <c r="HJ13" s="98"/>
      <c r="HK13" s="98"/>
      <c r="HL13" s="98"/>
      <c r="HM13" s="98"/>
      <c r="HN13" s="95"/>
      <c r="HO13" s="95"/>
      <c r="HP13" s="95"/>
      <c r="HQ13" s="103"/>
      <c r="HR13" s="103"/>
      <c r="HS13" s="103"/>
    </row>
    <row r="14" spans="1:227" s="44" customFormat="1" ht="19.5" customHeight="1">
      <c r="A14" s="4">
        <v>5</v>
      </c>
      <c r="B14" s="80" t="s">
        <v>96</v>
      </c>
      <c r="C14" s="8">
        <v>30</v>
      </c>
      <c r="D14" s="8">
        <v>474</v>
      </c>
      <c r="E14" s="17">
        <f>C14+D14</f>
        <v>504</v>
      </c>
      <c r="F14" s="8">
        <v>30</v>
      </c>
      <c r="G14" s="8">
        <v>468</v>
      </c>
      <c r="H14" s="9">
        <f>F14+G14</f>
        <v>498</v>
      </c>
      <c r="I14" s="7">
        <v>0</v>
      </c>
      <c r="J14" s="7">
        <v>5</v>
      </c>
      <c r="K14" s="12">
        <f>I14+J14</f>
        <v>5</v>
      </c>
      <c r="L14" s="12">
        <f t="shared" si="34"/>
        <v>30</v>
      </c>
      <c r="M14" s="12">
        <f t="shared" si="34"/>
        <v>473</v>
      </c>
      <c r="N14" s="12">
        <f t="shared" si="34"/>
        <v>503</v>
      </c>
      <c r="O14" s="30">
        <f t="shared" si="32"/>
        <v>100</v>
      </c>
      <c r="P14" s="30">
        <f t="shared" si="32"/>
        <v>99.78902953586498</v>
      </c>
      <c r="Q14" s="30">
        <f t="shared" si="32"/>
        <v>99.8015873015873</v>
      </c>
      <c r="R14" s="94"/>
      <c r="S14" s="94"/>
      <c r="T14" s="98">
        <f t="shared" si="115"/>
        <v>0</v>
      </c>
      <c r="U14" s="94"/>
      <c r="V14" s="94"/>
      <c r="W14" s="98">
        <f>U14+V14</f>
        <v>0</v>
      </c>
      <c r="X14" s="100"/>
      <c r="Y14" s="96"/>
      <c r="Z14" s="93">
        <f t="shared" si="36"/>
        <v>0</v>
      </c>
      <c r="AA14" s="100">
        <f t="shared" si="37"/>
        <v>0</v>
      </c>
      <c r="AB14" s="100">
        <f t="shared" si="37"/>
        <v>0</v>
      </c>
      <c r="AC14" s="93">
        <f t="shared" si="116"/>
        <v>0</v>
      </c>
      <c r="AD14" s="95">
        <f>IF(R14=0,"",AA14/R14*100)</f>
      </c>
      <c r="AE14" s="95">
        <f>IF(S14=0,"",AB14/S14*100)</f>
      </c>
      <c r="AF14" s="95">
        <f>IF(T14=0,"",AC14/T14*100)</f>
      </c>
      <c r="AG14" s="11">
        <f t="shared" si="38"/>
        <v>30</v>
      </c>
      <c r="AH14" s="11">
        <f t="shared" si="38"/>
        <v>474</v>
      </c>
      <c r="AI14" s="11">
        <f t="shared" si="39"/>
        <v>504</v>
      </c>
      <c r="AJ14" s="11">
        <f t="shared" si="40"/>
        <v>30</v>
      </c>
      <c r="AK14" s="11">
        <f t="shared" si="40"/>
        <v>468</v>
      </c>
      <c r="AL14" s="11">
        <f t="shared" si="41"/>
        <v>498</v>
      </c>
      <c r="AM14" s="11">
        <f aca="true" t="shared" si="150" ref="AM14:AN41">I14+X14</f>
        <v>0</v>
      </c>
      <c r="AN14" s="11">
        <f t="shared" si="150"/>
        <v>5</v>
      </c>
      <c r="AO14" s="11">
        <f t="shared" si="42"/>
        <v>5</v>
      </c>
      <c r="AP14" s="8">
        <f t="shared" si="43"/>
        <v>30</v>
      </c>
      <c r="AQ14" s="12">
        <f t="shared" si="43"/>
        <v>473</v>
      </c>
      <c r="AR14" s="11">
        <f t="shared" si="118"/>
        <v>503</v>
      </c>
      <c r="AS14" s="30">
        <f t="shared" si="119"/>
        <v>100</v>
      </c>
      <c r="AT14" s="30">
        <f t="shared" si="119"/>
        <v>99.78902953586498</v>
      </c>
      <c r="AU14" s="30">
        <f t="shared" si="119"/>
        <v>99.8015873015873</v>
      </c>
      <c r="AV14" s="10">
        <v>0</v>
      </c>
      <c r="AW14" s="10">
        <v>16</v>
      </c>
      <c r="AX14" s="11">
        <f t="shared" si="44"/>
        <v>16</v>
      </c>
      <c r="AY14" s="10">
        <v>0</v>
      </c>
      <c r="AZ14" s="10">
        <v>15</v>
      </c>
      <c r="BA14" s="11">
        <f t="shared" si="45"/>
        <v>15</v>
      </c>
      <c r="BB14" s="7">
        <v>0</v>
      </c>
      <c r="BC14" s="7">
        <v>1</v>
      </c>
      <c r="BD14" s="11">
        <f>BB14+BC14</f>
        <v>1</v>
      </c>
      <c r="BE14" s="12">
        <f t="shared" si="46"/>
        <v>0</v>
      </c>
      <c r="BF14" s="12">
        <f t="shared" si="46"/>
        <v>16</v>
      </c>
      <c r="BG14" s="11">
        <f t="shared" si="120"/>
        <v>16</v>
      </c>
      <c r="BH14" s="30">
        <v>0</v>
      </c>
      <c r="BI14" s="30">
        <f t="shared" si="121"/>
        <v>100</v>
      </c>
      <c r="BJ14" s="30">
        <f t="shared" si="121"/>
        <v>100</v>
      </c>
      <c r="BK14" s="92"/>
      <c r="BL14" s="92"/>
      <c r="BM14" s="93">
        <f t="shared" si="47"/>
        <v>0</v>
      </c>
      <c r="BN14" s="92"/>
      <c r="BO14" s="92"/>
      <c r="BP14" s="93">
        <f t="shared" si="48"/>
        <v>0</v>
      </c>
      <c r="BQ14" s="96"/>
      <c r="BR14" s="96"/>
      <c r="BS14" s="93">
        <f t="shared" si="49"/>
        <v>0</v>
      </c>
      <c r="BT14" s="100">
        <f t="shared" si="50"/>
        <v>0</v>
      </c>
      <c r="BU14" s="100">
        <f t="shared" si="50"/>
        <v>0</v>
      </c>
      <c r="BV14" s="93">
        <f t="shared" si="122"/>
        <v>0</v>
      </c>
      <c r="BW14" s="95">
        <f t="shared" si="123"/>
      </c>
      <c r="BX14" s="95">
        <f t="shared" si="124"/>
      </c>
      <c r="BY14" s="95">
        <f t="shared" si="125"/>
      </c>
      <c r="BZ14" s="11">
        <f t="shared" si="51"/>
        <v>0</v>
      </c>
      <c r="CA14" s="11">
        <f t="shared" si="51"/>
        <v>16</v>
      </c>
      <c r="CB14" s="11">
        <f t="shared" si="52"/>
        <v>16</v>
      </c>
      <c r="CC14" s="11">
        <f>AY14+BN14</f>
        <v>0</v>
      </c>
      <c r="CD14" s="11">
        <f>AZ14+BO14</f>
        <v>15</v>
      </c>
      <c r="CE14" s="11">
        <f>CC14+CD14</f>
        <v>15</v>
      </c>
      <c r="CF14" s="11">
        <f>BB14+BQ14</f>
        <v>0</v>
      </c>
      <c r="CG14" s="11">
        <f>BC14+BR14</f>
        <v>1</v>
      </c>
      <c r="CH14" s="11">
        <f>CF14+CG14</f>
        <v>1</v>
      </c>
      <c r="CI14" s="12">
        <f t="shared" si="56"/>
        <v>0</v>
      </c>
      <c r="CJ14" s="12">
        <f t="shared" si="56"/>
        <v>16</v>
      </c>
      <c r="CK14" s="11">
        <f t="shared" si="126"/>
        <v>16</v>
      </c>
      <c r="CL14" s="30">
        <v>0</v>
      </c>
      <c r="CM14" s="30">
        <f t="shared" si="127"/>
        <v>100</v>
      </c>
      <c r="CN14" s="30">
        <f t="shared" si="127"/>
        <v>100</v>
      </c>
      <c r="CO14" s="10">
        <v>0</v>
      </c>
      <c r="CP14" s="10">
        <v>11</v>
      </c>
      <c r="CQ14" s="11">
        <f t="shared" si="57"/>
        <v>11</v>
      </c>
      <c r="CR14" s="10">
        <v>0</v>
      </c>
      <c r="CS14" s="10">
        <v>10</v>
      </c>
      <c r="CT14" s="11">
        <f t="shared" si="58"/>
        <v>10</v>
      </c>
      <c r="CU14" s="7">
        <v>0</v>
      </c>
      <c r="CV14" s="7">
        <v>1</v>
      </c>
      <c r="CW14" s="11">
        <f aca="true" t="shared" si="151" ref="CW14:CW36">CU14+CV14</f>
        <v>1</v>
      </c>
      <c r="CX14" s="12">
        <v>0</v>
      </c>
      <c r="CY14" s="12">
        <f t="shared" si="60"/>
        <v>11</v>
      </c>
      <c r="CZ14" s="11">
        <f t="shared" si="128"/>
        <v>11</v>
      </c>
      <c r="DA14" s="30">
        <v>0</v>
      </c>
      <c r="DB14" s="30">
        <f t="shared" si="130"/>
        <v>100</v>
      </c>
      <c r="DC14" s="30">
        <f t="shared" si="131"/>
        <v>100</v>
      </c>
      <c r="DD14" s="92"/>
      <c r="DE14" s="92"/>
      <c r="DF14" s="93">
        <f t="shared" si="61"/>
        <v>0</v>
      </c>
      <c r="DG14" s="92"/>
      <c r="DH14" s="92"/>
      <c r="DI14" s="93">
        <f t="shared" si="62"/>
        <v>0</v>
      </c>
      <c r="DJ14" s="96"/>
      <c r="DK14" s="96"/>
      <c r="DL14" s="96">
        <f aca="true" t="shared" si="152" ref="DL14:DL40">SUM(DJ14:DK14)</f>
        <v>0</v>
      </c>
      <c r="DM14" s="100">
        <f t="shared" si="63"/>
        <v>0</v>
      </c>
      <c r="DN14" s="100">
        <f t="shared" si="64"/>
        <v>0</v>
      </c>
      <c r="DO14" s="93">
        <f t="shared" si="132"/>
        <v>0</v>
      </c>
      <c r="DP14" s="95">
        <f>IF(DD14=0,"",DM14/DD14*100)</f>
      </c>
      <c r="DQ14" s="95">
        <f t="shared" si="133"/>
      </c>
      <c r="DR14" s="95">
        <f t="shared" si="134"/>
      </c>
      <c r="DS14" s="11">
        <f>CO14+DD14</f>
        <v>0</v>
      </c>
      <c r="DT14" s="11">
        <f>CP14+DE14</f>
        <v>11</v>
      </c>
      <c r="DU14" s="11">
        <f>DS14+DT14</f>
        <v>11</v>
      </c>
      <c r="DV14" s="11">
        <f>CR14+DG14</f>
        <v>0</v>
      </c>
      <c r="DW14" s="11">
        <f>CS14+DH14</f>
        <v>10</v>
      </c>
      <c r="DX14" s="11">
        <f>DV14+DW14</f>
        <v>10</v>
      </c>
      <c r="DY14" s="11">
        <f>CU14+DJ14</f>
        <v>0</v>
      </c>
      <c r="DZ14" s="11">
        <f>CV14+DK14</f>
        <v>1</v>
      </c>
      <c r="EA14" s="11">
        <f>DY14+DZ14</f>
        <v>1</v>
      </c>
      <c r="EB14" s="12">
        <f t="shared" si="72"/>
        <v>0</v>
      </c>
      <c r="EC14" s="12">
        <f t="shared" si="73"/>
        <v>11</v>
      </c>
      <c r="ED14" s="11">
        <f t="shared" si="135"/>
        <v>11</v>
      </c>
      <c r="EE14" s="106">
        <v>0</v>
      </c>
      <c r="EF14" s="30">
        <f t="shared" si="137"/>
        <v>100</v>
      </c>
      <c r="EG14" s="30">
        <f t="shared" si="138"/>
        <v>100</v>
      </c>
      <c r="EH14" s="10">
        <v>14</v>
      </c>
      <c r="EI14" s="10"/>
      <c r="EJ14" s="11">
        <f t="shared" si="74"/>
        <v>14</v>
      </c>
      <c r="EK14" s="10">
        <v>14</v>
      </c>
      <c r="EL14" s="10"/>
      <c r="EM14" s="11">
        <f>EK14+EL14</f>
        <v>14</v>
      </c>
      <c r="EN14" s="7"/>
      <c r="EO14" s="7"/>
      <c r="EP14" s="11">
        <f t="shared" si="76"/>
        <v>0</v>
      </c>
      <c r="EQ14" s="12">
        <f t="shared" si="77"/>
        <v>14</v>
      </c>
      <c r="ER14" s="12">
        <f t="shared" si="77"/>
        <v>0</v>
      </c>
      <c r="ES14" s="11">
        <f t="shared" si="139"/>
        <v>14</v>
      </c>
      <c r="ET14" s="30">
        <f t="shared" si="140"/>
        <v>100</v>
      </c>
      <c r="EU14" s="30">
        <f t="shared" si="140"/>
      </c>
      <c r="EV14" s="30">
        <f t="shared" si="140"/>
        <v>100</v>
      </c>
      <c r="EW14" s="10"/>
      <c r="EX14" s="10"/>
      <c r="EY14" s="11">
        <f t="shared" si="78"/>
        <v>0</v>
      </c>
      <c r="EZ14" s="10"/>
      <c r="FA14" s="10"/>
      <c r="FB14" s="11">
        <f t="shared" si="79"/>
        <v>0</v>
      </c>
      <c r="FC14" s="7"/>
      <c r="FD14" s="7"/>
      <c r="FE14" s="7">
        <f t="shared" si="141"/>
        <v>0</v>
      </c>
      <c r="FF14" s="12">
        <f t="shared" si="80"/>
        <v>0</v>
      </c>
      <c r="FG14" s="12">
        <f t="shared" si="80"/>
        <v>0</v>
      </c>
      <c r="FH14" s="11">
        <f t="shared" si="142"/>
        <v>0</v>
      </c>
      <c r="FI14" s="30">
        <f t="shared" si="143"/>
      </c>
      <c r="FJ14" s="30">
        <f t="shared" si="143"/>
      </c>
      <c r="FK14" s="30">
        <f t="shared" si="143"/>
      </c>
      <c r="FL14" s="11">
        <f>EH14+EW14</f>
        <v>14</v>
      </c>
      <c r="FM14" s="11">
        <f>EI14+EX14</f>
        <v>0</v>
      </c>
      <c r="FN14" s="11">
        <f>FL14+FM14</f>
        <v>14</v>
      </c>
      <c r="FO14" s="11">
        <f>EK14+EZ14</f>
        <v>14</v>
      </c>
      <c r="FP14" s="11">
        <f>EL14+FA14</f>
        <v>0</v>
      </c>
      <c r="FQ14" s="11">
        <f>FO14+FP14</f>
        <v>14</v>
      </c>
      <c r="FR14" s="11">
        <f>EN14+FC14</f>
        <v>0</v>
      </c>
      <c r="FS14" s="11">
        <f>EO14+FD14</f>
        <v>0</v>
      </c>
      <c r="FT14" s="11">
        <f>FR14+FS14</f>
        <v>0</v>
      </c>
      <c r="FU14" s="12">
        <f t="shared" si="86"/>
        <v>14</v>
      </c>
      <c r="FV14" s="12">
        <f t="shared" si="86"/>
        <v>0</v>
      </c>
      <c r="FW14" s="11">
        <f t="shared" si="145"/>
        <v>14</v>
      </c>
      <c r="FX14" s="30">
        <f t="shared" si="146"/>
        <v>100</v>
      </c>
      <c r="FY14" s="30">
        <f t="shared" si="146"/>
      </c>
      <c r="FZ14" s="30">
        <f t="shared" si="146"/>
        <v>100</v>
      </c>
      <c r="GA14" s="21">
        <f>AP14</f>
        <v>30</v>
      </c>
      <c r="GB14" s="21">
        <f>AQ14</f>
        <v>473</v>
      </c>
      <c r="GC14" s="21">
        <f t="shared" si="149"/>
        <v>503</v>
      </c>
      <c r="GD14" s="47">
        <v>16</v>
      </c>
      <c r="GE14" s="47">
        <v>250</v>
      </c>
      <c r="GF14" s="21">
        <f t="shared" si="87"/>
        <v>266</v>
      </c>
      <c r="GG14" s="21">
        <v>13</v>
      </c>
      <c r="GH14" s="21">
        <v>172</v>
      </c>
      <c r="GI14" s="21">
        <f t="shared" si="88"/>
        <v>185</v>
      </c>
      <c r="GJ14" s="57">
        <f t="shared" si="89"/>
        <v>53.333333333333336</v>
      </c>
      <c r="GK14" s="57">
        <f t="shared" si="90"/>
        <v>52.85412262156448</v>
      </c>
      <c r="GL14" s="57">
        <f t="shared" si="91"/>
        <v>52.88270377733598</v>
      </c>
      <c r="GM14" s="46">
        <f t="shared" si="92"/>
        <v>43.333333333333336</v>
      </c>
      <c r="GN14" s="46">
        <f t="shared" si="93"/>
        <v>36.36363636363636</v>
      </c>
      <c r="GO14" s="46">
        <f t="shared" si="94"/>
        <v>36.779324055666</v>
      </c>
      <c r="GP14" s="21">
        <f>CI14</f>
        <v>0</v>
      </c>
      <c r="GQ14" s="21">
        <f>CJ14</f>
        <v>16</v>
      </c>
      <c r="GR14" s="21">
        <f t="shared" si="97"/>
        <v>16</v>
      </c>
      <c r="GS14" s="47">
        <v>0</v>
      </c>
      <c r="GT14" s="47">
        <v>3</v>
      </c>
      <c r="GU14" s="21">
        <f t="shared" si="98"/>
        <v>3</v>
      </c>
      <c r="GV14" s="21">
        <v>0</v>
      </c>
      <c r="GW14" s="21">
        <v>4</v>
      </c>
      <c r="GX14" s="21">
        <f t="shared" si="99"/>
        <v>4</v>
      </c>
      <c r="GY14" s="57">
        <v>0</v>
      </c>
      <c r="GZ14" s="57">
        <f t="shared" si="101"/>
        <v>18.75</v>
      </c>
      <c r="HA14" s="57">
        <f t="shared" si="102"/>
        <v>18.75</v>
      </c>
      <c r="HB14" s="46">
        <v>0</v>
      </c>
      <c r="HC14" s="46">
        <f t="shared" si="104"/>
        <v>25</v>
      </c>
      <c r="HD14" s="46">
        <f t="shared" si="105"/>
        <v>25</v>
      </c>
      <c r="HE14" s="21">
        <f t="shared" si="106"/>
        <v>0</v>
      </c>
      <c r="HF14" s="21">
        <f t="shared" si="107"/>
        <v>11</v>
      </c>
      <c r="HG14" s="21">
        <f t="shared" si="108"/>
        <v>11</v>
      </c>
      <c r="HH14" s="47">
        <v>0</v>
      </c>
      <c r="HI14" s="47">
        <v>6</v>
      </c>
      <c r="HJ14" s="21">
        <f t="shared" si="109"/>
        <v>6</v>
      </c>
      <c r="HK14" s="21">
        <v>0</v>
      </c>
      <c r="HL14" s="21">
        <v>3</v>
      </c>
      <c r="HM14" s="21">
        <f t="shared" si="110"/>
        <v>3</v>
      </c>
      <c r="HN14" s="57">
        <v>0</v>
      </c>
      <c r="HO14" s="57">
        <f>HI14/HF14%</f>
        <v>54.54545454545455</v>
      </c>
      <c r="HP14" s="57">
        <f t="shared" si="112"/>
        <v>54.54545454545455</v>
      </c>
      <c r="HQ14" s="46">
        <v>0</v>
      </c>
      <c r="HR14" s="46">
        <f>HL14/HF14%</f>
        <v>27.272727272727273</v>
      </c>
      <c r="HS14" s="46">
        <f t="shared" si="114"/>
        <v>27.272727272727273</v>
      </c>
    </row>
    <row r="15" spans="1:227" ht="30" customHeight="1">
      <c r="A15" s="4">
        <v>6</v>
      </c>
      <c r="B15" s="6" t="s">
        <v>41</v>
      </c>
      <c r="C15" s="8">
        <v>593474</v>
      </c>
      <c r="D15" s="8">
        <v>436793</v>
      </c>
      <c r="E15" s="17">
        <f>C15+D15</f>
        <v>1030267</v>
      </c>
      <c r="F15" s="8">
        <v>392228</v>
      </c>
      <c r="G15" s="8">
        <v>259236</v>
      </c>
      <c r="H15" s="9">
        <f>F15+G15</f>
        <v>651464</v>
      </c>
      <c r="I15" s="96"/>
      <c r="J15" s="96"/>
      <c r="K15" s="100"/>
      <c r="L15" s="8">
        <f t="shared" si="34"/>
        <v>392228</v>
      </c>
      <c r="M15" s="8">
        <f t="shared" si="34"/>
        <v>259236</v>
      </c>
      <c r="N15" s="8">
        <f t="shared" si="34"/>
        <v>651464</v>
      </c>
      <c r="O15" s="30">
        <f t="shared" si="32"/>
        <v>66.09017412725747</v>
      </c>
      <c r="P15" s="30">
        <f t="shared" si="32"/>
        <v>59.34985221832767</v>
      </c>
      <c r="Q15" s="30">
        <f t="shared" si="32"/>
        <v>63.23254069090828</v>
      </c>
      <c r="R15" s="12">
        <v>8844</v>
      </c>
      <c r="S15" s="12">
        <v>17410</v>
      </c>
      <c r="T15" s="9">
        <f t="shared" si="115"/>
        <v>26254</v>
      </c>
      <c r="U15" s="12">
        <v>5639</v>
      </c>
      <c r="V15" s="12">
        <v>9888</v>
      </c>
      <c r="W15" s="9">
        <f>U15+V15</f>
        <v>15527</v>
      </c>
      <c r="X15" s="100"/>
      <c r="Y15" s="96"/>
      <c r="Z15" s="93"/>
      <c r="AA15" s="8">
        <f t="shared" si="37"/>
        <v>5639</v>
      </c>
      <c r="AB15" s="8">
        <f t="shared" si="37"/>
        <v>9888</v>
      </c>
      <c r="AC15" s="11">
        <f t="shared" si="116"/>
        <v>15527</v>
      </c>
      <c r="AD15" s="30">
        <f t="shared" si="117"/>
        <v>63.760741745816375</v>
      </c>
      <c r="AE15" s="30">
        <f t="shared" si="117"/>
        <v>56.79494543365882</v>
      </c>
      <c r="AF15" s="30">
        <f t="shared" si="117"/>
        <v>59.14146415784261</v>
      </c>
      <c r="AG15" s="11">
        <f t="shared" si="38"/>
        <v>602318</v>
      </c>
      <c r="AH15" s="11">
        <f t="shared" si="38"/>
        <v>454203</v>
      </c>
      <c r="AI15" s="11">
        <f t="shared" si="39"/>
        <v>1056521</v>
      </c>
      <c r="AJ15" s="11">
        <f t="shared" si="40"/>
        <v>397867</v>
      </c>
      <c r="AK15" s="11">
        <f t="shared" si="40"/>
        <v>269124</v>
      </c>
      <c r="AL15" s="11">
        <f t="shared" si="41"/>
        <v>666991</v>
      </c>
      <c r="AM15" s="93"/>
      <c r="AN15" s="93"/>
      <c r="AO15" s="93"/>
      <c r="AP15" s="8">
        <f t="shared" si="43"/>
        <v>397867</v>
      </c>
      <c r="AQ15" s="8">
        <f t="shared" si="43"/>
        <v>269124</v>
      </c>
      <c r="AR15" s="11">
        <f t="shared" si="118"/>
        <v>666991</v>
      </c>
      <c r="AS15" s="30">
        <f t="shared" si="119"/>
        <v>66.05597043422246</v>
      </c>
      <c r="AT15" s="30">
        <f t="shared" si="119"/>
        <v>59.251920396826975</v>
      </c>
      <c r="AU15" s="30">
        <f t="shared" si="119"/>
        <v>63.13087955658241</v>
      </c>
      <c r="AV15" s="10">
        <v>83379</v>
      </c>
      <c r="AW15" s="10">
        <v>51388</v>
      </c>
      <c r="AX15" s="11">
        <f t="shared" si="44"/>
        <v>134767</v>
      </c>
      <c r="AY15" s="10">
        <v>47786</v>
      </c>
      <c r="AZ15" s="10">
        <v>23880</v>
      </c>
      <c r="BA15" s="11">
        <f t="shared" si="45"/>
        <v>71666</v>
      </c>
      <c r="BB15" s="96"/>
      <c r="BC15" s="96"/>
      <c r="BD15" s="93"/>
      <c r="BE15" s="8">
        <f t="shared" si="46"/>
        <v>47786</v>
      </c>
      <c r="BF15" s="8">
        <f t="shared" si="46"/>
        <v>23880</v>
      </c>
      <c r="BG15" s="11">
        <f t="shared" si="120"/>
        <v>71666</v>
      </c>
      <c r="BH15" s="30">
        <f t="shared" si="121"/>
        <v>57.31179313736072</v>
      </c>
      <c r="BI15" s="30">
        <f t="shared" si="121"/>
        <v>46.46999299447342</v>
      </c>
      <c r="BJ15" s="30">
        <f t="shared" si="121"/>
        <v>53.17770670861562</v>
      </c>
      <c r="BK15" s="10">
        <v>1294</v>
      </c>
      <c r="BL15" s="10">
        <v>2088</v>
      </c>
      <c r="BM15" s="11">
        <f t="shared" si="47"/>
        <v>3382</v>
      </c>
      <c r="BN15" s="10">
        <v>769</v>
      </c>
      <c r="BO15" s="10">
        <v>931</v>
      </c>
      <c r="BP15" s="11">
        <f t="shared" si="48"/>
        <v>1700</v>
      </c>
      <c r="BQ15" s="7"/>
      <c r="BR15" s="7"/>
      <c r="BS15" s="11">
        <f t="shared" si="49"/>
        <v>0</v>
      </c>
      <c r="BT15" s="8">
        <f t="shared" si="50"/>
        <v>769</v>
      </c>
      <c r="BU15" s="8">
        <f t="shared" si="50"/>
        <v>931</v>
      </c>
      <c r="BV15" s="11">
        <f t="shared" si="122"/>
        <v>1700</v>
      </c>
      <c r="BW15" s="30">
        <f t="shared" si="123"/>
        <v>59.42812982998454</v>
      </c>
      <c r="BX15" s="30">
        <f t="shared" si="124"/>
        <v>44.588122605363985</v>
      </c>
      <c r="BY15" s="30">
        <f t="shared" si="125"/>
        <v>50.26611472501479</v>
      </c>
      <c r="BZ15" s="11">
        <f t="shared" si="51"/>
        <v>84673</v>
      </c>
      <c r="CA15" s="11">
        <f t="shared" si="51"/>
        <v>53476</v>
      </c>
      <c r="CB15" s="11">
        <f t="shared" si="52"/>
        <v>138149</v>
      </c>
      <c r="CC15" s="11">
        <f t="shared" si="53"/>
        <v>48555</v>
      </c>
      <c r="CD15" s="11">
        <f t="shared" si="53"/>
        <v>24811</v>
      </c>
      <c r="CE15" s="11">
        <f t="shared" si="54"/>
        <v>73366</v>
      </c>
      <c r="CF15" s="11">
        <f aca="true" t="shared" si="153" ref="CF15:CG41">BB15+BQ15</f>
        <v>0</v>
      </c>
      <c r="CG15" s="11">
        <f t="shared" si="153"/>
        <v>0</v>
      </c>
      <c r="CH15" s="11">
        <f t="shared" si="55"/>
        <v>0</v>
      </c>
      <c r="CI15" s="8">
        <f t="shared" si="56"/>
        <v>48555</v>
      </c>
      <c r="CJ15" s="8">
        <f t="shared" si="56"/>
        <v>24811</v>
      </c>
      <c r="CK15" s="11">
        <f t="shared" si="126"/>
        <v>73366</v>
      </c>
      <c r="CL15" s="30">
        <f t="shared" si="127"/>
        <v>57.34413567489046</v>
      </c>
      <c r="CM15" s="30">
        <f t="shared" si="127"/>
        <v>46.39651432418282</v>
      </c>
      <c r="CN15" s="30">
        <f t="shared" si="127"/>
        <v>53.10642856625817</v>
      </c>
      <c r="CO15" s="10">
        <v>8209</v>
      </c>
      <c r="CP15" s="10">
        <v>5454</v>
      </c>
      <c r="CQ15" s="11">
        <f t="shared" si="57"/>
        <v>13663</v>
      </c>
      <c r="CR15" s="10">
        <v>5134</v>
      </c>
      <c r="CS15" s="10">
        <v>3166</v>
      </c>
      <c r="CT15" s="11">
        <f t="shared" si="58"/>
        <v>8300</v>
      </c>
      <c r="CU15" s="96"/>
      <c r="CV15" s="96"/>
      <c r="CW15" s="93">
        <f t="shared" si="151"/>
        <v>0</v>
      </c>
      <c r="CX15" s="8">
        <f t="shared" si="59"/>
        <v>5134</v>
      </c>
      <c r="CY15" s="8">
        <f t="shared" si="60"/>
        <v>3166</v>
      </c>
      <c r="CZ15" s="11">
        <f t="shared" si="128"/>
        <v>8300</v>
      </c>
      <c r="DA15" s="30">
        <f t="shared" si="129"/>
        <v>62.541113412108665</v>
      </c>
      <c r="DB15" s="30">
        <f t="shared" si="130"/>
        <v>58.04913824715805</v>
      </c>
      <c r="DC15" s="30">
        <f t="shared" si="131"/>
        <v>60.74800556246798</v>
      </c>
      <c r="DD15" s="10">
        <v>258</v>
      </c>
      <c r="DE15" s="10">
        <v>456</v>
      </c>
      <c r="DF15" s="11">
        <f t="shared" si="61"/>
        <v>714</v>
      </c>
      <c r="DG15" s="10">
        <v>173</v>
      </c>
      <c r="DH15" s="10">
        <v>265</v>
      </c>
      <c r="DI15" s="11">
        <f t="shared" si="62"/>
        <v>438</v>
      </c>
      <c r="DJ15" s="7"/>
      <c r="DK15" s="7"/>
      <c r="DL15" s="7">
        <f t="shared" si="152"/>
        <v>0</v>
      </c>
      <c r="DM15" s="8">
        <f t="shared" si="63"/>
        <v>173</v>
      </c>
      <c r="DN15" s="8">
        <f t="shared" si="64"/>
        <v>265</v>
      </c>
      <c r="DO15" s="11">
        <f t="shared" si="132"/>
        <v>438</v>
      </c>
      <c r="DP15" s="30">
        <f>IF(DD15=0,"",DM15/DD15*100)</f>
        <v>67.05426356589147</v>
      </c>
      <c r="DQ15" s="30">
        <f t="shared" si="133"/>
        <v>58.114035087719294</v>
      </c>
      <c r="DR15" s="30">
        <f t="shared" si="134"/>
        <v>61.34453781512605</v>
      </c>
      <c r="DS15" s="11">
        <f t="shared" si="65"/>
        <v>8467</v>
      </c>
      <c r="DT15" s="11">
        <f t="shared" si="66"/>
        <v>5910</v>
      </c>
      <c r="DU15" s="11">
        <f t="shared" si="67"/>
        <v>14377</v>
      </c>
      <c r="DV15" s="11">
        <f t="shared" si="68"/>
        <v>5307</v>
      </c>
      <c r="DW15" s="11">
        <f t="shared" si="69"/>
        <v>3431</v>
      </c>
      <c r="DX15" s="11">
        <f t="shared" si="70"/>
        <v>8738</v>
      </c>
      <c r="DY15" s="93"/>
      <c r="DZ15" s="93"/>
      <c r="EA15" s="93"/>
      <c r="EB15" s="8">
        <f t="shared" si="72"/>
        <v>5307</v>
      </c>
      <c r="EC15" s="8">
        <f t="shared" si="73"/>
        <v>3431</v>
      </c>
      <c r="ED15" s="11">
        <f t="shared" si="135"/>
        <v>8738</v>
      </c>
      <c r="EE15" s="30">
        <f t="shared" si="136"/>
        <v>62.67863469942129</v>
      </c>
      <c r="EF15" s="30">
        <f t="shared" si="137"/>
        <v>58.05414551607445</v>
      </c>
      <c r="EG15" s="30">
        <f t="shared" si="138"/>
        <v>60.77763093830424</v>
      </c>
      <c r="EH15" s="10"/>
      <c r="EI15" s="10"/>
      <c r="EJ15" s="11">
        <f t="shared" si="74"/>
        <v>0</v>
      </c>
      <c r="EK15" s="10"/>
      <c r="EL15" s="10"/>
      <c r="EM15" s="11">
        <f>EK15+EL15</f>
        <v>0</v>
      </c>
      <c r="EN15" s="7"/>
      <c r="EO15" s="7"/>
      <c r="EP15" s="11">
        <f t="shared" si="76"/>
        <v>0</v>
      </c>
      <c r="EQ15" s="8">
        <f t="shared" si="77"/>
        <v>0</v>
      </c>
      <c r="ER15" s="8">
        <f t="shared" si="77"/>
        <v>0</v>
      </c>
      <c r="ES15" s="11">
        <f t="shared" si="139"/>
        <v>0</v>
      </c>
      <c r="ET15" s="30">
        <f t="shared" si="140"/>
      </c>
      <c r="EU15" s="30">
        <f t="shared" si="140"/>
      </c>
      <c r="EV15" s="30">
        <f t="shared" si="140"/>
      </c>
      <c r="EW15" s="10"/>
      <c r="EX15" s="10"/>
      <c r="EY15" s="11">
        <f t="shared" si="78"/>
        <v>0</v>
      </c>
      <c r="EZ15" s="10"/>
      <c r="FA15" s="10"/>
      <c r="FB15" s="11">
        <f t="shared" si="79"/>
        <v>0</v>
      </c>
      <c r="FC15" s="7"/>
      <c r="FD15" s="7"/>
      <c r="FE15" s="7">
        <f t="shared" si="141"/>
        <v>0</v>
      </c>
      <c r="FF15" s="8">
        <f t="shared" si="80"/>
        <v>0</v>
      </c>
      <c r="FG15" s="8">
        <f t="shared" si="80"/>
        <v>0</v>
      </c>
      <c r="FH15" s="11">
        <f t="shared" si="142"/>
        <v>0</v>
      </c>
      <c r="FI15" s="30">
        <f t="shared" si="143"/>
      </c>
      <c r="FJ15" s="30">
        <f t="shared" si="143"/>
      </c>
      <c r="FK15" s="30">
        <f t="shared" si="143"/>
      </c>
      <c r="FL15" s="11">
        <f t="shared" si="81"/>
        <v>0</v>
      </c>
      <c r="FM15" s="11">
        <f t="shared" si="81"/>
        <v>0</v>
      </c>
      <c r="FN15" s="11">
        <f t="shared" si="82"/>
        <v>0</v>
      </c>
      <c r="FO15" s="11">
        <f t="shared" si="83"/>
        <v>0</v>
      </c>
      <c r="FP15" s="11">
        <f t="shared" si="83"/>
        <v>0</v>
      </c>
      <c r="FQ15" s="11">
        <f t="shared" si="84"/>
        <v>0</v>
      </c>
      <c r="FR15" s="11">
        <f t="shared" si="144"/>
        <v>0</v>
      </c>
      <c r="FS15" s="11">
        <f t="shared" si="144"/>
        <v>0</v>
      </c>
      <c r="FT15" s="11">
        <f t="shared" si="85"/>
        <v>0</v>
      </c>
      <c r="FU15" s="8">
        <f t="shared" si="86"/>
        <v>0</v>
      </c>
      <c r="FV15" s="8">
        <f t="shared" si="86"/>
        <v>0</v>
      </c>
      <c r="FW15" s="11">
        <f t="shared" si="145"/>
        <v>0</v>
      </c>
      <c r="FX15" s="30">
        <f t="shared" si="146"/>
      </c>
      <c r="FY15" s="30">
        <f t="shared" si="146"/>
      </c>
      <c r="FZ15" s="30">
        <f t="shared" si="146"/>
      </c>
      <c r="GA15" s="21">
        <f t="shared" si="147"/>
        <v>397867</v>
      </c>
      <c r="GB15" s="21">
        <f t="shared" si="148"/>
        <v>269124</v>
      </c>
      <c r="GC15" s="21">
        <f t="shared" si="149"/>
        <v>666991</v>
      </c>
      <c r="GD15" s="47">
        <v>2299</v>
      </c>
      <c r="GE15" s="47">
        <v>980</v>
      </c>
      <c r="GF15" s="21">
        <f t="shared" si="87"/>
        <v>3279</v>
      </c>
      <c r="GG15" s="21">
        <v>120613</v>
      </c>
      <c r="GH15" s="21">
        <v>74232</v>
      </c>
      <c r="GI15" s="21">
        <f t="shared" si="88"/>
        <v>194845</v>
      </c>
      <c r="GJ15" s="57">
        <f t="shared" si="89"/>
        <v>0.577831285329017</v>
      </c>
      <c r="GK15" s="57">
        <f t="shared" si="90"/>
        <v>0.36414440926859</v>
      </c>
      <c r="GL15" s="57">
        <f t="shared" si="91"/>
        <v>0.4916108313305577</v>
      </c>
      <c r="GM15" s="46">
        <f t="shared" si="92"/>
        <v>30.314904226789352</v>
      </c>
      <c r="GN15" s="46">
        <f t="shared" si="93"/>
        <v>27.582824274312216</v>
      </c>
      <c r="GO15" s="46">
        <f t="shared" si="94"/>
        <v>29.212538100214246</v>
      </c>
      <c r="GP15" s="21">
        <f>CI15</f>
        <v>48555</v>
      </c>
      <c r="GQ15" s="21">
        <f>CJ15</f>
        <v>24811</v>
      </c>
      <c r="GR15" s="21">
        <f>CK15</f>
        <v>73366</v>
      </c>
      <c r="GS15" s="47">
        <v>101</v>
      </c>
      <c r="GT15" s="47">
        <v>43</v>
      </c>
      <c r="GU15" s="21">
        <f t="shared" si="98"/>
        <v>144</v>
      </c>
      <c r="GV15" s="21">
        <v>10366</v>
      </c>
      <c r="GW15" s="21">
        <v>4618</v>
      </c>
      <c r="GX15" s="21">
        <f t="shared" si="99"/>
        <v>14984</v>
      </c>
      <c r="GY15" s="57">
        <f>GS15/GP15%</f>
        <v>0.20801153331273814</v>
      </c>
      <c r="GZ15" s="57">
        <f>GT15/GQ15%</f>
        <v>0.17331022530329288</v>
      </c>
      <c r="HA15" s="57">
        <f>GU15/GR15%</f>
        <v>0.19627620423629474</v>
      </c>
      <c r="HB15" s="46">
        <f>GV15/GP15%</f>
        <v>21.348985686335084</v>
      </c>
      <c r="HC15" s="46">
        <f>GW15/GQ15%</f>
        <v>18.612712103502478</v>
      </c>
      <c r="HD15" s="46">
        <f>GX15/GR15%</f>
        <v>20.423629474143336</v>
      </c>
      <c r="HE15" s="21">
        <f t="shared" si="106"/>
        <v>5307</v>
      </c>
      <c r="HF15" s="21">
        <f t="shared" si="107"/>
        <v>3431</v>
      </c>
      <c r="HG15" s="21">
        <f t="shared" si="108"/>
        <v>8738</v>
      </c>
      <c r="HH15" s="47">
        <v>11</v>
      </c>
      <c r="HI15" s="47">
        <v>4</v>
      </c>
      <c r="HJ15" s="21">
        <f t="shared" si="109"/>
        <v>15</v>
      </c>
      <c r="HK15" s="21">
        <v>1322</v>
      </c>
      <c r="HL15" s="21">
        <v>921</v>
      </c>
      <c r="HM15" s="21">
        <f t="shared" si="110"/>
        <v>2243</v>
      </c>
      <c r="HN15" s="57">
        <f t="shared" si="111"/>
        <v>0.2072734124740908</v>
      </c>
      <c r="HO15" s="57">
        <f>HI15/HF15%</f>
        <v>0.11658408627222383</v>
      </c>
      <c r="HP15" s="57">
        <f t="shared" si="112"/>
        <v>0.17166399633783475</v>
      </c>
      <c r="HQ15" s="46">
        <f t="shared" si="113"/>
        <v>24.910495571886187</v>
      </c>
      <c r="HR15" s="46">
        <f>HL15/HF15%</f>
        <v>26.843485864179538</v>
      </c>
      <c r="HS15" s="46">
        <f t="shared" si="114"/>
        <v>25.669489585717557</v>
      </c>
    </row>
    <row r="16" spans="1:227" ht="27" customHeight="1">
      <c r="A16" s="4">
        <v>7</v>
      </c>
      <c r="B16" s="6" t="s">
        <v>101</v>
      </c>
      <c r="C16" s="8">
        <v>15427</v>
      </c>
      <c r="D16" s="8">
        <v>27681</v>
      </c>
      <c r="E16" s="17">
        <f aca="true" t="shared" si="154" ref="E16:E41">C16+D16</f>
        <v>43108</v>
      </c>
      <c r="F16" s="8">
        <v>15169</v>
      </c>
      <c r="G16" s="8">
        <v>27253</v>
      </c>
      <c r="H16" s="9">
        <f t="shared" si="33"/>
        <v>42422</v>
      </c>
      <c r="I16" s="92"/>
      <c r="J16" s="92"/>
      <c r="K16" s="100"/>
      <c r="L16" s="8">
        <f t="shared" si="34"/>
        <v>15169</v>
      </c>
      <c r="M16" s="8">
        <f t="shared" si="34"/>
        <v>27253</v>
      </c>
      <c r="N16" s="8">
        <f t="shared" si="34"/>
        <v>42422</v>
      </c>
      <c r="O16" s="30">
        <f t="shared" si="32"/>
        <v>98.32760744149867</v>
      </c>
      <c r="P16" s="30">
        <f t="shared" si="32"/>
        <v>98.4538130847874</v>
      </c>
      <c r="Q16" s="30">
        <f t="shared" si="32"/>
        <v>98.40864804676626</v>
      </c>
      <c r="R16" s="94"/>
      <c r="S16" s="94"/>
      <c r="T16" s="98"/>
      <c r="U16" s="94"/>
      <c r="V16" s="94"/>
      <c r="W16" s="98"/>
      <c r="X16" s="92"/>
      <c r="Y16" s="92"/>
      <c r="Z16" s="93"/>
      <c r="AA16" s="94"/>
      <c r="AB16" s="94"/>
      <c r="AC16" s="93"/>
      <c r="AD16" s="95"/>
      <c r="AE16" s="95"/>
      <c r="AF16" s="95"/>
      <c r="AG16" s="11">
        <f t="shared" si="38"/>
        <v>15427</v>
      </c>
      <c r="AH16" s="11">
        <f t="shared" si="38"/>
        <v>27681</v>
      </c>
      <c r="AI16" s="11">
        <f t="shared" si="39"/>
        <v>43108</v>
      </c>
      <c r="AJ16" s="11">
        <f t="shared" si="40"/>
        <v>15169</v>
      </c>
      <c r="AK16" s="11">
        <f t="shared" si="40"/>
        <v>27253</v>
      </c>
      <c r="AL16" s="11">
        <f t="shared" si="41"/>
        <v>42422</v>
      </c>
      <c r="AM16" s="93"/>
      <c r="AN16" s="93"/>
      <c r="AO16" s="93"/>
      <c r="AP16" s="8">
        <f t="shared" si="43"/>
        <v>15169</v>
      </c>
      <c r="AQ16" s="8">
        <f t="shared" si="43"/>
        <v>27253</v>
      </c>
      <c r="AR16" s="11">
        <f t="shared" si="118"/>
        <v>42422</v>
      </c>
      <c r="AS16" s="30">
        <f t="shared" si="119"/>
        <v>98.32760744149867</v>
      </c>
      <c r="AT16" s="30">
        <f t="shared" si="119"/>
        <v>98.4538130847874</v>
      </c>
      <c r="AU16" s="30">
        <f t="shared" si="119"/>
        <v>98.40864804676626</v>
      </c>
      <c r="AV16" s="92"/>
      <c r="AW16" s="92"/>
      <c r="AX16" s="93"/>
      <c r="AY16" s="92"/>
      <c r="AZ16" s="92"/>
      <c r="BA16" s="93"/>
      <c r="BB16" s="92"/>
      <c r="BC16" s="92"/>
      <c r="BD16" s="93"/>
      <c r="BE16" s="94"/>
      <c r="BF16" s="94"/>
      <c r="BG16" s="93"/>
      <c r="BH16" s="95"/>
      <c r="BI16" s="95"/>
      <c r="BJ16" s="95"/>
      <c r="BK16" s="92"/>
      <c r="BL16" s="92"/>
      <c r="BM16" s="93"/>
      <c r="BN16" s="92"/>
      <c r="BO16" s="92"/>
      <c r="BP16" s="93"/>
      <c r="BQ16" s="92"/>
      <c r="BR16" s="92"/>
      <c r="BS16" s="93"/>
      <c r="BT16" s="94"/>
      <c r="BU16" s="94"/>
      <c r="BV16" s="93"/>
      <c r="BW16" s="95"/>
      <c r="BX16" s="95"/>
      <c r="BY16" s="95"/>
      <c r="BZ16" s="93"/>
      <c r="CA16" s="93"/>
      <c r="CB16" s="93"/>
      <c r="CC16" s="93"/>
      <c r="CD16" s="93"/>
      <c r="CE16" s="93"/>
      <c r="CF16" s="93"/>
      <c r="CG16" s="93"/>
      <c r="CH16" s="93"/>
      <c r="CI16" s="94"/>
      <c r="CJ16" s="94"/>
      <c r="CK16" s="93"/>
      <c r="CL16" s="95"/>
      <c r="CM16" s="95"/>
      <c r="CN16" s="95"/>
      <c r="CO16" s="92"/>
      <c r="CP16" s="92"/>
      <c r="CQ16" s="93"/>
      <c r="CR16" s="92"/>
      <c r="CS16" s="92"/>
      <c r="CT16" s="93"/>
      <c r="CU16" s="92"/>
      <c r="CV16" s="92"/>
      <c r="CW16" s="93"/>
      <c r="CX16" s="94"/>
      <c r="CY16" s="94"/>
      <c r="CZ16" s="93"/>
      <c r="DA16" s="95"/>
      <c r="DB16" s="95"/>
      <c r="DC16" s="95"/>
      <c r="DD16" s="92"/>
      <c r="DE16" s="92"/>
      <c r="DF16" s="93"/>
      <c r="DG16" s="92"/>
      <c r="DH16" s="92"/>
      <c r="DI16" s="93"/>
      <c r="DJ16" s="92"/>
      <c r="DK16" s="92"/>
      <c r="DL16" s="96"/>
      <c r="DM16" s="94"/>
      <c r="DN16" s="94"/>
      <c r="DO16" s="93"/>
      <c r="DP16" s="95"/>
      <c r="DQ16" s="95"/>
      <c r="DR16" s="95"/>
      <c r="DS16" s="93"/>
      <c r="DT16" s="93"/>
      <c r="DU16" s="93"/>
      <c r="DV16" s="93"/>
      <c r="DW16" s="93"/>
      <c r="DX16" s="93"/>
      <c r="DY16" s="93"/>
      <c r="DZ16" s="93"/>
      <c r="EA16" s="93"/>
      <c r="EB16" s="94"/>
      <c r="EC16" s="94"/>
      <c r="ED16" s="93"/>
      <c r="EE16" s="95"/>
      <c r="EF16" s="95"/>
      <c r="EG16" s="95"/>
      <c r="EH16" s="10"/>
      <c r="EI16" s="10"/>
      <c r="EJ16" s="11">
        <f t="shared" si="74"/>
        <v>0</v>
      </c>
      <c r="EK16" s="10"/>
      <c r="EL16" s="10"/>
      <c r="EM16" s="11">
        <f>EK16+EL16</f>
        <v>0</v>
      </c>
      <c r="EN16" s="10"/>
      <c r="EO16" s="10"/>
      <c r="EP16" s="11">
        <f t="shared" si="76"/>
        <v>0</v>
      </c>
      <c r="EQ16" s="8">
        <f t="shared" si="77"/>
        <v>0</v>
      </c>
      <c r="ER16" s="8">
        <f t="shared" si="77"/>
        <v>0</v>
      </c>
      <c r="ES16" s="11">
        <f t="shared" si="139"/>
        <v>0</v>
      </c>
      <c r="ET16" s="30">
        <f t="shared" si="140"/>
      </c>
      <c r="EU16" s="30">
        <f t="shared" si="140"/>
      </c>
      <c r="EV16" s="30">
        <f t="shared" si="140"/>
      </c>
      <c r="EW16" s="10"/>
      <c r="EX16" s="10"/>
      <c r="EY16" s="11">
        <f t="shared" si="78"/>
        <v>0</v>
      </c>
      <c r="EZ16" s="10"/>
      <c r="FA16" s="10"/>
      <c r="FB16" s="11">
        <f t="shared" si="79"/>
        <v>0</v>
      </c>
      <c r="FC16" s="10"/>
      <c r="FD16" s="10"/>
      <c r="FE16" s="7">
        <f t="shared" si="141"/>
        <v>0</v>
      </c>
      <c r="FF16" s="8">
        <f t="shared" si="80"/>
        <v>0</v>
      </c>
      <c r="FG16" s="8">
        <f t="shared" si="80"/>
        <v>0</v>
      </c>
      <c r="FH16" s="11">
        <f t="shared" si="142"/>
        <v>0</v>
      </c>
      <c r="FI16" s="30">
        <f t="shared" si="143"/>
      </c>
      <c r="FJ16" s="30">
        <f t="shared" si="143"/>
      </c>
      <c r="FK16" s="30">
        <f t="shared" si="143"/>
      </c>
      <c r="FL16" s="11">
        <f t="shared" si="81"/>
        <v>0</v>
      </c>
      <c r="FM16" s="11">
        <f t="shared" si="81"/>
        <v>0</v>
      </c>
      <c r="FN16" s="11">
        <f t="shared" si="82"/>
        <v>0</v>
      </c>
      <c r="FO16" s="11">
        <f t="shared" si="83"/>
        <v>0</v>
      </c>
      <c r="FP16" s="11">
        <f t="shared" si="83"/>
        <v>0</v>
      </c>
      <c r="FQ16" s="11">
        <f t="shared" si="84"/>
        <v>0</v>
      </c>
      <c r="FR16" s="11">
        <f t="shared" si="144"/>
        <v>0</v>
      </c>
      <c r="FS16" s="11">
        <f t="shared" si="144"/>
        <v>0</v>
      </c>
      <c r="FT16" s="11">
        <f t="shared" si="85"/>
        <v>0</v>
      </c>
      <c r="FU16" s="8">
        <f t="shared" si="86"/>
        <v>0</v>
      </c>
      <c r="FV16" s="8">
        <f t="shared" si="86"/>
        <v>0</v>
      </c>
      <c r="FW16" s="11">
        <f t="shared" si="145"/>
        <v>0</v>
      </c>
      <c r="FX16" s="30">
        <f t="shared" si="146"/>
      </c>
      <c r="FY16" s="30">
        <f t="shared" si="146"/>
      </c>
      <c r="FZ16" s="30">
        <f t="shared" si="146"/>
      </c>
      <c r="GA16" s="21">
        <f t="shared" si="147"/>
        <v>15169</v>
      </c>
      <c r="GB16" s="21">
        <f t="shared" si="148"/>
        <v>27253</v>
      </c>
      <c r="GC16" s="21">
        <f t="shared" si="149"/>
        <v>42422</v>
      </c>
      <c r="GD16" s="47">
        <v>0</v>
      </c>
      <c r="GE16" s="47">
        <v>0</v>
      </c>
      <c r="GF16" s="21">
        <f t="shared" si="87"/>
        <v>0</v>
      </c>
      <c r="GG16" s="21">
        <v>3282</v>
      </c>
      <c r="GH16" s="21">
        <v>4215</v>
      </c>
      <c r="GI16" s="21">
        <f t="shared" si="88"/>
        <v>7497</v>
      </c>
      <c r="GJ16" s="57">
        <f t="shared" si="89"/>
        <v>0</v>
      </c>
      <c r="GK16" s="57">
        <f t="shared" si="90"/>
        <v>0</v>
      </c>
      <c r="GL16" s="57">
        <f t="shared" si="91"/>
        <v>0</v>
      </c>
      <c r="GM16" s="46">
        <f t="shared" si="92"/>
        <v>21.636231788516053</v>
      </c>
      <c r="GN16" s="46">
        <f t="shared" si="93"/>
        <v>15.466187208747662</v>
      </c>
      <c r="GO16" s="46">
        <f t="shared" si="94"/>
        <v>17.672434114374617</v>
      </c>
      <c r="GP16" s="98"/>
      <c r="GQ16" s="98"/>
      <c r="GR16" s="98"/>
      <c r="GS16" s="98"/>
      <c r="GT16" s="98"/>
      <c r="GU16" s="98"/>
      <c r="GV16" s="98"/>
      <c r="GW16" s="98"/>
      <c r="GX16" s="98"/>
      <c r="GY16" s="95"/>
      <c r="GZ16" s="95"/>
      <c r="HA16" s="95"/>
      <c r="HB16" s="103"/>
      <c r="HC16" s="103"/>
      <c r="HD16" s="103"/>
      <c r="HE16" s="98"/>
      <c r="HF16" s="98"/>
      <c r="HG16" s="98"/>
      <c r="HH16" s="98"/>
      <c r="HI16" s="98"/>
      <c r="HJ16" s="98"/>
      <c r="HK16" s="98"/>
      <c r="HL16" s="98"/>
      <c r="HM16" s="98"/>
      <c r="HN16" s="95"/>
      <c r="HO16" s="95"/>
      <c r="HP16" s="95"/>
      <c r="HQ16" s="103"/>
      <c r="HR16" s="103"/>
      <c r="HS16" s="103"/>
    </row>
    <row r="17" spans="1:227" ht="32.25" customHeight="1">
      <c r="A17" s="4">
        <v>8</v>
      </c>
      <c r="B17" s="6" t="s">
        <v>42</v>
      </c>
      <c r="C17" s="8">
        <v>133530</v>
      </c>
      <c r="D17" s="8">
        <v>127284</v>
      </c>
      <c r="E17" s="17">
        <f t="shared" si="154"/>
        <v>260814</v>
      </c>
      <c r="F17" s="8">
        <v>98445</v>
      </c>
      <c r="G17" s="8">
        <v>98748</v>
      </c>
      <c r="H17" s="9">
        <f t="shared" si="33"/>
        <v>197193</v>
      </c>
      <c r="I17" s="10">
        <v>4564</v>
      </c>
      <c r="J17" s="10">
        <v>5530</v>
      </c>
      <c r="K17" s="12">
        <f aca="true" t="shared" si="155" ref="K17:K50">I17+J17</f>
        <v>10094</v>
      </c>
      <c r="L17" s="8">
        <f t="shared" si="34"/>
        <v>103009</v>
      </c>
      <c r="M17" s="8">
        <f t="shared" si="34"/>
        <v>104278</v>
      </c>
      <c r="N17" s="8">
        <f t="shared" si="34"/>
        <v>207287</v>
      </c>
      <c r="O17" s="30">
        <f t="shared" si="32"/>
        <v>77.14296412791133</v>
      </c>
      <c r="P17" s="30">
        <f t="shared" si="32"/>
        <v>81.92545803086013</v>
      </c>
      <c r="Q17" s="30">
        <f t="shared" si="32"/>
        <v>79.47694525600619</v>
      </c>
      <c r="R17" s="8">
        <v>9982</v>
      </c>
      <c r="S17" s="8">
        <v>6258</v>
      </c>
      <c r="T17" s="9">
        <f t="shared" si="115"/>
        <v>16240</v>
      </c>
      <c r="U17" s="8">
        <v>3788</v>
      </c>
      <c r="V17" s="8">
        <v>2681</v>
      </c>
      <c r="W17" s="9">
        <f t="shared" si="35"/>
        <v>6469</v>
      </c>
      <c r="X17" s="7">
        <v>1297</v>
      </c>
      <c r="Y17" s="7">
        <v>1077</v>
      </c>
      <c r="Z17" s="11">
        <f t="shared" si="36"/>
        <v>2374</v>
      </c>
      <c r="AA17" s="8">
        <f aca="true" t="shared" si="156" ref="AA17:AA29">SUM(U17,X17)</f>
        <v>5085</v>
      </c>
      <c r="AB17" s="8">
        <f aca="true" t="shared" si="157" ref="AB17:AB29">SUM(V17,Y17)</f>
        <v>3758</v>
      </c>
      <c r="AC17" s="11">
        <f t="shared" si="116"/>
        <v>8843</v>
      </c>
      <c r="AD17" s="30">
        <f t="shared" si="117"/>
        <v>50.94169505109196</v>
      </c>
      <c r="AE17" s="30">
        <f t="shared" si="117"/>
        <v>60.05113454777884</v>
      </c>
      <c r="AF17" s="30">
        <f t="shared" si="117"/>
        <v>54.45197044334975</v>
      </c>
      <c r="AG17" s="11">
        <f t="shared" si="38"/>
        <v>143512</v>
      </c>
      <c r="AH17" s="11">
        <f t="shared" si="38"/>
        <v>133542</v>
      </c>
      <c r="AI17" s="11">
        <f t="shared" si="39"/>
        <v>277054</v>
      </c>
      <c r="AJ17" s="11">
        <f t="shared" si="40"/>
        <v>102233</v>
      </c>
      <c r="AK17" s="11">
        <f t="shared" si="40"/>
        <v>101429</v>
      </c>
      <c r="AL17" s="11">
        <f t="shared" si="41"/>
        <v>203662</v>
      </c>
      <c r="AM17" s="11">
        <f t="shared" si="150"/>
        <v>5861</v>
      </c>
      <c r="AN17" s="11">
        <f t="shared" si="150"/>
        <v>6607</v>
      </c>
      <c r="AO17" s="11">
        <f t="shared" si="42"/>
        <v>12468</v>
      </c>
      <c r="AP17" s="8">
        <f t="shared" si="43"/>
        <v>108094</v>
      </c>
      <c r="AQ17" s="8">
        <f t="shared" si="43"/>
        <v>108036</v>
      </c>
      <c r="AR17" s="11">
        <f t="shared" si="118"/>
        <v>216130</v>
      </c>
      <c r="AS17" s="30">
        <f t="shared" si="119"/>
        <v>75.32053068732928</v>
      </c>
      <c r="AT17" s="30">
        <f t="shared" si="119"/>
        <v>80.90039088825988</v>
      </c>
      <c r="AU17" s="30">
        <f t="shared" si="119"/>
        <v>78.01006302020545</v>
      </c>
      <c r="AV17" s="10">
        <v>19981</v>
      </c>
      <c r="AW17" s="10">
        <v>17742</v>
      </c>
      <c r="AX17" s="11">
        <f>AV17+AW17</f>
        <v>37723</v>
      </c>
      <c r="AY17" s="10">
        <v>13837</v>
      </c>
      <c r="AZ17" s="10">
        <v>13079</v>
      </c>
      <c r="BA17" s="11">
        <f>AY17+AZ17</f>
        <v>26916</v>
      </c>
      <c r="BB17" s="10">
        <v>778</v>
      </c>
      <c r="BC17" s="10">
        <v>913</v>
      </c>
      <c r="BD17" s="11">
        <f>BB17+BC17</f>
        <v>1691</v>
      </c>
      <c r="BE17" s="8">
        <f t="shared" si="46"/>
        <v>14615</v>
      </c>
      <c r="BF17" s="8">
        <f t="shared" si="46"/>
        <v>13992</v>
      </c>
      <c r="BG17" s="11">
        <f t="shared" si="120"/>
        <v>28607</v>
      </c>
      <c r="BH17" s="30">
        <f t="shared" si="121"/>
        <v>73.14448726289976</v>
      </c>
      <c r="BI17" s="30">
        <f t="shared" si="121"/>
        <v>78.86371322286101</v>
      </c>
      <c r="BJ17" s="30">
        <f t="shared" si="121"/>
        <v>75.834371603531</v>
      </c>
      <c r="BK17" s="10">
        <v>1438</v>
      </c>
      <c r="BL17" s="10">
        <v>827</v>
      </c>
      <c r="BM17" s="11">
        <f t="shared" si="47"/>
        <v>2265</v>
      </c>
      <c r="BN17" s="10">
        <v>545</v>
      </c>
      <c r="BO17" s="10">
        <v>343</v>
      </c>
      <c r="BP17" s="11">
        <f t="shared" si="48"/>
        <v>888</v>
      </c>
      <c r="BQ17" s="10">
        <v>222</v>
      </c>
      <c r="BR17" s="10">
        <v>159</v>
      </c>
      <c r="BS17" s="11">
        <f t="shared" si="49"/>
        <v>381</v>
      </c>
      <c r="BT17" s="8">
        <f t="shared" si="50"/>
        <v>767</v>
      </c>
      <c r="BU17" s="8">
        <f t="shared" si="50"/>
        <v>502</v>
      </c>
      <c r="BV17" s="11">
        <f t="shared" si="122"/>
        <v>1269</v>
      </c>
      <c r="BW17" s="30">
        <f t="shared" si="123"/>
        <v>53.33796940194715</v>
      </c>
      <c r="BX17" s="30">
        <f t="shared" si="124"/>
        <v>60.70133010882709</v>
      </c>
      <c r="BY17" s="30">
        <f t="shared" si="125"/>
        <v>56.026490066225165</v>
      </c>
      <c r="BZ17" s="11">
        <f t="shared" si="51"/>
        <v>21419</v>
      </c>
      <c r="CA17" s="11">
        <f t="shared" si="51"/>
        <v>18569</v>
      </c>
      <c r="CB17" s="11">
        <f t="shared" si="52"/>
        <v>39988</v>
      </c>
      <c r="CC17" s="11">
        <f t="shared" si="53"/>
        <v>14382</v>
      </c>
      <c r="CD17" s="11">
        <f t="shared" si="53"/>
        <v>13422</v>
      </c>
      <c r="CE17" s="11">
        <f t="shared" si="54"/>
        <v>27804</v>
      </c>
      <c r="CF17" s="11">
        <f t="shared" si="153"/>
        <v>1000</v>
      </c>
      <c r="CG17" s="11">
        <f t="shared" si="153"/>
        <v>1072</v>
      </c>
      <c r="CH17" s="11">
        <f t="shared" si="55"/>
        <v>2072</v>
      </c>
      <c r="CI17" s="8">
        <f t="shared" si="56"/>
        <v>15382</v>
      </c>
      <c r="CJ17" s="8">
        <f t="shared" si="56"/>
        <v>14494</v>
      </c>
      <c r="CK17" s="11">
        <f t="shared" si="126"/>
        <v>29876</v>
      </c>
      <c r="CL17" s="30">
        <f t="shared" si="127"/>
        <v>71.81474391895047</v>
      </c>
      <c r="CM17" s="30">
        <f t="shared" si="127"/>
        <v>78.05482255371857</v>
      </c>
      <c r="CN17" s="30">
        <f t="shared" si="127"/>
        <v>74.71241372411723</v>
      </c>
      <c r="CO17" s="10">
        <v>34997</v>
      </c>
      <c r="CP17" s="10">
        <v>34849</v>
      </c>
      <c r="CQ17" s="11">
        <f t="shared" si="57"/>
        <v>69846</v>
      </c>
      <c r="CR17" s="10">
        <v>24471</v>
      </c>
      <c r="CS17" s="10">
        <v>25030</v>
      </c>
      <c r="CT17" s="11">
        <f t="shared" si="58"/>
        <v>49501</v>
      </c>
      <c r="CU17" s="10">
        <v>1215</v>
      </c>
      <c r="CV17" s="10">
        <v>1547</v>
      </c>
      <c r="CW17" s="11">
        <f>CU17+CV17</f>
        <v>2762</v>
      </c>
      <c r="CX17" s="8">
        <f t="shared" si="59"/>
        <v>25686</v>
      </c>
      <c r="CY17" s="8">
        <f t="shared" si="60"/>
        <v>26577</v>
      </c>
      <c r="CZ17" s="11">
        <f t="shared" si="128"/>
        <v>52263</v>
      </c>
      <c r="DA17" s="30">
        <f t="shared" si="129"/>
        <v>73.39486241677858</v>
      </c>
      <c r="DB17" s="30">
        <f t="shared" si="130"/>
        <v>76.2633074119774</v>
      </c>
      <c r="DC17" s="30">
        <f t="shared" si="131"/>
        <v>74.82604587234773</v>
      </c>
      <c r="DD17" s="10">
        <v>2371</v>
      </c>
      <c r="DE17" s="10">
        <v>1800</v>
      </c>
      <c r="DF17" s="11">
        <f t="shared" si="61"/>
        <v>4171</v>
      </c>
      <c r="DG17" s="10">
        <v>845</v>
      </c>
      <c r="DH17" s="10">
        <v>708</v>
      </c>
      <c r="DI17" s="11">
        <f t="shared" si="62"/>
        <v>1553</v>
      </c>
      <c r="DJ17" s="7">
        <v>325</v>
      </c>
      <c r="DK17" s="7">
        <v>362</v>
      </c>
      <c r="DL17" s="7">
        <f t="shared" si="152"/>
        <v>687</v>
      </c>
      <c r="DM17" s="8">
        <f t="shared" si="63"/>
        <v>1170</v>
      </c>
      <c r="DN17" s="8">
        <f t="shared" si="64"/>
        <v>1070</v>
      </c>
      <c r="DO17" s="11">
        <f t="shared" si="132"/>
        <v>2240</v>
      </c>
      <c r="DP17" s="30">
        <f>IF(DD17=0,"",DM17/DD17*100)</f>
        <v>49.346267397722485</v>
      </c>
      <c r="DQ17" s="30">
        <f t="shared" si="133"/>
        <v>59.44444444444444</v>
      </c>
      <c r="DR17" s="30">
        <f t="shared" si="134"/>
        <v>53.70414768640613</v>
      </c>
      <c r="DS17" s="11">
        <f t="shared" si="65"/>
        <v>37368</v>
      </c>
      <c r="DT17" s="11">
        <f t="shared" si="66"/>
        <v>36649</v>
      </c>
      <c r="DU17" s="11">
        <f t="shared" si="67"/>
        <v>74017</v>
      </c>
      <c r="DV17" s="11">
        <f t="shared" si="68"/>
        <v>25316</v>
      </c>
      <c r="DW17" s="11">
        <f t="shared" si="69"/>
        <v>25738</v>
      </c>
      <c r="DX17" s="11">
        <f t="shared" si="70"/>
        <v>51054</v>
      </c>
      <c r="DY17" s="11">
        <f aca="true" t="shared" si="158" ref="DY17:DY41">CU17+DJ17</f>
        <v>1540</v>
      </c>
      <c r="DZ17" s="11">
        <f aca="true" t="shared" si="159" ref="DZ17:DZ41">CV17+DK17</f>
        <v>1909</v>
      </c>
      <c r="EA17" s="11">
        <f t="shared" si="71"/>
        <v>3449</v>
      </c>
      <c r="EB17" s="8">
        <f t="shared" si="72"/>
        <v>26856</v>
      </c>
      <c r="EC17" s="8">
        <f t="shared" si="73"/>
        <v>27647</v>
      </c>
      <c r="ED17" s="11">
        <f t="shared" si="135"/>
        <v>54503</v>
      </c>
      <c r="EE17" s="30">
        <f t="shared" si="136"/>
        <v>71.86897880539499</v>
      </c>
      <c r="EF17" s="30">
        <f t="shared" si="137"/>
        <v>75.43725613250021</v>
      </c>
      <c r="EG17" s="30">
        <f t="shared" si="138"/>
        <v>73.6357863734007</v>
      </c>
      <c r="EH17" s="10">
        <v>58166</v>
      </c>
      <c r="EI17" s="10">
        <v>46730</v>
      </c>
      <c r="EJ17" s="11">
        <f>EH17+EI17</f>
        <v>104896</v>
      </c>
      <c r="EK17" s="10">
        <v>44938</v>
      </c>
      <c r="EL17" s="10">
        <v>37865</v>
      </c>
      <c r="EM17" s="11">
        <f>EK17+EL17</f>
        <v>82803</v>
      </c>
      <c r="EN17" s="10">
        <v>1935</v>
      </c>
      <c r="EO17" s="10">
        <v>2196</v>
      </c>
      <c r="EP17" s="11">
        <f>EN17+EO17</f>
        <v>4131</v>
      </c>
      <c r="EQ17" s="8">
        <f t="shared" si="77"/>
        <v>46873</v>
      </c>
      <c r="ER17" s="8">
        <f t="shared" si="77"/>
        <v>40061</v>
      </c>
      <c r="ES17" s="11">
        <f t="shared" si="139"/>
        <v>86934</v>
      </c>
      <c r="ET17" s="30">
        <f t="shared" si="140"/>
        <v>80.584877763642</v>
      </c>
      <c r="EU17" s="30">
        <f t="shared" si="140"/>
        <v>85.72865396961267</v>
      </c>
      <c r="EV17" s="30">
        <f t="shared" si="140"/>
        <v>82.87637278828554</v>
      </c>
      <c r="EW17" s="10">
        <f>1995+2812</f>
        <v>4807</v>
      </c>
      <c r="EX17" s="10">
        <f>964+1702</f>
        <v>2666</v>
      </c>
      <c r="EY17" s="11">
        <f t="shared" si="78"/>
        <v>7473</v>
      </c>
      <c r="EZ17" s="10">
        <f>1105+1191</f>
        <v>2296</v>
      </c>
      <c r="FA17" s="10">
        <f>541+820</f>
        <v>1361</v>
      </c>
      <c r="FB17" s="11">
        <f t="shared" si="79"/>
        <v>3657</v>
      </c>
      <c r="FC17" s="7">
        <f>75+243</f>
        <v>318</v>
      </c>
      <c r="FD17" s="7">
        <f>75+193</f>
        <v>268</v>
      </c>
      <c r="FE17" s="7">
        <f t="shared" si="141"/>
        <v>586</v>
      </c>
      <c r="FF17" s="8">
        <f t="shared" si="80"/>
        <v>2614</v>
      </c>
      <c r="FG17" s="8">
        <f t="shared" si="80"/>
        <v>1629</v>
      </c>
      <c r="FH17" s="11">
        <f t="shared" si="142"/>
        <v>4243</v>
      </c>
      <c r="FI17" s="30">
        <f t="shared" si="143"/>
        <v>54.37903058040357</v>
      </c>
      <c r="FJ17" s="30">
        <f t="shared" si="143"/>
        <v>61.10277569392348</v>
      </c>
      <c r="FK17" s="30">
        <f t="shared" si="143"/>
        <v>56.77773317275525</v>
      </c>
      <c r="FL17" s="11">
        <f t="shared" si="81"/>
        <v>62973</v>
      </c>
      <c r="FM17" s="11">
        <f t="shared" si="81"/>
        <v>49396</v>
      </c>
      <c r="FN17" s="11">
        <f t="shared" si="82"/>
        <v>112369</v>
      </c>
      <c r="FO17" s="11">
        <f t="shared" si="83"/>
        <v>47234</v>
      </c>
      <c r="FP17" s="11">
        <f t="shared" si="83"/>
        <v>39226</v>
      </c>
      <c r="FQ17" s="11">
        <f t="shared" si="84"/>
        <v>86460</v>
      </c>
      <c r="FR17" s="11">
        <f t="shared" si="144"/>
        <v>2253</v>
      </c>
      <c r="FS17" s="11">
        <f t="shared" si="144"/>
        <v>2464</v>
      </c>
      <c r="FT17" s="11">
        <f t="shared" si="85"/>
        <v>4717</v>
      </c>
      <c r="FU17" s="8">
        <f t="shared" si="86"/>
        <v>49487</v>
      </c>
      <c r="FV17" s="8">
        <f t="shared" si="86"/>
        <v>41690</v>
      </c>
      <c r="FW17" s="11">
        <f t="shared" si="145"/>
        <v>91177</v>
      </c>
      <c r="FX17" s="30">
        <f t="shared" si="146"/>
        <v>78.58447271052673</v>
      </c>
      <c r="FY17" s="30">
        <f t="shared" si="146"/>
        <v>84.39954652198558</v>
      </c>
      <c r="FZ17" s="30">
        <f t="shared" si="146"/>
        <v>81.1407060666198</v>
      </c>
      <c r="GA17" s="21">
        <f t="shared" si="147"/>
        <v>108094</v>
      </c>
      <c r="GB17" s="21">
        <f t="shared" si="148"/>
        <v>108036</v>
      </c>
      <c r="GC17" s="21">
        <f t="shared" si="149"/>
        <v>216130</v>
      </c>
      <c r="GD17" s="47">
        <v>4476</v>
      </c>
      <c r="GE17" s="47">
        <v>4163</v>
      </c>
      <c r="GF17" s="21">
        <f t="shared" si="87"/>
        <v>8639</v>
      </c>
      <c r="GG17" s="21">
        <v>19382</v>
      </c>
      <c r="GH17" s="21">
        <v>20700</v>
      </c>
      <c r="GI17" s="21">
        <f t="shared" si="88"/>
        <v>40082</v>
      </c>
      <c r="GJ17" s="57">
        <f t="shared" si="89"/>
        <v>4.140840379669546</v>
      </c>
      <c r="GK17" s="57">
        <f t="shared" si="90"/>
        <v>3.8533451812358845</v>
      </c>
      <c r="GL17" s="57">
        <f t="shared" si="91"/>
        <v>3.9971313561282558</v>
      </c>
      <c r="GM17" s="46">
        <f t="shared" si="92"/>
        <v>17.93068995503913</v>
      </c>
      <c r="GN17" s="46">
        <f t="shared" si="93"/>
        <v>19.16027990669777</v>
      </c>
      <c r="GO17" s="46">
        <f t="shared" si="94"/>
        <v>18.545319946328597</v>
      </c>
      <c r="GP17" s="21">
        <f t="shared" si="95"/>
        <v>15382</v>
      </c>
      <c r="GQ17" s="21">
        <f t="shared" si="96"/>
        <v>14494</v>
      </c>
      <c r="GR17" s="21">
        <f t="shared" si="97"/>
        <v>29876</v>
      </c>
      <c r="GS17" s="47">
        <v>451</v>
      </c>
      <c r="GT17" s="47">
        <v>331</v>
      </c>
      <c r="GU17" s="21">
        <f t="shared" si="98"/>
        <v>782</v>
      </c>
      <c r="GV17" s="21">
        <v>2530</v>
      </c>
      <c r="GW17" s="21">
        <v>2451</v>
      </c>
      <c r="GX17" s="21">
        <f t="shared" si="99"/>
        <v>4981</v>
      </c>
      <c r="GY17" s="57">
        <f t="shared" si="100"/>
        <v>2.931998439734755</v>
      </c>
      <c r="GZ17" s="57">
        <f t="shared" si="101"/>
        <v>2.283703601490272</v>
      </c>
      <c r="HA17" s="57">
        <f t="shared" si="102"/>
        <v>2.617485607176329</v>
      </c>
      <c r="HB17" s="46">
        <f t="shared" si="103"/>
        <v>16.44779612534131</v>
      </c>
      <c r="HC17" s="46">
        <f t="shared" si="104"/>
        <v>16.910445701669655</v>
      </c>
      <c r="HD17" s="46">
        <f t="shared" si="105"/>
        <v>16.672245280492703</v>
      </c>
      <c r="HE17" s="21">
        <f t="shared" si="106"/>
        <v>26856</v>
      </c>
      <c r="HF17" s="21">
        <f t="shared" si="107"/>
        <v>27647</v>
      </c>
      <c r="HG17" s="21">
        <f t="shared" si="108"/>
        <v>54503</v>
      </c>
      <c r="HH17" s="47">
        <v>449</v>
      </c>
      <c r="HI17" s="47">
        <v>359</v>
      </c>
      <c r="HJ17" s="21">
        <f t="shared" si="109"/>
        <v>808</v>
      </c>
      <c r="HK17" s="21">
        <v>3391</v>
      </c>
      <c r="HL17" s="21">
        <v>3453</v>
      </c>
      <c r="HM17" s="21">
        <f t="shared" si="110"/>
        <v>6844</v>
      </c>
      <c r="HN17" s="57">
        <f t="shared" si="111"/>
        <v>1.671879654453381</v>
      </c>
      <c r="HO17" s="57">
        <f>HI17/HF17%</f>
        <v>1.2985134010923427</v>
      </c>
      <c r="HP17" s="57">
        <f t="shared" si="112"/>
        <v>1.4824872025393099</v>
      </c>
      <c r="HQ17" s="46">
        <f t="shared" si="113"/>
        <v>12.626601131963062</v>
      </c>
      <c r="HR17" s="46">
        <f>HL17/HF17%</f>
        <v>12.489601041704343</v>
      </c>
      <c r="HS17" s="46">
        <f t="shared" si="114"/>
        <v>12.557106948241382</v>
      </c>
    </row>
    <row r="18" spans="1:227" ht="32.25" customHeight="1">
      <c r="A18" s="4">
        <v>9</v>
      </c>
      <c r="B18" s="80" t="s">
        <v>102</v>
      </c>
      <c r="C18" s="94">
        <v>0</v>
      </c>
      <c r="D18" s="94">
        <v>0</v>
      </c>
      <c r="E18" s="102">
        <f t="shared" si="154"/>
        <v>0</v>
      </c>
      <c r="F18" s="94">
        <v>0</v>
      </c>
      <c r="G18" s="94">
        <v>0</v>
      </c>
      <c r="H18" s="98">
        <f t="shared" si="33"/>
        <v>0</v>
      </c>
      <c r="I18" s="92">
        <v>0</v>
      </c>
      <c r="J18" s="92">
        <v>0</v>
      </c>
      <c r="K18" s="100">
        <f t="shared" si="155"/>
        <v>0</v>
      </c>
      <c r="L18" s="94"/>
      <c r="M18" s="94">
        <f t="shared" si="34"/>
        <v>0</v>
      </c>
      <c r="N18" s="94">
        <f t="shared" si="34"/>
        <v>0</v>
      </c>
      <c r="O18" s="95"/>
      <c r="P18" s="95" t="e">
        <f t="shared" si="32"/>
        <v>#DIV/0!</v>
      </c>
      <c r="Q18" s="95" t="e">
        <f t="shared" si="32"/>
        <v>#DIV/0!</v>
      </c>
      <c r="R18" s="8">
        <v>39</v>
      </c>
      <c r="S18" s="8">
        <v>36</v>
      </c>
      <c r="T18" s="9">
        <f t="shared" si="115"/>
        <v>75</v>
      </c>
      <c r="U18" s="8">
        <v>32</v>
      </c>
      <c r="V18" s="76">
        <v>32</v>
      </c>
      <c r="W18" s="9">
        <f t="shared" si="35"/>
        <v>64</v>
      </c>
      <c r="X18" s="96"/>
      <c r="Y18" s="96"/>
      <c r="Z18" s="93">
        <f t="shared" si="36"/>
        <v>0</v>
      </c>
      <c r="AA18" s="8">
        <f t="shared" si="156"/>
        <v>32</v>
      </c>
      <c r="AB18" s="8">
        <f t="shared" si="157"/>
        <v>32</v>
      </c>
      <c r="AC18" s="11">
        <f>SUM(AA18,AB18)</f>
        <v>64</v>
      </c>
      <c r="AD18" s="30">
        <f aca="true" t="shared" si="160" ref="AD18:AF19">IF(R18=0,"",AA18/R18*100)</f>
        <v>82.05128205128204</v>
      </c>
      <c r="AE18" s="30">
        <f t="shared" si="160"/>
        <v>88.88888888888889</v>
      </c>
      <c r="AF18" s="30">
        <f t="shared" si="160"/>
        <v>85.33333333333334</v>
      </c>
      <c r="AG18" s="11">
        <f>C18+R18</f>
        <v>39</v>
      </c>
      <c r="AH18" s="11">
        <f>D18+S18</f>
        <v>36</v>
      </c>
      <c r="AI18" s="11">
        <f>AG18+AH18</f>
        <v>75</v>
      </c>
      <c r="AJ18" s="11">
        <f>F18+U18</f>
        <v>32</v>
      </c>
      <c r="AK18" s="11">
        <f>G18+V18</f>
        <v>32</v>
      </c>
      <c r="AL18" s="11">
        <f>AJ18+AK18</f>
        <v>64</v>
      </c>
      <c r="AM18" s="93">
        <f>I18+X18</f>
        <v>0</v>
      </c>
      <c r="AN18" s="93">
        <f>J18+Y18</f>
        <v>0</v>
      </c>
      <c r="AO18" s="93">
        <f>AM18+AN18</f>
        <v>0</v>
      </c>
      <c r="AP18" s="8">
        <f>SUM(AJ18,AM18)</f>
        <v>32</v>
      </c>
      <c r="AQ18" s="8">
        <f>SUM(AK18,AN18)</f>
        <v>32</v>
      </c>
      <c r="AR18" s="11">
        <f>SUM(AP18,AQ18)</f>
        <v>64</v>
      </c>
      <c r="AS18" s="30">
        <f>IF(AG18=0,"",AP18/AG18*100)</f>
        <v>82.05128205128204</v>
      </c>
      <c r="AT18" s="30">
        <f>IF(AH18=0,"",AQ18/AH18*100)</f>
        <v>88.88888888888889</v>
      </c>
      <c r="AU18" s="30">
        <f>IF(AI18=0,"",AR18/AI18*100)</f>
        <v>85.33333333333334</v>
      </c>
      <c r="AV18" s="92"/>
      <c r="AW18" s="92"/>
      <c r="AX18" s="93"/>
      <c r="AY18" s="92"/>
      <c r="AZ18" s="92"/>
      <c r="BA18" s="93"/>
      <c r="BB18" s="92"/>
      <c r="BC18" s="92"/>
      <c r="BD18" s="93"/>
      <c r="BE18" s="94"/>
      <c r="BF18" s="94"/>
      <c r="BG18" s="93"/>
      <c r="BH18" s="95"/>
      <c r="BI18" s="95"/>
      <c r="BJ18" s="95"/>
      <c r="BK18" s="92"/>
      <c r="BL18" s="92"/>
      <c r="BM18" s="93"/>
      <c r="BN18" s="92"/>
      <c r="BO18" s="92"/>
      <c r="BP18" s="93"/>
      <c r="BQ18" s="92"/>
      <c r="BR18" s="92"/>
      <c r="BS18" s="93"/>
      <c r="BT18" s="94"/>
      <c r="BU18" s="94"/>
      <c r="BV18" s="93"/>
      <c r="BW18" s="95"/>
      <c r="BX18" s="95"/>
      <c r="BY18" s="95"/>
      <c r="BZ18" s="93"/>
      <c r="CA18" s="93"/>
      <c r="CB18" s="93"/>
      <c r="CC18" s="93"/>
      <c r="CD18" s="93"/>
      <c r="CE18" s="93"/>
      <c r="CF18" s="93"/>
      <c r="CG18" s="93"/>
      <c r="CH18" s="93"/>
      <c r="CI18" s="94"/>
      <c r="CJ18" s="94"/>
      <c r="CK18" s="93"/>
      <c r="CL18" s="95"/>
      <c r="CM18" s="95"/>
      <c r="CN18" s="95"/>
      <c r="CO18" s="92"/>
      <c r="CP18" s="92"/>
      <c r="CQ18" s="93"/>
      <c r="CR18" s="92"/>
      <c r="CS18" s="92"/>
      <c r="CT18" s="93"/>
      <c r="CU18" s="92"/>
      <c r="CV18" s="92"/>
      <c r="CW18" s="93"/>
      <c r="CX18" s="94">
        <f>SUM(CR18,CU18)</f>
        <v>0</v>
      </c>
      <c r="CY18" s="94">
        <f>SUM(CS18,CV18)</f>
        <v>0</v>
      </c>
      <c r="CZ18" s="93">
        <f>SUM(CX18,CY18)</f>
        <v>0</v>
      </c>
      <c r="DA18" s="95"/>
      <c r="DB18" s="95"/>
      <c r="DC18" s="95"/>
      <c r="DD18" s="92"/>
      <c r="DE18" s="92"/>
      <c r="DF18" s="93"/>
      <c r="DG18" s="92"/>
      <c r="DH18" s="92"/>
      <c r="DI18" s="93"/>
      <c r="DJ18" s="96"/>
      <c r="DK18" s="96"/>
      <c r="DL18" s="96"/>
      <c r="DM18" s="94"/>
      <c r="DN18" s="94"/>
      <c r="DO18" s="93"/>
      <c r="DP18" s="95"/>
      <c r="DQ18" s="95"/>
      <c r="DR18" s="95"/>
      <c r="DS18" s="93"/>
      <c r="DT18" s="93"/>
      <c r="DU18" s="93"/>
      <c r="DV18" s="93"/>
      <c r="DW18" s="93"/>
      <c r="DX18" s="93"/>
      <c r="DY18" s="93"/>
      <c r="DZ18" s="93"/>
      <c r="EA18" s="93"/>
      <c r="EB18" s="94"/>
      <c r="EC18" s="94"/>
      <c r="ED18" s="93"/>
      <c r="EE18" s="95"/>
      <c r="EF18" s="95"/>
      <c r="EG18" s="95"/>
      <c r="EH18" s="10"/>
      <c r="EI18" s="10"/>
      <c r="EJ18" s="11"/>
      <c r="EK18" s="10"/>
      <c r="EL18" s="10"/>
      <c r="EM18" s="11"/>
      <c r="EN18" s="10"/>
      <c r="EO18" s="10"/>
      <c r="EP18" s="11"/>
      <c r="EQ18" s="8"/>
      <c r="ER18" s="8"/>
      <c r="ES18" s="11"/>
      <c r="ET18" s="30"/>
      <c r="EU18" s="30"/>
      <c r="EV18" s="30"/>
      <c r="EW18" s="10"/>
      <c r="EX18" s="10"/>
      <c r="EY18" s="11"/>
      <c r="EZ18" s="10"/>
      <c r="FA18" s="10"/>
      <c r="FB18" s="11"/>
      <c r="FC18" s="7"/>
      <c r="FD18" s="7"/>
      <c r="FE18" s="7"/>
      <c r="FF18" s="8"/>
      <c r="FG18" s="8"/>
      <c r="FH18" s="11"/>
      <c r="FI18" s="30"/>
      <c r="FJ18" s="30"/>
      <c r="FK18" s="30"/>
      <c r="FL18" s="11"/>
      <c r="FM18" s="11"/>
      <c r="FN18" s="11"/>
      <c r="FO18" s="11"/>
      <c r="FP18" s="11"/>
      <c r="FQ18" s="11"/>
      <c r="FR18" s="11"/>
      <c r="FS18" s="11"/>
      <c r="FT18" s="11"/>
      <c r="FU18" s="8"/>
      <c r="FV18" s="8"/>
      <c r="FW18" s="11"/>
      <c r="FX18" s="30"/>
      <c r="FY18" s="30"/>
      <c r="FZ18" s="30"/>
      <c r="GA18" s="21">
        <f>AP18</f>
        <v>32</v>
      </c>
      <c r="GB18" s="21">
        <f>AQ18</f>
        <v>32</v>
      </c>
      <c r="GC18" s="21">
        <f>AR18</f>
        <v>64</v>
      </c>
      <c r="GD18" s="47">
        <v>0</v>
      </c>
      <c r="GE18" s="47">
        <v>0</v>
      </c>
      <c r="GF18" s="21">
        <f t="shared" si="87"/>
        <v>0</v>
      </c>
      <c r="GG18" s="21">
        <v>4</v>
      </c>
      <c r="GH18" s="21">
        <v>5</v>
      </c>
      <c r="GI18" s="21">
        <f t="shared" si="88"/>
        <v>9</v>
      </c>
      <c r="GJ18" s="57">
        <f>GD18/GA18%</f>
        <v>0</v>
      </c>
      <c r="GK18" s="57">
        <f>GE18/GB18%</f>
        <v>0</v>
      </c>
      <c r="GL18" s="57">
        <f>GF18/GC18%</f>
        <v>0</v>
      </c>
      <c r="GM18" s="46">
        <f>GG18/GA18%</f>
        <v>12.5</v>
      </c>
      <c r="GN18" s="46">
        <f>GH18/GB18%</f>
        <v>15.625</v>
      </c>
      <c r="GO18" s="46">
        <f>GI18/GC18%</f>
        <v>14.0625</v>
      </c>
      <c r="GP18" s="98"/>
      <c r="GQ18" s="98"/>
      <c r="GR18" s="98"/>
      <c r="GS18" s="98"/>
      <c r="GT18" s="98"/>
      <c r="GU18" s="98"/>
      <c r="GV18" s="98"/>
      <c r="GW18" s="98"/>
      <c r="GX18" s="98"/>
      <c r="GY18" s="95"/>
      <c r="GZ18" s="95"/>
      <c r="HA18" s="95"/>
      <c r="HB18" s="103"/>
      <c r="HC18" s="103"/>
      <c r="HD18" s="103"/>
      <c r="HE18" s="98"/>
      <c r="HF18" s="98"/>
      <c r="HG18" s="98"/>
      <c r="HH18" s="98"/>
      <c r="HI18" s="98"/>
      <c r="HJ18" s="98"/>
      <c r="HK18" s="98"/>
      <c r="HL18" s="98"/>
      <c r="HM18" s="98"/>
      <c r="HN18" s="95"/>
      <c r="HO18" s="95"/>
      <c r="HP18" s="95"/>
      <c r="HQ18" s="103"/>
      <c r="HR18" s="103"/>
      <c r="HS18" s="103"/>
    </row>
    <row r="19" spans="1:227" ht="30.75" customHeight="1">
      <c r="A19" s="4">
        <v>10</v>
      </c>
      <c r="B19" s="6" t="s">
        <v>43</v>
      </c>
      <c r="C19" s="8">
        <v>226</v>
      </c>
      <c r="D19" s="8">
        <v>175</v>
      </c>
      <c r="E19" s="17">
        <f t="shared" si="154"/>
        <v>401</v>
      </c>
      <c r="F19" s="8">
        <v>225</v>
      </c>
      <c r="G19" s="8">
        <v>175</v>
      </c>
      <c r="H19" s="9">
        <f t="shared" si="33"/>
        <v>400</v>
      </c>
      <c r="I19" s="10">
        <v>1</v>
      </c>
      <c r="J19" s="10">
        <v>0</v>
      </c>
      <c r="K19" s="12">
        <f t="shared" si="155"/>
        <v>1</v>
      </c>
      <c r="L19" s="8">
        <f>SUM(F19,I19)</f>
        <v>226</v>
      </c>
      <c r="M19" s="8">
        <f>SUM(G19,J19)</f>
        <v>175</v>
      </c>
      <c r="N19" s="8">
        <f>SUM(H19,K19)</f>
        <v>401</v>
      </c>
      <c r="O19" s="30">
        <f>L19/C19*100</f>
        <v>100</v>
      </c>
      <c r="P19" s="30">
        <f>M19/D19*100</f>
        <v>100</v>
      </c>
      <c r="Q19" s="30">
        <f>N19/E19*100</f>
        <v>100</v>
      </c>
      <c r="R19" s="8">
        <v>24</v>
      </c>
      <c r="S19" s="8">
        <v>14</v>
      </c>
      <c r="T19" s="9">
        <f t="shared" si="115"/>
        <v>38</v>
      </c>
      <c r="U19" s="8">
        <v>24</v>
      </c>
      <c r="V19" s="8">
        <v>14</v>
      </c>
      <c r="W19" s="9">
        <f t="shared" si="35"/>
        <v>38</v>
      </c>
      <c r="X19" s="92"/>
      <c r="Y19" s="92"/>
      <c r="Z19" s="93"/>
      <c r="AA19" s="8">
        <f t="shared" si="156"/>
        <v>24</v>
      </c>
      <c r="AB19" s="8">
        <f t="shared" si="157"/>
        <v>14</v>
      </c>
      <c r="AC19" s="11">
        <f t="shared" si="116"/>
        <v>38</v>
      </c>
      <c r="AD19" s="30">
        <f t="shared" si="160"/>
        <v>100</v>
      </c>
      <c r="AE19" s="30">
        <f t="shared" si="160"/>
        <v>100</v>
      </c>
      <c r="AF19" s="30">
        <f t="shared" si="160"/>
        <v>100</v>
      </c>
      <c r="AG19" s="11">
        <f t="shared" si="38"/>
        <v>250</v>
      </c>
      <c r="AH19" s="11">
        <f t="shared" si="38"/>
        <v>189</v>
      </c>
      <c r="AI19" s="11">
        <f t="shared" si="39"/>
        <v>439</v>
      </c>
      <c r="AJ19" s="11">
        <f t="shared" si="40"/>
        <v>249</v>
      </c>
      <c r="AK19" s="11">
        <f t="shared" si="40"/>
        <v>189</v>
      </c>
      <c r="AL19" s="11">
        <f t="shared" si="41"/>
        <v>438</v>
      </c>
      <c r="AM19" s="11">
        <f t="shared" si="150"/>
        <v>1</v>
      </c>
      <c r="AN19" s="11">
        <f t="shared" si="150"/>
        <v>0</v>
      </c>
      <c r="AO19" s="11">
        <f t="shared" si="42"/>
        <v>1</v>
      </c>
      <c r="AP19" s="8">
        <f t="shared" si="43"/>
        <v>250</v>
      </c>
      <c r="AQ19" s="8">
        <f t="shared" si="43"/>
        <v>189</v>
      </c>
      <c r="AR19" s="11">
        <f t="shared" si="118"/>
        <v>439</v>
      </c>
      <c r="AS19" s="30">
        <f t="shared" si="119"/>
        <v>100</v>
      </c>
      <c r="AT19" s="30">
        <f t="shared" si="119"/>
        <v>100</v>
      </c>
      <c r="AU19" s="30">
        <f t="shared" si="119"/>
        <v>100</v>
      </c>
      <c r="AV19" s="74">
        <v>11</v>
      </c>
      <c r="AW19" s="74">
        <v>26</v>
      </c>
      <c r="AX19" s="11">
        <f>AV19+AW19</f>
        <v>37</v>
      </c>
      <c r="AY19" s="74">
        <v>11</v>
      </c>
      <c r="AZ19" s="74">
        <v>26</v>
      </c>
      <c r="BA19" s="11">
        <f>AY19+AZ19</f>
        <v>37</v>
      </c>
      <c r="BB19" s="96"/>
      <c r="BC19" s="96"/>
      <c r="BD19" s="93"/>
      <c r="BE19" s="8">
        <f t="shared" si="46"/>
        <v>11</v>
      </c>
      <c r="BF19" s="8">
        <f t="shared" si="46"/>
        <v>26</v>
      </c>
      <c r="BG19" s="11">
        <f t="shared" si="120"/>
        <v>37</v>
      </c>
      <c r="BH19" s="30">
        <f t="shared" si="121"/>
        <v>100</v>
      </c>
      <c r="BI19" s="30">
        <f t="shared" si="121"/>
        <v>100</v>
      </c>
      <c r="BJ19" s="30">
        <f t="shared" si="121"/>
        <v>100</v>
      </c>
      <c r="BK19" s="10">
        <v>3</v>
      </c>
      <c r="BL19" s="10">
        <v>1</v>
      </c>
      <c r="BM19" s="11">
        <f t="shared" si="47"/>
        <v>4</v>
      </c>
      <c r="BN19" s="10">
        <v>3</v>
      </c>
      <c r="BO19" s="10">
        <v>1</v>
      </c>
      <c r="BP19" s="11">
        <f t="shared" si="48"/>
        <v>4</v>
      </c>
      <c r="BQ19" s="10">
        <v>0</v>
      </c>
      <c r="BR19" s="10">
        <v>0</v>
      </c>
      <c r="BS19" s="11">
        <v>0</v>
      </c>
      <c r="BT19" s="8">
        <f t="shared" si="50"/>
        <v>3</v>
      </c>
      <c r="BU19" s="8">
        <f t="shared" si="50"/>
        <v>1</v>
      </c>
      <c r="BV19" s="11">
        <f t="shared" si="122"/>
        <v>4</v>
      </c>
      <c r="BW19" s="30">
        <f t="shared" si="123"/>
        <v>100</v>
      </c>
      <c r="BX19" s="30">
        <f t="shared" si="124"/>
        <v>100</v>
      </c>
      <c r="BY19" s="30">
        <f t="shared" si="125"/>
        <v>100</v>
      </c>
      <c r="BZ19" s="11">
        <f t="shared" si="51"/>
        <v>14</v>
      </c>
      <c r="CA19" s="11">
        <f t="shared" si="51"/>
        <v>27</v>
      </c>
      <c r="CB19" s="11">
        <f t="shared" si="52"/>
        <v>41</v>
      </c>
      <c r="CC19" s="11">
        <f t="shared" si="53"/>
        <v>14</v>
      </c>
      <c r="CD19" s="11">
        <f t="shared" si="53"/>
        <v>27</v>
      </c>
      <c r="CE19" s="11">
        <f t="shared" si="54"/>
        <v>41</v>
      </c>
      <c r="CF19" s="11">
        <f t="shared" si="153"/>
        <v>0</v>
      </c>
      <c r="CG19" s="11">
        <f t="shared" si="153"/>
        <v>0</v>
      </c>
      <c r="CH19" s="11">
        <f t="shared" si="55"/>
        <v>0</v>
      </c>
      <c r="CI19" s="8">
        <f t="shared" si="56"/>
        <v>14</v>
      </c>
      <c r="CJ19" s="8">
        <f t="shared" si="56"/>
        <v>27</v>
      </c>
      <c r="CK19" s="11">
        <f t="shared" si="126"/>
        <v>41</v>
      </c>
      <c r="CL19" s="30">
        <f t="shared" si="127"/>
        <v>100</v>
      </c>
      <c r="CM19" s="30">
        <f t="shared" si="127"/>
        <v>100</v>
      </c>
      <c r="CN19" s="30">
        <f t="shared" si="127"/>
        <v>100</v>
      </c>
      <c r="CO19" s="10">
        <v>95</v>
      </c>
      <c r="CP19" s="10">
        <v>78</v>
      </c>
      <c r="CQ19" s="11">
        <f>CO19+CP19</f>
        <v>173</v>
      </c>
      <c r="CR19" s="10">
        <v>95</v>
      </c>
      <c r="CS19" s="10">
        <v>78</v>
      </c>
      <c r="CT19" s="11">
        <f>CR19+CS19</f>
        <v>173</v>
      </c>
      <c r="CU19" s="92"/>
      <c r="CV19" s="92"/>
      <c r="CW19" s="93"/>
      <c r="CX19" s="8">
        <f>SUM(CR19,CU19)</f>
        <v>95</v>
      </c>
      <c r="CY19" s="8">
        <f>SUM(CS19,CV19)</f>
        <v>78</v>
      </c>
      <c r="CZ19" s="11">
        <f>SUM(CX19,CY19)</f>
        <v>173</v>
      </c>
      <c r="DA19" s="30">
        <f t="shared" si="129"/>
        <v>100</v>
      </c>
      <c r="DB19" s="30">
        <f t="shared" si="130"/>
        <v>100</v>
      </c>
      <c r="DC19" s="30">
        <f t="shared" si="131"/>
        <v>100</v>
      </c>
      <c r="DD19" s="10">
        <v>4</v>
      </c>
      <c r="DE19" s="10">
        <v>5</v>
      </c>
      <c r="DF19" s="11">
        <f t="shared" si="61"/>
        <v>9</v>
      </c>
      <c r="DG19" s="10">
        <v>4</v>
      </c>
      <c r="DH19" s="10">
        <v>5</v>
      </c>
      <c r="DI19" s="11">
        <f t="shared" si="62"/>
        <v>9</v>
      </c>
      <c r="DJ19" s="96"/>
      <c r="DK19" s="96"/>
      <c r="DL19" s="96"/>
      <c r="DM19" s="8">
        <f t="shared" si="63"/>
        <v>4</v>
      </c>
      <c r="DN19" s="8">
        <f t="shared" si="64"/>
        <v>5</v>
      </c>
      <c r="DO19" s="11">
        <f t="shared" si="132"/>
        <v>9</v>
      </c>
      <c r="DP19" s="30">
        <f aca="true" t="shared" si="161" ref="DP19:DP40">IF(DD19=0,"",DM19/DD19*100)</f>
        <v>100</v>
      </c>
      <c r="DQ19" s="30">
        <f t="shared" si="133"/>
        <v>100</v>
      </c>
      <c r="DR19" s="30">
        <f t="shared" si="134"/>
        <v>100</v>
      </c>
      <c r="DS19" s="11">
        <f t="shared" si="65"/>
        <v>99</v>
      </c>
      <c r="DT19" s="11">
        <f t="shared" si="66"/>
        <v>83</v>
      </c>
      <c r="DU19" s="11">
        <f t="shared" si="67"/>
        <v>182</v>
      </c>
      <c r="DV19" s="11">
        <f t="shared" si="68"/>
        <v>99</v>
      </c>
      <c r="DW19" s="11">
        <f t="shared" si="69"/>
        <v>83</v>
      </c>
      <c r="DX19" s="11">
        <f t="shared" si="70"/>
        <v>182</v>
      </c>
      <c r="DY19" s="93"/>
      <c r="DZ19" s="93"/>
      <c r="EA19" s="93"/>
      <c r="EB19" s="8">
        <f t="shared" si="72"/>
        <v>99</v>
      </c>
      <c r="EC19" s="8">
        <f t="shared" si="73"/>
        <v>83</v>
      </c>
      <c r="ED19" s="11">
        <f t="shared" si="135"/>
        <v>182</v>
      </c>
      <c r="EE19" s="30">
        <f t="shared" si="136"/>
        <v>100</v>
      </c>
      <c r="EF19" s="30">
        <f t="shared" si="137"/>
        <v>100</v>
      </c>
      <c r="EG19" s="30">
        <f t="shared" si="138"/>
        <v>100</v>
      </c>
      <c r="EH19" s="10">
        <v>15</v>
      </c>
      <c r="EI19" s="10">
        <v>11</v>
      </c>
      <c r="EJ19" s="11">
        <f>EH19+EI19</f>
        <v>26</v>
      </c>
      <c r="EK19" s="10">
        <v>12</v>
      </c>
      <c r="EL19" s="10">
        <v>6</v>
      </c>
      <c r="EM19" s="11">
        <f>EK19+EL19</f>
        <v>18</v>
      </c>
      <c r="EN19" s="10">
        <v>3</v>
      </c>
      <c r="EO19" s="10">
        <v>2</v>
      </c>
      <c r="EP19" s="11">
        <f>EN19+EO19</f>
        <v>5</v>
      </c>
      <c r="EQ19" s="8">
        <f t="shared" si="77"/>
        <v>15</v>
      </c>
      <c r="ER19" s="8">
        <f t="shared" si="77"/>
        <v>8</v>
      </c>
      <c r="ES19" s="11">
        <f t="shared" si="139"/>
        <v>23</v>
      </c>
      <c r="ET19" s="30">
        <f t="shared" si="140"/>
        <v>100</v>
      </c>
      <c r="EU19" s="30">
        <f t="shared" si="140"/>
        <v>72.72727272727273</v>
      </c>
      <c r="EV19" s="30">
        <f t="shared" si="140"/>
        <v>88.46153846153845</v>
      </c>
      <c r="EW19" s="10">
        <v>12</v>
      </c>
      <c r="EX19" s="10">
        <v>7</v>
      </c>
      <c r="EY19" s="11">
        <f t="shared" si="78"/>
        <v>19</v>
      </c>
      <c r="EZ19" s="10">
        <v>10</v>
      </c>
      <c r="FA19" s="10">
        <v>6</v>
      </c>
      <c r="FB19" s="11">
        <f t="shared" si="79"/>
        <v>16</v>
      </c>
      <c r="FC19" s="7"/>
      <c r="FD19" s="7"/>
      <c r="FE19" s="7">
        <f t="shared" si="141"/>
        <v>0</v>
      </c>
      <c r="FF19" s="8">
        <f t="shared" si="80"/>
        <v>10</v>
      </c>
      <c r="FG19" s="8">
        <f t="shared" si="80"/>
        <v>6</v>
      </c>
      <c r="FH19" s="11">
        <f t="shared" si="142"/>
        <v>16</v>
      </c>
      <c r="FI19" s="30">
        <f t="shared" si="143"/>
        <v>83.33333333333334</v>
      </c>
      <c r="FJ19" s="30">
        <f t="shared" si="143"/>
        <v>85.71428571428571</v>
      </c>
      <c r="FK19" s="30">
        <f t="shared" si="143"/>
        <v>84.21052631578947</v>
      </c>
      <c r="FL19" s="11">
        <f t="shared" si="81"/>
        <v>27</v>
      </c>
      <c r="FM19" s="11">
        <f t="shared" si="81"/>
        <v>18</v>
      </c>
      <c r="FN19" s="11">
        <f t="shared" si="82"/>
        <v>45</v>
      </c>
      <c r="FO19" s="11">
        <f t="shared" si="83"/>
        <v>22</v>
      </c>
      <c r="FP19" s="11">
        <f t="shared" si="83"/>
        <v>12</v>
      </c>
      <c r="FQ19" s="11">
        <f t="shared" si="84"/>
        <v>34</v>
      </c>
      <c r="FR19" s="11">
        <f t="shared" si="144"/>
        <v>3</v>
      </c>
      <c r="FS19" s="11">
        <f t="shared" si="144"/>
        <v>2</v>
      </c>
      <c r="FT19" s="11">
        <f t="shared" si="85"/>
        <v>5</v>
      </c>
      <c r="FU19" s="8">
        <f t="shared" si="86"/>
        <v>25</v>
      </c>
      <c r="FV19" s="8">
        <f t="shared" si="86"/>
        <v>14</v>
      </c>
      <c r="FW19" s="11">
        <f t="shared" si="145"/>
        <v>39</v>
      </c>
      <c r="FX19" s="30">
        <f t="shared" si="146"/>
        <v>92.5925925925926</v>
      </c>
      <c r="FY19" s="30">
        <f t="shared" si="146"/>
        <v>77.77777777777779</v>
      </c>
      <c r="FZ19" s="30">
        <f t="shared" si="146"/>
        <v>86.66666666666667</v>
      </c>
      <c r="GA19" s="21">
        <f t="shared" si="147"/>
        <v>250</v>
      </c>
      <c r="GB19" s="21">
        <f t="shared" si="148"/>
        <v>189</v>
      </c>
      <c r="GC19" s="21">
        <f t="shared" si="149"/>
        <v>439</v>
      </c>
      <c r="GD19" s="47">
        <v>9</v>
      </c>
      <c r="GE19" s="47">
        <v>7</v>
      </c>
      <c r="GF19" s="21">
        <f t="shared" si="87"/>
        <v>16</v>
      </c>
      <c r="GG19" s="21">
        <v>150</v>
      </c>
      <c r="GH19" s="21">
        <v>138</v>
      </c>
      <c r="GI19" s="21">
        <f t="shared" si="88"/>
        <v>288</v>
      </c>
      <c r="GJ19" s="57">
        <f t="shared" si="89"/>
        <v>3.6</v>
      </c>
      <c r="GK19" s="57">
        <f t="shared" si="90"/>
        <v>3.7037037037037037</v>
      </c>
      <c r="GL19" s="57">
        <f t="shared" si="91"/>
        <v>3.6446469248291575</v>
      </c>
      <c r="GM19" s="46">
        <f t="shared" si="92"/>
        <v>60</v>
      </c>
      <c r="GN19" s="46">
        <f t="shared" si="93"/>
        <v>73.01587301587303</v>
      </c>
      <c r="GO19" s="46">
        <f t="shared" si="94"/>
        <v>65.60364464692483</v>
      </c>
      <c r="GP19" s="21">
        <f t="shared" si="95"/>
        <v>14</v>
      </c>
      <c r="GQ19" s="21">
        <f t="shared" si="96"/>
        <v>27</v>
      </c>
      <c r="GR19" s="21">
        <f t="shared" si="97"/>
        <v>41</v>
      </c>
      <c r="GS19" s="47">
        <v>0</v>
      </c>
      <c r="GT19" s="47">
        <v>0</v>
      </c>
      <c r="GU19" s="21">
        <f t="shared" si="98"/>
        <v>0</v>
      </c>
      <c r="GV19" s="21">
        <v>0</v>
      </c>
      <c r="GW19" s="21">
        <v>1</v>
      </c>
      <c r="GX19" s="21">
        <f t="shared" si="99"/>
        <v>1</v>
      </c>
      <c r="GY19" s="57">
        <f t="shared" si="100"/>
        <v>0</v>
      </c>
      <c r="GZ19" s="57">
        <f t="shared" si="101"/>
        <v>0</v>
      </c>
      <c r="HA19" s="57">
        <f t="shared" si="102"/>
        <v>0</v>
      </c>
      <c r="HB19" s="46">
        <f t="shared" si="103"/>
        <v>0</v>
      </c>
      <c r="HC19" s="46">
        <f t="shared" si="104"/>
        <v>3.7037037037037033</v>
      </c>
      <c r="HD19" s="46">
        <f t="shared" si="105"/>
        <v>2.4390243902439024</v>
      </c>
      <c r="HE19" s="21">
        <f t="shared" si="106"/>
        <v>99</v>
      </c>
      <c r="HF19" s="21">
        <f t="shared" si="107"/>
        <v>83</v>
      </c>
      <c r="HG19" s="21">
        <f t="shared" si="108"/>
        <v>182</v>
      </c>
      <c r="HH19" s="47">
        <v>4</v>
      </c>
      <c r="HI19" s="47">
        <v>5</v>
      </c>
      <c r="HJ19" s="21">
        <f t="shared" si="109"/>
        <v>9</v>
      </c>
      <c r="HK19" s="21">
        <v>63</v>
      </c>
      <c r="HL19" s="21">
        <v>59</v>
      </c>
      <c r="HM19" s="21">
        <f t="shared" si="110"/>
        <v>122</v>
      </c>
      <c r="HN19" s="57">
        <f t="shared" si="111"/>
        <v>4.040404040404041</v>
      </c>
      <c r="HO19" s="57">
        <f>HI19/HF19%</f>
        <v>6.024096385542169</v>
      </c>
      <c r="HP19" s="57">
        <f t="shared" si="112"/>
        <v>4.945054945054945</v>
      </c>
      <c r="HQ19" s="46">
        <f t="shared" si="113"/>
        <v>63.63636363636364</v>
      </c>
      <c r="HR19" s="46">
        <f>HL19/HF19%</f>
        <v>71.0843373493976</v>
      </c>
      <c r="HS19" s="46">
        <f t="shared" si="114"/>
        <v>67.03296703296704</v>
      </c>
    </row>
    <row r="20" spans="1:227" ht="30.75" customHeight="1">
      <c r="A20" s="4">
        <v>11</v>
      </c>
      <c r="B20" s="6" t="s">
        <v>44</v>
      </c>
      <c r="C20" s="8">
        <v>7357</v>
      </c>
      <c r="D20" s="8">
        <v>8014</v>
      </c>
      <c r="E20" s="17">
        <f>C20+D20</f>
        <v>15371</v>
      </c>
      <c r="F20" s="8">
        <v>6489</v>
      </c>
      <c r="G20" s="8">
        <v>7444</v>
      </c>
      <c r="H20" s="9">
        <f>F20+G20</f>
        <v>13933</v>
      </c>
      <c r="I20" s="10">
        <v>306</v>
      </c>
      <c r="J20" s="10">
        <v>282</v>
      </c>
      <c r="K20" s="12">
        <f t="shared" si="155"/>
        <v>588</v>
      </c>
      <c r="L20" s="8">
        <f t="shared" si="34"/>
        <v>6795</v>
      </c>
      <c r="M20" s="8">
        <f t="shared" si="34"/>
        <v>7726</v>
      </c>
      <c r="N20" s="8">
        <f t="shared" si="34"/>
        <v>14521</v>
      </c>
      <c r="O20" s="30">
        <f t="shared" si="32"/>
        <v>92.36101671877124</v>
      </c>
      <c r="P20" s="30">
        <f t="shared" si="32"/>
        <v>96.40628899426005</v>
      </c>
      <c r="Q20" s="30">
        <f t="shared" si="32"/>
        <v>94.47010604384882</v>
      </c>
      <c r="R20" s="8">
        <v>269</v>
      </c>
      <c r="S20" s="8">
        <v>178</v>
      </c>
      <c r="T20" s="9">
        <f>R20+S20</f>
        <v>447</v>
      </c>
      <c r="U20" s="8">
        <v>99</v>
      </c>
      <c r="V20" s="8">
        <v>78</v>
      </c>
      <c r="W20" s="9">
        <f t="shared" si="35"/>
        <v>177</v>
      </c>
      <c r="X20" s="7"/>
      <c r="Y20" s="10">
        <v>1</v>
      </c>
      <c r="Z20" s="11">
        <f t="shared" si="36"/>
        <v>1</v>
      </c>
      <c r="AA20" s="8">
        <f t="shared" si="156"/>
        <v>99</v>
      </c>
      <c r="AB20" s="8">
        <f t="shared" si="157"/>
        <v>79</v>
      </c>
      <c r="AC20" s="11">
        <f t="shared" si="116"/>
        <v>178</v>
      </c>
      <c r="AD20" s="30">
        <f t="shared" si="117"/>
        <v>36.80297397769517</v>
      </c>
      <c r="AE20" s="30">
        <f t="shared" si="117"/>
        <v>44.38202247191011</v>
      </c>
      <c r="AF20" s="30">
        <f t="shared" si="117"/>
        <v>39.821029082774054</v>
      </c>
      <c r="AG20" s="11">
        <f t="shared" si="38"/>
        <v>7626</v>
      </c>
      <c r="AH20" s="11">
        <f t="shared" si="38"/>
        <v>8192</v>
      </c>
      <c r="AI20" s="11">
        <f t="shared" si="39"/>
        <v>15818</v>
      </c>
      <c r="AJ20" s="11">
        <f t="shared" si="40"/>
        <v>6588</v>
      </c>
      <c r="AK20" s="11">
        <f t="shared" si="40"/>
        <v>7522</v>
      </c>
      <c r="AL20" s="11">
        <f t="shared" si="41"/>
        <v>14110</v>
      </c>
      <c r="AM20" s="11">
        <f t="shared" si="150"/>
        <v>306</v>
      </c>
      <c r="AN20" s="11">
        <f t="shared" si="150"/>
        <v>283</v>
      </c>
      <c r="AO20" s="11">
        <f t="shared" si="42"/>
        <v>589</v>
      </c>
      <c r="AP20" s="8">
        <f t="shared" si="43"/>
        <v>6894</v>
      </c>
      <c r="AQ20" s="8">
        <f t="shared" si="43"/>
        <v>7805</v>
      </c>
      <c r="AR20" s="11">
        <f t="shared" si="118"/>
        <v>14699</v>
      </c>
      <c r="AS20" s="30">
        <f t="shared" si="119"/>
        <v>90.4012588512982</v>
      </c>
      <c r="AT20" s="30">
        <f t="shared" si="119"/>
        <v>95.27587890625</v>
      </c>
      <c r="AU20" s="30">
        <f t="shared" si="119"/>
        <v>92.92578075610064</v>
      </c>
      <c r="AV20" s="74">
        <v>79</v>
      </c>
      <c r="AW20" s="74">
        <v>149</v>
      </c>
      <c r="AX20" s="11">
        <f>AV20+AW20</f>
        <v>228</v>
      </c>
      <c r="AY20" s="11">
        <v>70</v>
      </c>
      <c r="AZ20" s="11">
        <v>137</v>
      </c>
      <c r="BA20" s="11">
        <f>AY20+AZ20</f>
        <v>207</v>
      </c>
      <c r="BB20" s="7">
        <v>2</v>
      </c>
      <c r="BC20" s="7">
        <v>4</v>
      </c>
      <c r="BD20" s="11">
        <f aca="true" t="shared" si="162" ref="BD20:BD41">BB20+BC20</f>
        <v>6</v>
      </c>
      <c r="BE20" s="8">
        <f t="shared" si="46"/>
        <v>72</v>
      </c>
      <c r="BF20" s="8">
        <f t="shared" si="46"/>
        <v>141</v>
      </c>
      <c r="BG20" s="11">
        <f t="shared" si="120"/>
        <v>213</v>
      </c>
      <c r="BH20" s="30">
        <f t="shared" si="121"/>
        <v>91.13924050632912</v>
      </c>
      <c r="BI20" s="30">
        <f t="shared" si="121"/>
        <v>94.63087248322147</v>
      </c>
      <c r="BJ20" s="30">
        <f t="shared" si="121"/>
        <v>93.42105263157895</v>
      </c>
      <c r="BK20" s="10">
        <v>3</v>
      </c>
      <c r="BL20" s="10">
        <v>5</v>
      </c>
      <c r="BM20" s="11">
        <f t="shared" si="47"/>
        <v>8</v>
      </c>
      <c r="BN20" s="10">
        <v>1</v>
      </c>
      <c r="BO20" s="10"/>
      <c r="BP20" s="11">
        <f t="shared" si="48"/>
        <v>1</v>
      </c>
      <c r="BQ20" s="10"/>
      <c r="BR20" s="10"/>
      <c r="BS20" s="11">
        <f t="shared" si="49"/>
        <v>0</v>
      </c>
      <c r="BT20" s="8">
        <f t="shared" si="50"/>
        <v>1</v>
      </c>
      <c r="BU20" s="8">
        <f t="shared" si="50"/>
        <v>0</v>
      </c>
      <c r="BV20" s="11">
        <f t="shared" si="122"/>
        <v>1</v>
      </c>
      <c r="BW20" s="30">
        <f t="shared" si="123"/>
        <v>33.33333333333333</v>
      </c>
      <c r="BX20" s="30">
        <f t="shared" si="124"/>
        <v>0</v>
      </c>
      <c r="BY20" s="30">
        <f t="shared" si="125"/>
        <v>12.5</v>
      </c>
      <c r="BZ20" s="11">
        <f t="shared" si="51"/>
        <v>82</v>
      </c>
      <c r="CA20" s="11">
        <f t="shared" si="51"/>
        <v>154</v>
      </c>
      <c r="CB20" s="11">
        <f t="shared" si="52"/>
        <v>236</v>
      </c>
      <c r="CC20" s="11">
        <f t="shared" si="53"/>
        <v>71</v>
      </c>
      <c r="CD20" s="11">
        <f t="shared" si="53"/>
        <v>137</v>
      </c>
      <c r="CE20" s="11">
        <f t="shared" si="54"/>
        <v>208</v>
      </c>
      <c r="CF20" s="11">
        <f t="shared" si="153"/>
        <v>2</v>
      </c>
      <c r="CG20" s="11">
        <f t="shared" si="153"/>
        <v>4</v>
      </c>
      <c r="CH20" s="11">
        <f t="shared" si="55"/>
        <v>6</v>
      </c>
      <c r="CI20" s="8">
        <f t="shared" si="56"/>
        <v>73</v>
      </c>
      <c r="CJ20" s="8">
        <f t="shared" si="56"/>
        <v>141</v>
      </c>
      <c r="CK20" s="11">
        <f t="shared" si="126"/>
        <v>214</v>
      </c>
      <c r="CL20" s="30">
        <f t="shared" si="127"/>
        <v>89.02439024390245</v>
      </c>
      <c r="CM20" s="30">
        <f t="shared" si="127"/>
        <v>91.55844155844156</v>
      </c>
      <c r="CN20" s="30">
        <f t="shared" si="127"/>
        <v>90.67796610169492</v>
      </c>
      <c r="CO20" s="10">
        <v>841</v>
      </c>
      <c r="CP20" s="10">
        <v>934</v>
      </c>
      <c r="CQ20" s="11">
        <f aca="true" t="shared" si="163" ref="CQ20:CQ26">CO20+CP20</f>
        <v>1775</v>
      </c>
      <c r="CR20" s="10">
        <v>753</v>
      </c>
      <c r="CS20" s="10">
        <v>854</v>
      </c>
      <c r="CT20" s="11">
        <f aca="true" t="shared" si="164" ref="CT20:CT25">CR20+CS20</f>
        <v>1607</v>
      </c>
      <c r="CU20" s="10">
        <v>28</v>
      </c>
      <c r="CV20" s="10">
        <v>31</v>
      </c>
      <c r="CW20" s="11">
        <f t="shared" si="151"/>
        <v>59</v>
      </c>
      <c r="CX20" s="8">
        <f t="shared" si="59"/>
        <v>781</v>
      </c>
      <c r="CY20" s="8">
        <f t="shared" si="60"/>
        <v>885</v>
      </c>
      <c r="CZ20" s="11">
        <f t="shared" si="128"/>
        <v>1666</v>
      </c>
      <c r="DA20" s="30">
        <f t="shared" si="129"/>
        <v>92.86563614744352</v>
      </c>
      <c r="DB20" s="30">
        <f t="shared" si="130"/>
        <v>94.75374732334048</v>
      </c>
      <c r="DC20" s="30">
        <f t="shared" si="131"/>
        <v>93.85915492957746</v>
      </c>
      <c r="DD20" s="10">
        <v>32</v>
      </c>
      <c r="DE20" s="10">
        <v>21</v>
      </c>
      <c r="DF20" s="11">
        <f t="shared" si="61"/>
        <v>53</v>
      </c>
      <c r="DG20" s="10">
        <v>10</v>
      </c>
      <c r="DH20" s="10">
        <v>14</v>
      </c>
      <c r="DI20" s="11">
        <f t="shared" si="62"/>
        <v>24</v>
      </c>
      <c r="DJ20" s="92"/>
      <c r="DK20" s="92"/>
      <c r="DL20" s="96"/>
      <c r="DM20" s="8">
        <f t="shared" si="63"/>
        <v>10</v>
      </c>
      <c r="DN20" s="8">
        <f t="shared" si="64"/>
        <v>14</v>
      </c>
      <c r="DO20" s="11">
        <f t="shared" si="132"/>
        <v>24</v>
      </c>
      <c r="DP20" s="30">
        <f t="shared" si="161"/>
        <v>31.25</v>
      </c>
      <c r="DQ20" s="30">
        <f>IF(DE20=0,"",DN20/DE20*100)</f>
        <v>66.66666666666666</v>
      </c>
      <c r="DR20" s="30">
        <f t="shared" si="134"/>
        <v>45.28301886792453</v>
      </c>
      <c r="DS20" s="11">
        <f t="shared" si="65"/>
        <v>873</v>
      </c>
      <c r="DT20" s="11">
        <f t="shared" si="66"/>
        <v>955</v>
      </c>
      <c r="DU20" s="11">
        <f t="shared" si="67"/>
        <v>1828</v>
      </c>
      <c r="DV20" s="11">
        <f t="shared" si="68"/>
        <v>763</v>
      </c>
      <c r="DW20" s="11">
        <f t="shared" si="69"/>
        <v>868</v>
      </c>
      <c r="DX20" s="11">
        <f t="shared" si="70"/>
        <v>1631</v>
      </c>
      <c r="DY20" s="11">
        <f t="shared" si="158"/>
        <v>28</v>
      </c>
      <c r="DZ20" s="11">
        <f t="shared" si="159"/>
        <v>31</v>
      </c>
      <c r="EA20" s="11">
        <f t="shared" si="71"/>
        <v>59</v>
      </c>
      <c r="EB20" s="8">
        <f t="shared" si="72"/>
        <v>791</v>
      </c>
      <c r="EC20" s="8">
        <f t="shared" si="73"/>
        <v>899</v>
      </c>
      <c r="ED20" s="11">
        <f t="shared" si="135"/>
        <v>1690</v>
      </c>
      <c r="EE20" s="30">
        <f t="shared" si="136"/>
        <v>90.60710194730814</v>
      </c>
      <c r="EF20" s="30">
        <f t="shared" si="137"/>
        <v>94.13612565445027</v>
      </c>
      <c r="EG20" s="30">
        <f t="shared" si="138"/>
        <v>92.45076586433261</v>
      </c>
      <c r="EH20" s="10">
        <v>814</v>
      </c>
      <c r="EI20" s="10">
        <v>963</v>
      </c>
      <c r="EJ20" s="11">
        <f t="shared" si="74"/>
        <v>1777</v>
      </c>
      <c r="EK20" s="10">
        <v>651</v>
      </c>
      <c r="EL20" s="10">
        <v>817</v>
      </c>
      <c r="EM20" s="11">
        <f>EK20+EL20</f>
        <v>1468</v>
      </c>
      <c r="EN20" s="10">
        <v>60</v>
      </c>
      <c r="EO20" s="10">
        <v>64</v>
      </c>
      <c r="EP20" s="11">
        <f t="shared" si="76"/>
        <v>124</v>
      </c>
      <c r="EQ20" s="8">
        <f t="shared" si="77"/>
        <v>711</v>
      </c>
      <c r="ER20" s="8">
        <f t="shared" si="77"/>
        <v>881</v>
      </c>
      <c r="ES20" s="11">
        <f t="shared" si="139"/>
        <v>1592</v>
      </c>
      <c r="ET20" s="30">
        <f t="shared" si="140"/>
        <v>87.34643734643734</v>
      </c>
      <c r="EU20" s="30">
        <f t="shared" si="140"/>
        <v>91.48494288681205</v>
      </c>
      <c r="EV20" s="30">
        <f t="shared" si="140"/>
        <v>89.5891952729319</v>
      </c>
      <c r="EW20" s="10">
        <v>0</v>
      </c>
      <c r="EX20" s="10">
        <v>0</v>
      </c>
      <c r="EY20" s="11">
        <f t="shared" si="78"/>
        <v>0</v>
      </c>
      <c r="EZ20" s="10">
        <v>0</v>
      </c>
      <c r="FA20" s="10">
        <v>0</v>
      </c>
      <c r="FB20" s="11">
        <f t="shared" si="79"/>
        <v>0</v>
      </c>
      <c r="FC20" s="10">
        <v>0</v>
      </c>
      <c r="FD20" s="10">
        <v>0</v>
      </c>
      <c r="FE20" s="7">
        <f t="shared" si="141"/>
        <v>0</v>
      </c>
      <c r="FF20" s="8">
        <f t="shared" si="80"/>
        <v>0</v>
      </c>
      <c r="FG20" s="8">
        <f t="shared" si="80"/>
        <v>0</v>
      </c>
      <c r="FH20" s="11">
        <f t="shared" si="142"/>
        <v>0</v>
      </c>
      <c r="FI20" s="30">
        <f t="shared" si="143"/>
      </c>
      <c r="FJ20" s="30">
        <f t="shared" si="143"/>
      </c>
      <c r="FK20" s="30">
        <f t="shared" si="143"/>
      </c>
      <c r="FL20" s="11">
        <f t="shared" si="81"/>
        <v>814</v>
      </c>
      <c r="FM20" s="11">
        <f t="shared" si="81"/>
        <v>963</v>
      </c>
      <c r="FN20" s="11">
        <f t="shared" si="82"/>
        <v>1777</v>
      </c>
      <c r="FO20" s="11">
        <f t="shared" si="83"/>
        <v>651</v>
      </c>
      <c r="FP20" s="11">
        <f t="shared" si="83"/>
        <v>817</v>
      </c>
      <c r="FQ20" s="11">
        <f t="shared" si="84"/>
        <v>1468</v>
      </c>
      <c r="FR20" s="11">
        <f t="shared" si="144"/>
        <v>60</v>
      </c>
      <c r="FS20" s="11">
        <f t="shared" si="144"/>
        <v>64</v>
      </c>
      <c r="FT20" s="11">
        <f t="shared" si="85"/>
        <v>124</v>
      </c>
      <c r="FU20" s="8">
        <f t="shared" si="86"/>
        <v>711</v>
      </c>
      <c r="FV20" s="8">
        <f t="shared" si="86"/>
        <v>881</v>
      </c>
      <c r="FW20" s="11">
        <f t="shared" si="145"/>
        <v>1592</v>
      </c>
      <c r="FX20" s="30">
        <f t="shared" si="146"/>
        <v>87.34643734643734</v>
      </c>
      <c r="FY20" s="30">
        <f t="shared" si="146"/>
        <v>91.48494288681205</v>
      </c>
      <c r="FZ20" s="30">
        <f t="shared" si="146"/>
        <v>89.5891952729319</v>
      </c>
      <c r="GA20" s="21">
        <f t="shared" si="147"/>
        <v>6894</v>
      </c>
      <c r="GB20" s="21">
        <f t="shared" si="148"/>
        <v>7805</v>
      </c>
      <c r="GC20" s="21">
        <f t="shared" si="149"/>
        <v>14699</v>
      </c>
      <c r="GD20" s="47">
        <v>692</v>
      </c>
      <c r="GE20" s="47">
        <v>1256</v>
      </c>
      <c r="GF20" s="21">
        <f t="shared" si="87"/>
        <v>1948</v>
      </c>
      <c r="GG20" s="21">
        <v>2513</v>
      </c>
      <c r="GH20" s="21">
        <v>3332</v>
      </c>
      <c r="GI20" s="21">
        <f t="shared" si="88"/>
        <v>5845</v>
      </c>
      <c r="GJ20" s="57">
        <f t="shared" si="89"/>
        <v>10.03771395416304</v>
      </c>
      <c r="GK20" s="57">
        <f t="shared" si="90"/>
        <v>16.092248558616273</v>
      </c>
      <c r="GL20" s="57">
        <f t="shared" si="91"/>
        <v>13.252602217837948</v>
      </c>
      <c r="GM20" s="46">
        <f t="shared" si="92"/>
        <v>36.45198723527705</v>
      </c>
      <c r="GN20" s="46">
        <f t="shared" si="93"/>
        <v>42.690582959641254</v>
      </c>
      <c r="GO20" s="46">
        <f t="shared" si="94"/>
        <v>39.7646098374039</v>
      </c>
      <c r="GP20" s="21">
        <f t="shared" si="95"/>
        <v>73</v>
      </c>
      <c r="GQ20" s="21">
        <f t="shared" si="96"/>
        <v>141</v>
      </c>
      <c r="GR20" s="21">
        <f t="shared" si="97"/>
        <v>214</v>
      </c>
      <c r="GS20" s="47">
        <v>6</v>
      </c>
      <c r="GT20" s="47">
        <v>12</v>
      </c>
      <c r="GU20" s="21">
        <f t="shared" si="98"/>
        <v>18</v>
      </c>
      <c r="GV20" s="21">
        <v>16</v>
      </c>
      <c r="GW20" s="21">
        <v>58</v>
      </c>
      <c r="GX20" s="21">
        <f t="shared" si="99"/>
        <v>74</v>
      </c>
      <c r="GY20" s="57">
        <f t="shared" si="100"/>
        <v>8.219178082191782</v>
      </c>
      <c r="GZ20" s="57">
        <f t="shared" si="101"/>
        <v>8.51063829787234</v>
      </c>
      <c r="HA20" s="57">
        <f t="shared" si="102"/>
        <v>8.411214953271028</v>
      </c>
      <c r="HB20" s="46">
        <f t="shared" si="103"/>
        <v>21.91780821917808</v>
      </c>
      <c r="HC20" s="46">
        <f t="shared" si="104"/>
        <v>41.13475177304965</v>
      </c>
      <c r="HD20" s="46">
        <f t="shared" si="105"/>
        <v>34.57943925233645</v>
      </c>
      <c r="HE20" s="21">
        <f t="shared" si="106"/>
        <v>791</v>
      </c>
      <c r="HF20" s="21">
        <f t="shared" si="107"/>
        <v>899</v>
      </c>
      <c r="HG20" s="21">
        <f t="shared" si="108"/>
        <v>1690</v>
      </c>
      <c r="HH20" s="47">
        <v>67</v>
      </c>
      <c r="HI20" s="47">
        <v>77</v>
      </c>
      <c r="HJ20" s="21">
        <f t="shared" si="109"/>
        <v>144</v>
      </c>
      <c r="HK20" s="21">
        <v>296</v>
      </c>
      <c r="HL20" s="21">
        <v>361</v>
      </c>
      <c r="HM20" s="21">
        <f t="shared" si="110"/>
        <v>657</v>
      </c>
      <c r="HN20" s="57">
        <f t="shared" si="111"/>
        <v>8.470290771175726</v>
      </c>
      <c r="HO20" s="57">
        <f>HI20/HF20%</f>
        <v>8.565072302558399</v>
      </c>
      <c r="HP20" s="57">
        <f t="shared" si="112"/>
        <v>8.520710059171599</v>
      </c>
      <c r="HQ20" s="46">
        <f t="shared" si="113"/>
        <v>37.420986093552465</v>
      </c>
      <c r="HR20" s="46">
        <f>HL20/HF20%</f>
        <v>40.155728587319246</v>
      </c>
      <c r="HS20" s="46">
        <f t="shared" si="114"/>
        <v>38.875739644970416</v>
      </c>
    </row>
    <row r="21" spans="1:227" ht="29.25" customHeight="1">
      <c r="A21" s="4">
        <v>12</v>
      </c>
      <c r="B21" s="6" t="s">
        <v>45</v>
      </c>
      <c r="C21" s="8">
        <v>328953</v>
      </c>
      <c r="D21" s="8">
        <v>230232</v>
      </c>
      <c r="E21" s="17">
        <f>C21+D21</f>
        <v>559185</v>
      </c>
      <c r="F21" s="8">
        <v>195779</v>
      </c>
      <c r="G21" s="8">
        <v>170343</v>
      </c>
      <c r="H21" s="9">
        <f t="shared" si="33"/>
        <v>366122</v>
      </c>
      <c r="I21" s="10">
        <v>2609</v>
      </c>
      <c r="J21" s="10">
        <v>1821</v>
      </c>
      <c r="K21" s="12">
        <f t="shared" si="155"/>
        <v>4430</v>
      </c>
      <c r="L21" s="8">
        <f t="shared" si="34"/>
        <v>198388</v>
      </c>
      <c r="M21" s="8">
        <f t="shared" si="34"/>
        <v>172164</v>
      </c>
      <c r="N21" s="8">
        <f t="shared" si="34"/>
        <v>370552</v>
      </c>
      <c r="O21" s="30">
        <f t="shared" si="32"/>
        <v>60.308919511297965</v>
      </c>
      <c r="P21" s="30">
        <f t="shared" si="32"/>
        <v>74.77848431147713</v>
      </c>
      <c r="Q21" s="30">
        <f t="shared" si="32"/>
        <v>66.26644133873405</v>
      </c>
      <c r="R21" s="8">
        <v>54705</v>
      </c>
      <c r="S21" s="8">
        <v>18227</v>
      </c>
      <c r="T21" s="9">
        <f t="shared" si="115"/>
        <v>72932</v>
      </c>
      <c r="U21" s="8">
        <v>11215</v>
      </c>
      <c r="V21" s="8">
        <v>7027</v>
      </c>
      <c r="W21" s="9">
        <f t="shared" si="35"/>
        <v>18242</v>
      </c>
      <c r="X21" s="10">
        <v>651</v>
      </c>
      <c r="Y21" s="7">
        <v>265</v>
      </c>
      <c r="Z21" s="11">
        <f t="shared" si="36"/>
        <v>916</v>
      </c>
      <c r="AA21" s="8">
        <f t="shared" si="156"/>
        <v>11866</v>
      </c>
      <c r="AB21" s="8">
        <f t="shared" si="157"/>
        <v>7292</v>
      </c>
      <c r="AC21" s="11">
        <f t="shared" si="116"/>
        <v>19158</v>
      </c>
      <c r="AD21" s="30">
        <f t="shared" si="117"/>
        <v>21.69088748743259</v>
      </c>
      <c r="AE21" s="30">
        <f t="shared" si="117"/>
        <v>40.00658363965546</v>
      </c>
      <c r="AF21" s="30">
        <f t="shared" si="117"/>
        <v>26.268304722206988</v>
      </c>
      <c r="AG21" s="11">
        <f t="shared" si="38"/>
        <v>383658</v>
      </c>
      <c r="AH21" s="11">
        <f t="shared" si="38"/>
        <v>248459</v>
      </c>
      <c r="AI21" s="11">
        <f t="shared" si="39"/>
        <v>632117</v>
      </c>
      <c r="AJ21" s="11">
        <f t="shared" si="40"/>
        <v>206994</v>
      </c>
      <c r="AK21" s="11">
        <f t="shared" si="40"/>
        <v>177370</v>
      </c>
      <c r="AL21" s="11">
        <f t="shared" si="41"/>
        <v>384364</v>
      </c>
      <c r="AM21" s="11">
        <f t="shared" si="150"/>
        <v>3260</v>
      </c>
      <c r="AN21" s="11">
        <f t="shared" si="150"/>
        <v>2086</v>
      </c>
      <c r="AO21" s="11">
        <f t="shared" si="42"/>
        <v>5346</v>
      </c>
      <c r="AP21" s="8">
        <f t="shared" si="43"/>
        <v>210254</v>
      </c>
      <c r="AQ21" s="8">
        <f t="shared" si="43"/>
        <v>179456</v>
      </c>
      <c r="AR21" s="11">
        <f t="shared" si="118"/>
        <v>389710</v>
      </c>
      <c r="AS21" s="30">
        <f t="shared" si="119"/>
        <v>54.80245426916681</v>
      </c>
      <c r="AT21" s="30">
        <f t="shared" si="119"/>
        <v>72.22761099416806</v>
      </c>
      <c r="AU21" s="30">
        <f t="shared" si="119"/>
        <v>61.651561340701164</v>
      </c>
      <c r="AV21" s="10">
        <v>25063</v>
      </c>
      <c r="AW21" s="10">
        <v>19221</v>
      </c>
      <c r="AX21" s="11">
        <f t="shared" si="44"/>
        <v>44284</v>
      </c>
      <c r="AY21" s="10">
        <v>13632</v>
      </c>
      <c r="AZ21" s="10">
        <v>13291</v>
      </c>
      <c r="BA21" s="11">
        <f t="shared" si="45"/>
        <v>26923</v>
      </c>
      <c r="BB21" s="10">
        <v>239</v>
      </c>
      <c r="BC21" s="10">
        <v>168</v>
      </c>
      <c r="BD21" s="11">
        <f t="shared" si="162"/>
        <v>407</v>
      </c>
      <c r="BE21" s="8">
        <f t="shared" si="46"/>
        <v>13871</v>
      </c>
      <c r="BF21" s="8">
        <f t="shared" si="46"/>
        <v>13459</v>
      </c>
      <c r="BG21" s="11">
        <f t="shared" si="120"/>
        <v>27330</v>
      </c>
      <c r="BH21" s="30">
        <f t="shared" si="121"/>
        <v>55.34453177991462</v>
      </c>
      <c r="BI21" s="30">
        <f t="shared" si="121"/>
        <v>70.02237136465325</v>
      </c>
      <c r="BJ21" s="30">
        <f t="shared" si="121"/>
        <v>61.71529220485954</v>
      </c>
      <c r="BK21" s="10">
        <v>7013</v>
      </c>
      <c r="BL21" s="10">
        <v>2573</v>
      </c>
      <c r="BM21" s="11">
        <f t="shared" si="47"/>
        <v>9586</v>
      </c>
      <c r="BN21" s="10">
        <v>1522</v>
      </c>
      <c r="BO21" s="10">
        <v>868</v>
      </c>
      <c r="BP21" s="11">
        <f t="shared" si="48"/>
        <v>2390</v>
      </c>
      <c r="BQ21" s="10">
        <v>95</v>
      </c>
      <c r="BR21" s="10">
        <v>46</v>
      </c>
      <c r="BS21" s="11">
        <f t="shared" si="49"/>
        <v>141</v>
      </c>
      <c r="BT21" s="8">
        <f t="shared" si="50"/>
        <v>1617</v>
      </c>
      <c r="BU21" s="8">
        <f t="shared" si="50"/>
        <v>914</v>
      </c>
      <c r="BV21" s="11">
        <f t="shared" si="122"/>
        <v>2531</v>
      </c>
      <c r="BW21" s="30">
        <f t="shared" si="123"/>
        <v>23.057179523741624</v>
      </c>
      <c r="BX21" s="30">
        <f t="shared" si="124"/>
        <v>35.52273610571318</v>
      </c>
      <c r="BY21" s="30">
        <f t="shared" si="125"/>
        <v>26.403087836428124</v>
      </c>
      <c r="BZ21" s="11">
        <f t="shared" si="51"/>
        <v>32076</v>
      </c>
      <c r="CA21" s="11">
        <f t="shared" si="51"/>
        <v>21794</v>
      </c>
      <c r="CB21" s="11">
        <f t="shared" si="52"/>
        <v>53870</v>
      </c>
      <c r="CC21" s="11">
        <f t="shared" si="53"/>
        <v>15154</v>
      </c>
      <c r="CD21" s="11">
        <f t="shared" si="53"/>
        <v>14159</v>
      </c>
      <c r="CE21" s="11">
        <f t="shared" si="54"/>
        <v>29313</v>
      </c>
      <c r="CF21" s="11">
        <f t="shared" si="153"/>
        <v>334</v>
      </c>
      <c r="CG21" s="11">
        <f t="shared" si="153"/>
        <v>214</v>
      </c>
      <c r="CH21" s="11">
        <f t="shared" si="55"/>
        <v>548</v>
      </c>
      <c r="CI21" s="8">
        <f t="shared" si="56"/>
        <v>15488</v>
      </c>
      <c r="CJ21" s="8">
        <f t="shared" si="56"/>
        <v>14373</v>
      </c>
      <c r="CK21" s="11">
        <f t="shared" si="126"/>
        <v>29861</v>
      </c>
      <c r="CL21" s="30">
        <f t="shared" si="127"/>
        <v>48.28532235939643</v>
      </c>
      <c r="CM21" s="30">
        <f t="shared" si="127"/>
        <v>65.94934385610719</v>
      </c>
      <c r="CN21" s="30">
        <f t="shared" si="127"/>
        <v>55.431594579543344</v>
      </c>
      <c r="CO21" s="10">
        <v>44942</v>
      </c>
      <c r="CP21" s="10">
        <v>39316</v>
      </c>
      <c r="CQ21" s="11">
        <f t="shared" si="163"/>
        <v>84258</v>
      </c>
      <c r="CR21" s="10">
        <v>20507</v>
      </c>
      <c r="CS21" s="10">
        <v>22837</v>
      </c>
      <c r="CT21" s="11">
        <f t="shared" si="164"/>
        <v>43344</v>
      </c>
      <c r="CU21" s="10">
        <v>438</v>
      </c>
      <c r="CV21" s="10">
        <v>456</v>
      </c>
      <c r="CW21" s="11">
        <f t="shared" si="151"/>
        <v>894</v>
      </c>
      <c r="CX21" s="8">
        <f t="shared" si="59"/>
        <v>20945</v>
      </c>
      <c r="CY21" s="8">
        <f t="shared" si="60"/>
        <v>23293</v>
      </c>
      <c r="CZ21" s="11">
        <f t="shared" si="128"/>
        <v>44238</v>
      </c>
      <c r="DA21" s="30">
        <f t="shared" si="129"/>
        <v>46.60451248275555</v>
      </c>
      <c r="DB21" s="30">
        <f t="shared" si="130"/>
        <v>59.2455997558246</v>
      </c>
      <c r="DC21" s="30">
        <f t="shared" si="131"/>
        <v>52.50302641885637</v>
      </c>
      <c r="DD21" s="10">
        <v>3483</v>
      </c>
      <c r="DE21" s="10">
        <v>1299</v>
      </c>
      <c r="DF21" s="11">
        <f t="shared" si="61"/>
        <v>4782</v>
      </c>
      <c r="DG21" s="10">
        <v>722</v>
      </c>
      <c r="DH21" s="10">
        <v>359</v>
      </c>
      <c r="DI21" s="11">
        <f t="shared" si="62"/>
        <v>1081</v>
      </c>
      <c r="DJ21" s="7">
        <v>25</v>
      </c>
      <c r="DK21" s="7">
        <v>12</v>
      </c>
      <c r="DL21" s="7">
        <f t="shared" si="152"/>
        <v>37</v>
      </c>
      <c r="DM21" s="8">
        <f t="shared" si="63"/>
        <v>747</v>
      </c>
      <c r="DN21" s="8">
        <f t="shared" si="64"/>
        <v>371</v>
      </c>
      <c r="DO21" s="11">
        <f t="shared" si="132"/>
        <v>1118</v>
      </c>
      <c r="DP21" s="30">
        <f t="shared" si="161"/>
        <v>21.44702842377261</v>
      </c>
      <c r="DQ21" s="30">
        <f aca="true" t="shared" si="165" ref="DQ21:DQ40">IF(DE21=0,"",DN21/DE21*100)</f>
        <v>28.560431100846806</v>
      </c>
      <c r="DR21" s="30">
        <f t="shared" si="134"/>
        <v>23.37933918862401</v>
      </c>
      <c r="DS21" s="11">
        <f t="shared" si="65"/>
        <v>48425</v>
      </c>
      <c r="DT21" s="11">
        <f t="shared" si="66"/>
        <v>40615</v>
      </c>
      <c r="DU21" s="11">
        <f t="shared" si="67"/>
        <v>89040</v>
      </c>
      <c r="DV21" s="11">
        <f t="shared" si="68"/>
        <v>21229</v>
      </c>
      <c r="DW21" s="11">
        <f t="shared" si="69"/>
        <v>23196</v>
      </c>
      <c r="DX21" s="11">
        <f t="shared" si="70"/>
        <v>44425</v>
      </c>
      <c r="DY21" s="11">
        <f t="shared" si="158"/>
        <v>463</v>
      </c>
      <c r="DZ21" s="11">
        <f t="shared" si="159"/>
        <v>468</v>
      </c>
      <c r="EA21" s="11">
        <f t="shared" si="71"/>
        <v>931</v>
      </c>
      <c r="EB21" s="8">
        <f t="shared" si="72"/>
        <v>21692</v>
      </c>
      <c r="EC21" s="8">
        <f t="shared" si="73"/>
        <v>23664</v>
      </c>
      <c r="ED21" s="11">
        <f t="shared" si="135"/>
        <v>45356</v>
      </c>
      <c r="EE21" s="30">
        <f t="shared" si="136"/>
        <v>44.795043882292205</v>
      </c>
      <c r="EF21" s="30">
        <f t="shared" si="137"/>
        <v>58.26418810784193</v>
      </c>
      <c r="EG21" s="30">
        <f t="shared" si="138"/>
        <v>50.93890386343216</v>
      </c>
      <c r="EH21" s="10"/>
      <c r="EI21" s="10"/>
      <c r="EJ21" s="11">
        <f t="shared" si="74"/>
        <v>0</v>
      </c>
      <c r="EK21" s="10"/>
      <c r="EL21" s="10"/>
      <c r="EM21" s="11">
        <f t="shared" si="75"/>
        <v>0</v>
      </c>
      <c r="EN21" s="10"/>
      <c r="EO21" s="10"/>
      <c r="EP21" s="11">
        <f t="shared" si="76"/>
        <v>0</v>
      </c>
      <c r="EQ21" s="8">
        <f t="shared" si="77"/>
        <v>0</v>
      </c>
      <c r="ER21" s="8">
        <f t="shared" si="77"/>
        <v>0</v>
      </c>
      <c r="ES21" s="11">
        <f t="shared" si="139"/>
        <v>0</v>
      </c>
      <c r="ET21" s="30">
        <f t="shared" si="140"/>
      </c>
      <c r="EU21" s="30">
        <f t="shared" si="140"/>
      </c>
      <c r="EV21" s="30">
        <f t="shared" si="140"/>
      </c>
      <c r="EW21" s="10"/>
      <c r="EX21" s="10"/>
      <c r="EY21" s="11">
        <f t="shared" si="78"/>
        <v>0</v>
      </c>
      <c r="EZ21" s="10"/>
      <c r="FA21" s="10"/>
      <c r="FB21" s="11">
        <f t="shared" si="79"/>
        <v>0</v>
      </c>
      <c r="FC21" s="7"/>
      <c r="FD21" s="7"/>
      <c r="FE21" s="7">
        <f t="shared" si="141"/>
        <v>0</v>
      </c>
      <c r="FF21" s="8">
        <f t="shared" si="80"/>
        <v>0</v>
      </c>
      <c r="FG21" s="8">
        <f t="shared" si="80"/>
        <v>0</v>
      </c>
      <c r="FH21" s="11">
        <f t="shared" si="142"/>
        <v>0</v>
      </c>
      <c r="FI21" s="30">
        <f t="shared" si="143"/>
      </c>
      <c r="FJ21" s="30">
        <f t="shared" si="143"/>
      </c>
      <c r="FK21" s="30">
        <f t="shared" si="143"/>
      </c>
      <c r="FL21" s="11">
        <f t="shared" si="81"/>
        <v>0</v>
      </c>
      <c r="FM21" s="11">
        <f t="shared" si="81"/>
        <v>0</v>
      </c>
      <c r="FN21" s="11">
        <f t="shared" si="82"/>
        <v>0</v>
      </c>
      <c r="FO21" s="11">
        <f t="shared" si="83"/>
        <v>0</v>
      </c>
      <c r="FP21" s="11">
        <f t="shared" si="83"/>
        <v>0</v>
      </c>
      <c r="FQ21" s="11">
        <f t="shared" si="84"/>
        <v>0</v>
      </c>
      <c r="FR21" s="11">
        <f t="shared" si="144"/>
        <v>0</v>
      </c>
      <c r="FS21" s="11">
        <f t="shared" si="144"/>
        <v>0</v>
      </c>
      <c r="FT21" s="11">
        <f t="shared" si="85"/>
        <v>0</v>
      </c>
      <c r="FU21" s="8">
        <f t="shared" si="86"/>
        <v>0</v>
      </c>
      <c r="FV21" s="8">
        <f t="shared" si="86"/>
        <v>0</v>
      </c>
      <c r="FW21" s="11">
        <f t="shared" si="145"/>
        <v>0</v>
      </c>
      <c r="FX21" s="30">
        <f t="shared" si="146"/>
      </c>
      <c r="FY21" s="30">
        <f t="shared" si="146"/>
      </c>
      <c r="FZ21" s="30">
        <f t="shared" si="146"/>
      </c>
      <c r="GA21" s="21">
        <f t="shared" si="147"/>
        <v>210254</v>
      </c>
      <c r="GB21" s="21">
        <f t="shared" si="148"/>
        <v>179456</v>
      </c>
      <c r="GC21" s="21">
        <f t="shared" si="149"/>
        <v>389710</v>
      </c>
      <c r="GD21" s="47">
        <v>10646</v>
      </c>
      <c r="GE21" s="47">
        <v>12853</v>
      </c>
      <c r="GF21" s="21">
        <f t="shared" si="87"/>
        <v>23499</v>
      </c>
      <c r="GG21" s="21">
        <v>35799</v>
      </c>
      <c r="GH21" s="21">
        <v>45035</v>
      </c>
      <c r="GI21" s="21">
        <f t="shared" si="88"/>
        <v>80834</v>
      </c>
      <c r="GJ21" s="57">
        <f t="shared" si="89"/>
        <v>5.063399507262645</v>
      </c>
      <c r="GK21" s="57">
        <f t="shared" si="90"/>
        <v>7.1622013195435095</v>
      </c>
      <c r="GL21" s="57">
        <f t="shared" si="91"/>
        <v>6.029868363655026</v>
      </c>
      <c r="GM21" s="46">
        <f t="shared" si="92"/>
        <v>17.026548840925738</v>
      </c>
      <c r="GN21" s="46">
        <f t="shared" si="93"/>
        <v>25.095287981455066</v>
      </c>
      <c r="GO21" s="46">
        <f t="shared" si="94"/>
        <v>20.742090272253726</v>
      </c>
      <c r="GP21" s="21">
        <f t="shared" si="95"/>
        <v>15488</v>
      </c>
      <c r="GQ21" s="21">
        <f t="shared" si="96"/>
        <v>14373</v>
      </c>
      <c r="GR21" s="21">
        <f t="shared" si="97"/>
        <v>29861</v>
      </c>
      <c r="GS21" s="47">
        <v>351</v>
      </c>
      <c r="GT21" s="47">
        <v>500</v>
      </c>
      <c r="GU21" s="21">
        <f t="shared" si="98"/>
        <v>851</v>
      </c>
      <c r="GV21" s="21">
        <v>2104</v>
      </c>
      <c r="GW21" s="21">
        <v>3040</v>
      </c>
      <c r="GX21" s="21">
        <f t="shared" si="99"/>
        <v>5144</v>
      </c>
      <c r="GY21" s="57">
        <f t="shared" si="100"/>
        <v>2.2662706611570247</v>
      </c>
      <c r="GZ21" s="57">
        <f t="shared" si="101"/>
        <v>3.4787448688513187</v>
      </c>
      <c r="HA21" s="57">
        <f t="shared" si="102"/>
        <v>2.8498710692876994</v>
      </c>
      <c r="HB21" s="46">
        <f t="shared" si="103"/>
        <v>13.584710743801653</v>
      </c>
      <c r="HC21" s="46">
        <f t="shared" si="104"/>
        <v>21.150768802616017</v>
      </c>
      <c r="HD21" s="46">
        <f t="shared" si="105"/>
        <v>17.226482703191454</v>
      </c>
      <c r="HE21" s="21">
        <f t="shared" si="106"/>
        <v>21692</v>
      </c>
      <c r="HF21" s="21">
        <f t="shared" si="107"/>
        <v>23664</v>
      </c>
      <c r="HG21" s="21">
        <f t="shared" si="108"/>
        <v>45356</v>
      </c>
      <c r="HH21" s="47">
        <v>206</v>
      </c>
      <c r="HI21" s="47">
        <v>256</v>
      </c>
      <c r="HJ21" s="21">
        <f t="shared" si="109"/>
        <v>462</v>
      </c>
      <c r="HK21" s="21">
        <v>2109</v>
      </c>
      <c r="HL21" s="21">
        <v>3531</v>
      </c>
      <c r="HM21" s="21">
        <f t="shared" si="110"/>
        <v>5640</v>
      </c>
      <c r="HN21" s="57">
        <f t="shared" si="111"/>
        <v>0.9496588604093675</v>
      </c>
      <c r="HO21" s="57">
        <f>HI21/HF21%</f>
        <v>1.0818120351588911</v>
      </c>
      <c r="HP21" s="57">
        <f t="shared" si="112"/>
        <v>1.0186083428873798</v>
      </c>
      <c r="HQ21" s="46">
        <f t="shared" si="113"/>
        <v>9.722478333026</v>
      </c>
      <c r="HR21" s="46">
        <f>HL21/HF21%</f>
        <v>14.921399594320487</v>
      </c>
      <c r="HS21" s="46">
        <f t="shared" si="114"/>
        <v>12.434958991092689</v>
      </c>
    </row>
    <row r="22" spans="1:227" ht="29.25" customHeight="1">
      <c r="A22" s="4">
        <v>13</v>
      </c>
      <c r="B22" s="6" t="s">
        <v>46</v>
      </c>
      <c r="C22" s="8">
        <v>140279</v>
      </c>
      <c r="D22" s="8">
        <v>109538</v>
      </c>
      <c r="E22" s="17">
        <f>C22+D22</f>
        <v>249817</v>
      </c>
      <c r="F22" s="8">
        <v>78689</v>
      </c>
      <c r="G22" s="8">
        <v>77895</v>
      </c>
      <c r="H22" s="9">
        <f t="shared" si="33"/>
        <v>156584</v>
      </c>
      <c r="I22" s="10">
        <v>20072</v>
      </c>
      <c r="J22" s="10">
        <v>9141</v>
      </c>
      <c r="K22" s="12">
        <f t="shared" si="155"/>
        <v>29213</v>
      </c>
      <c r="L22" s="8">
        <f t="shared" si="34"/>
        <v>98761</v>
      </c>
      <c r="M22" s="8">
        <f t="shared" si="34"/>
        <v>87036</v>
      </c>
      <c r="N22" s="8">
        <f t="shared" si="34"/>
        <v>185797</v>
      </c>
      <c r="O22" s="30">
        <f t="shared" si="32"/>
        <v>70.4032677735085</v>
      </c>
      <c r="P22" s="30">
        <f t="shared" si="32"/>
        <v>79.45735726414578</v>
      </c>
      <c r="Q22" s="30">
        <f t="shared" si="32"/>
        <v>74.37324121256759</v>
      </c>
      <c r="R22" s="8">
        <v>49424</v>
      </c>
      <c r="S22" s="8">
        <v>2572</v>
      </c>
      <c r="T22" s="9">
        <f t="shared" si="115"/>
        <v>51996</v>
      </c>
      <c r="U22" s="8">
        <v>26901</v>
      </c>
      <c r="V22" s="8">
        <v>1481</v>
      </c>
      <c r="W22" s="9">
        <f t="shared" si="35"/>
        <v>28382</v>
      </c>
      <c r="X22" s="7">
        <v>342</v>
      </c>
      <c r="Y22" s="7">
        <v>98</v>
      </c>
      <c r="Z22" s="11">
        <f t="shared" si="36"/>
        <v>440</v>
      </c>
      <c r="AA22" s="8">
        <f t="shared" si="156"/>
        <v>27243</v>
      </c>
      <c r="AB22" s="8">
        <f t="shared" si="157"/>
        <v>1579</v>
      </c>
      <c r="AC22" s="8">
        <f>SUM(W22,Z22)</f>
        <v>28822</v>
      </c>
      <c r="AD22" s="30">
        <f t="shared" si="117"/>
        <v>55.12099384914212</v>
      </c>
      <c r="AE22" s="30">
        <f t="shared" si="117"/>
        <v>61.39191290824261</v>
      </c>
      <c r="AF22" s="30">
        <f t="shared" si="117"/>
        <v>55.43118701438572</v>
      </c>
      <c r="AG22" s="11">
        <f t="shared" si="38"/>
        <v>189703</v>
      </c>
      <c r="AH22" s="11">
        <f t="shared" si="38"/>
        <v>112110</v>
      </c>
      <c r="AI22" s="11">
        <f t="shared" si="39"/>
        <v>301813</v>
      </c>
      <c r="AJ22" s="11">
        <f t="shared" si="40"/>
        <v>105590</v>
      </c>
      <c r="AK22" s="11">
        <f t="shared" si="40"/>
        <v>79376</v>
      </c>
      <c r="AL22" s="11">
        <f t="shared" si="41"/>
        <v>184966</v>
      </c>
      <c r="AM22" s="11">
        <f t="shared" si="150"/>
        <v>20414</v>
      </c>
      <c r="AN22" s="11">
        <f t="shared" si="150"/>
        <v>9239</v>
      </c>
      <c r="AO22" s="11">
        <f t="shared" si="42"/>
        <v>29653</v>
      </c>
      <c r="AP22" s="8">
        <f t="shared" si="43"/>
        <v>126004</v>
      </c>
      <c r="AQ22" s="8">
        <f t="shared" si="43"/>
        <v>88615</v>
      </c>
      <c r="AR22" s="11">
        <f t="shared" si="118"/>
        <v>214619</v>
      </c>
      <c r="AS22" s="30">
        <f t="shared" si="119"/>
        <v>66.42172237655703</v>
      </c>
      <c r="AT22" s="30">
        <f t="shared" si="119"/>
        <v>79.04290429042904</v>
      </c>
      <c r="AU22" s="30">
        <f t="shared" si="119"/>
        <v>71.10992568245901</v>
      </c>
      <c r="AV22" s="10">
        <v>26091</v>
      </c>
      <c r="AW22" s="10">
        <v>23338</v>
      </c>
      <c r="AX22" s="11">
        <f t="shared" si="44"/>
        <v>49429</v>
      </c>
      <c r="AY22" s="10">
        <v>12866</v>
      </c>
      <c r="AZ22" s="10">
        <v>14191</v>
      </c>
      <c r="BA22" s="11">
        <f t="shared" si="45"/>
        <v>27057</v>
      </c>
      <c r="BB22" s="7">
        <v>3883</v>
      </c>
      <c r="BC22" s="7">
        <v>2425</v>
      </c>
      <c r="BD22" s="11">
        <f t="shared" si="162"/>
        <v>6308</v>
      </c>
      <c r="BE22" s="8">
        <f t="shared" si="46"/>
        <v>16749</v>
      </c>
      <c r="BF22" s="8">
        <f t="shared" si="46"/>
        <v>16616</v>
      </c>
      <c r="BG22" s="11">
        <f t="shared" si="120"/>
        <v>33365</v>
      </c>
      <c r="BH22" s="30">
        <f t="shared" si="121"/>
        <v>64.19454984477406</v>
      </c>
      <c r="BI22" s="30">
        <f t="shared" si="121"/>
        <v>71.19718913360185</v>
      </c>
      <c r="BJ22" s="30">
        <f t="shared" si="121"/>
        <v>67.50085981913452</v>
      </c>
      <c r="BK22" s="10">
        <v>11027</v>
      </c>
      <c r="BL22" s="10">
        <v>638</v>
      </c>
      <c r="BM22" s="11">
        <f t="shared" si="47"/>
        <v>11665</v>
      </c>
      <c r="BN22" s="10">
        <v>5461</v>
      </c>
      <c r="BO22" s="10">
        <v>330</v>
      </c>
      <c r="BP22" s="11">
        <f t="shared" si="48"/>
        <v>5791</v>
      </c>
      <c r="BQ22" s="10">
        <v>36</v>
      </c>
      <c r="BR22" s="10">
        <v>12</v>
      </c>
      <c r="BS22" s="11">
        <f t="shared" si="49"/>
        <v>48</v>
      </c>
      <c r="BT22" s="8">
        <f t="shared" si="50"/>
        <v>5497</v>
      </c>
      <c r="BU22" s="8">
        <f t="shared" si="50"/>
        <v>342</v>
      </c>
      <c r="BV22" s="11">
        <f t="shared" si="122"/>
        <v>5839</v>
      </c>
      <c r="BW22" s="30">
        <f aca="true" t="shared" si="166" ref="BW22:BY40">IF(BK22=0,"",BT22/BK22*100)</f>
        <v>49.850367280311964</v>
      </c>
      <c r="BX22" s="30">
        <f t="shared" si="166"/>
        <v>53.60501567398119</v>
      </c>
      <c r="BY22" s="30">
        <f t="shared" si="166"/>
        <v>50.05572224603515</v>
      </c>
      <c r="BZ22" s="11">
        <f t="shared" si="51"/>
        <v>37118</v>
      </c>
      <c r="CA22" s="11">
        <f t="shared" si="51"/>
        <v>23976</v>
      </c>
      <c r="CB22" s="11">
        <f t="shared" si="52"/>
        <v>61094</v>
      </c>
      <c r="CC22" s="11">
        <f t="shared" si="53"/>
        <v>18327</v>
      </c>
      <c r="CD22" s="11">
        <f t="shared" si="53"/>
        <v>14521</v>
      </c>
      <c r="CE22" s="11">
        <f t="shared" si="54"/>
        <v>32848</v>
      </c>
      <c r="CF22" s="11">
        <f t="shared" si="153"/>
        <v>3919</v>
      </c>
      <c r="CG22" s="11">
        <f t="shared" si="153"/>
        <v>2437</v>
      </c>
      <c r="CH22" s="11">
        <f t="shared" si="55"/>
        <v>6356</v>
      </c>
      <c r="CI22" s="8">
        <f t="shared" si="56"/>
        <v>22246</v>
      </c>
      <c r="CJ22" s="8">
        <f t="shared" si="56"/>
        <v>16958</v>
      </c>
      <c r="CK22" s="11">
        <f t="shared" si="126"/>
        <v>39204</v>
      </c>
      <c r="CL22" s="30">
        <f t="shared" si="127"/>
        <v>59.93318605528315</v>
      </c>
      <c r="CM22" s="30">
        <f t="shared" si="127"/>
        <v>70.72906239572906</v>
      </c>
      <c r="CN22" s="30">
        <f t="shared" si="127"/>
        <v>64.16996759092545</v>
      </c>
      <c r="CO22" s="92"/>
      <c r="CP22" s="92"/>
      <c r="CQ22" s="93">
        <f t="shared" si="163"/>
        <v>0</v>
      </c>
      <c r="CR22" s="92"/>
      <c r="CS22" s="92"/>
      <c r="CT22" s="93">
        <f t="shared" si="164"/>
        <v>0</v>
      </c>
      <c r="CU22" s="92"/>
      <c r="CV22" s="92"/>
      <c r="CW22" s="93">
        <f t="shared" si="151"/>
        <v>0</v>
      </c>
      <c r="CX22" s="94">
        <f t="shared" si="59"/>
        <v>0</v>
      </c>
      <c r="CY22" s="94">
        <f t="shared" si="60"/>
        <v>0</v>
      </c>
      <c r="CZ22" s="93">
        <f t="shared" si="128"/>
        <v>0</v>
      </c>
      <c r="DA22" s="95">
        <f t="shared" si="129"/>
      </c>
      <c r="DB22" s="95">
        <f t="shared" si="130"/>
      </c>
      <c r="DC22" s="95">
        <f t="shared" si="131"/>
      </c>
      <c r="DD22" s="92"/>
      <c r="DE22" s="92"/>
      <c r="DF22" s="93">
        <f t="shared" si="61"/>
        <v>0</v>
      </c>
      <c r="DG22" s="92"/>
      <c r="DH22" s="92"/>
      <c r="DI22" s="93">
        <f t="shared" si="62"/>
        <v>0</v>
      </c>
      <c r="DJ22" s="92"/>
      <c r="DK22" s="92"/>
      <c r="DL22" s="96">
        <f t="shared" si="152"/>
        <v>0</v>
      </c>
      <c r="DM22" s="94">
        <f t="shared" si="63"/>
        <v>0</v>
      </c>
      <c r="DN22" s="94">
        <f t="shared" si="64"/>
        <v>0</v>
      </c>
      <c r="DO22" s="93">
        <f t="shared" si="132"/>
        <v>0</v>
      </c>
      <c r="DP22" s="95">
        <f t="shared" si="161"/>
      </c>
      <c r="DQ22" s="95">
        <f t="shared" si="165"/>
      </c>
      <c r="DR22" s="95">
        <f t="shared" si="134"/>
      </c>
      <c r="DS22" s="93">
        <f t="shared" si="65"/>
        <v>0</v>
      </c>
      <c r="DT22" s="93">
        <f t="shared" si="66"/>
        <v>0</v>
      </c>
      <c r="DU22" s="93">
        <f t="shared" si="67"/>
        <v>0</v>
      </c>
      <c r="DV22" s="93">
        <f t="shared" si="68"/>
        <v>0</v>
      </c>
      <c r="DW22" s="93">
        <f t="shared" si="69"/>
        <v>0</v>
      </c>
      <c r="DX22" s="93">
        <f t="shared" si="70"/>
        <v>0</v>
      </c>
      <c r="DY22" s="93">
        <f t="shared" si="158"/>
        <v>0</v>
      </c>
      <c r="DZ22" s="93">
        <f t="shared" si="159"/>
        <v>0</v>
      </c>
      <c r="EA22" s="93">
        <f t="shared" si="71"/>
        <v>0</v>
      </c>
      <c r="EB22" s="94">
        <f t="shared" si="72"/>
        <v>0</v>
      </c>
      <c r="EC22" s="94">
        <f t="shared" si="73"/>
        <v>0</v>
      </c>
      <c r="ED22" s="93">
        <f t="shared" si="135"/>
        <v>0</v>
      </c>
      <c r="EE22" s="95">
        <f t="shared" si="136"/>
      </c>
      <c r="EF22" s="95">
        <f t="shared" si="137"/>
      </c>
      <c r="EG22" s="95">
        <f t="shared" si="138"/>
      </c>
      <c r="EH22" s="10">
        <v>25838</v>
      </c>
      <c r="EI22" s="10">
        <v>21305</v>
      </c>
      <c r="EJ22" s="11">
        <f t="shared" si="74"/>
        <v>47143</v>
      </c>
      <c r="EK22" s="10">
        <v>14904</v>
      </c>
      <c r="EL22" s="10">
        <v>15918</v>
      </c>
      <c r="EM22" s="11">
        <f t="shared" si="75"/>
        <v>30822</v>
      </c>
      <c r="EN22" s="10"/>
      <c r="EO22" s="10"/>
      <c r="EP22" s="11">
        <f t="shared" si="76"/>
        <v>0</v>
      </c>
      <c r="EQ22" s="8">
        <f t="shared" si="77"/>
        <v>14904</v>
      </c>
      <c r="ER22" s="8">
        <f t="shared" si="77"/>
        <v>15918</v>
      </c>
      <c r="ES22" s="11">
        <f t="shared" si="139"/>
        <v>30822</v>
      </c>
      <c r="ET22" s="30">
        <f t="shared" si="140"/>
        <v>57.6824831643316</v>
      </c>
      <c r="EU22" s="30">
        <f t="shared" si="140"/>
        <v>74.71485566768365</v>
      </c>
      <c r="EV22" s="30">
        <f t="shared" si="140"/>
        <v>65.37980187938824</v>
      </c>
      <c r="EW22" s="10">
        <v>3444</v>
      </c>
      <c r="EX22" s="10">
        <v>1092</v>
      </c>
      <c r="EY22" s="11">
        <f t="shared" si="78"/>
        <v>4536</v>
      </c>
      <c r="EZ22" s="10">
        <v>1911</v>
      </c>
      <c r="FA22" s="10">
        <v>679</v>
      </c>
      <c r="FB22" s="11">
        <f t="shared" si="79"/>
        <v>2590</v>
      </c>
      <c r="FC22" s="10"/>
      <c r="FD22" s="10"/>
      <c r="FE22" s="7">
        <f t="shared" si="141"/>
        <v>0</v>
      </c>
      <c r="FF22" s="8">
        <f t="shared" si="80"/>
        <v>1911</v>
      </c>
      <c r="FG22" s="8">
        <f t="shared" si="80"/>
        <v>679</v>
      </c>
      <c r="FH22" s="11">
        <f t="shared" si="142"/>
        <v>2590</v>
      </c>
      <c r="FI22" s="30">
        <f t="shared" si="143"/>
        <v>55.487804878048784</v>
      </c>
      <c r="FJ22" s="30">
        <f t="shared" si="143"/>
        <v>62.17948717948718</v>
      </c>
      <c r="FK22" s="30">
        <f t="shared" si="143"/>
        <v>57.098765432098766</v>
      </c>
      <c r="FL22" s="11">
        <f t="shared" si="81"/>
        <v>29282</v>
      </c>
      <c r="FM22" s="11">
        <f t="shared" si="81"/>
        <v>22397</v>
      </c>
      <c r="FN22" s="11">
        <f t="shared" si="82"/>
        <v>51679</v>
      </c>
      <c r="FO22" s="11">
        <f t="shared" si="83"/>
        <v>16815</v>
      </c>
      <c r="FP22" s="11">
        <f t="shared" si="83"/>
        <v>16597</v>
      </c>
      <c r="FQ22" s="11">
        <f t="shared" si="84"/>
        <v>33412</v>
      </c>
      <c r="FR22" s="11">
        <f t="shared" si="144"/>
        <v>0</v>
      </c>
      <c r="FS22" s="11">
        <f t="shared" si="144"/>
        <v>0</v>
      </c>
      <c r="FT22" s="11">
        <f t="shared" si="85"/>
        <v>0</v>
      </c>
      <c r="FU22" s="8">
        <f t="shared" si="86"/>
        <v>16815</v>
      </c>
      <c r="FV22" s="8">
        <f t="shared" si="86"/>
        <v>16597</v>
      </c>
      <c r="FW22" s="11">
        <f t="shared" si="145"/>
        <v>33412</v>
      </c>
      <c r="FX22" s="30">
        <f t="shared" si="146"/>
        <v>57.424356259818325</v>
      </c>
      <c r="FY22" s="30">
        <f t="shared" si="146"/>
        <v>74.10367459927669</v>
      </c>
      <c r="FZ22" s="30">
        <f t="shared" si="146"/>
        <v>64.65295381102575</v>
      </c>
      <c r="GA22" s="21">
        <f t="shared" si="147"/>
        <v>126004</v>
      </c>
      <c r="GB22" s="21">
        <f t="shared" si="148"/>
        <v>88615</v>
      </c>
      <c r="GC22" s="21">
        <f t="shared" si="149"/>
        <v>214619</v>
      </c>
      <c r="GD22" s="47">
        <v>14921</v>
      </c>
      <c r="GE22" s="47">
        <v>27346</v>
      </c>
      <c r="GF22" s="21">
        <f t="shared" si="87"/>
        <v>42267</v>
      </c>
      <c r="GG22" s="21">
        <v>48117</v>
      </c>
      <c r="GH22" s="21">
        <v>42149</v>
      </c>
      <c r="GI22" s="21">
        <f t="shared" si="88"/>
        <v>90266</v>
      </c>
      <c r="GJ22" s="57">
        <f t="shared" si="89"/>
        <v>11.841687565474112</v>
      </c>
      <c r="GK22" s="57">
        <f t="shared" si="90"/>
        <v>30.859335326976247</v>
      </c>
      <c r="GL22" s="57">
        <f t="shared" si="91"/>
        <v>19.69396931306175</v>
      </c>
      <c r="GM22" s="46">
        <f t="shared" si="92"/>
        <v>38.18688295609663</v>
      </c>
      <c r="GN22" s="46">
        <f t="shared" si="93"/>
        <v>47.56418213620719</v>
      </c>
      <c r="GO22" s="46">
        <f t="shared" si="94"/>
        <v>42.05871800725937</v>
      </c>
      <c r="GP22" s="21">
        <f t="shared" si="95"/>
        <v>22246</v>
      </c>
      <c r="GQ22" s="21">
        <f t="shared" si="96"/>
        <v>16958</v>
      </c>
      <c r="GR22" s="21">
        <f t="shared" si="97"/>
        <v>39204</v>
      </c>
      <c r="GS22" s="47">
        <v>1429</v>
      </c>
      <c r="GT22" s="47">
        <v>2640</v>
      </c>
      <c r="GU22" s="21">
        <f t="shared" si="98"/>
        <v>4069</v>
      </c>
      <c r="GV22" s="21">
        <v>7542</v>
      </c>
      <c r="GW22" s="21">
        <v>8567</v>
      </c>
      <c r="GX22" s="21">
        <f t="shared" si="99"/>
        <v>16109</v>
      </c>
      <c r="GY22" s="57">
        <f t="shared" si="100"/>
        <v>6.423626719410231</v>
      </c>
      <c r="GZ22" s="57">
        <f t="shared" si="101"/>
        <v>15.567873569996461</v>
      </c>
      <c r="HA22" s="57">
        <f t="shared" si="102"/>
        <v>10.37904295480053</v>
      </c>
      <c r="HB22" s="46">
        <f t="shared" si="103"/>
        <v>33.902724085228805</v>
      </c>
      <c r="HC22" s="46">
        <f t="shared" si="104"/>
        <v>50.51892911899988</v>
      </c>
      <c r="HD22" s="46">
        <f t="shared" si="105"/>
        <v>41.09019487807366</v>
      </c>
      <c r="HE22" s="98"/>
      <c r="HF22" s="98"/>
      <c r="HG22" s="98"/>
      <c r="HH22" s="98"/>
      <c r="HI22" s="98"/>
      <c r="HJ22" s="98"/>
      <c r="HK22" s="98"/>
      <c r="HL22" s="98"/>
      <c r="HM22" s="98"/>
      <c r="HN22" s="95"/>
      <c r="HO22" s="95"/>
      <c r="HP22" s="95"/>
      <c r="HQ22" s="103"/>
      <c r="HR22" s="103"/>
      <c r="HS22" s="103"/>
    </row>
    <row r="23" spans="1:227" ht="27.75" customHeight="1">
      <c r="A23" s="4">
        <v>14</v>
      </c>
      <c r="B23" s="6" t="s">
        <v>47</v>
      </c>
      <c r="C23" s="8">
        <v>54354</v>
      </c>
      <c r="D23" s="18">
        <v>49921</v>
      </c>
      <c r="E23" s="17">
        <f t="shared" si="154"/>
        <v>104275</v>
      </c>
      <c r="F23" s="8">
        <v>41672</v>
      </c>
      <c r="G23" s="8">
        <v>40932</v>
      </c>
      <c r="H23" s="9">
        <f t="shared" si="33"/>
        <v>82604</v>
      </c>
      <c r="I23" s="13">
        <v>5695</v>
      </c>
      <c r="J23" s="13">
        <v>4557</v>
      </c>
      <c r="K23" s="12">
        <f t="shared" si="155"/>
        <v>10252</v>
      </c>
      <c r="L23" s="8">
        <f t="shared" si="34"/>
        <v>47367</v>
      </c>
      <c r="M23" s="8">
        <f t="shared" si="34"/>
        <v>45489</v>
      </c>
      <c r="N23" s="8">
        <f t="shared" si="34"/>
        <v>92856</v>
      </c>
      <c r="O23" s="30">
        <f t="shared" si="32"/>
        <v>87.14538028479964</v>
      </c>
      <c r="P23" s="30">
        <f t="shared" si="32"/>
        <v>91.12197271689269</v>
      </c>
      <c r="Q23" s="30">
        <f t="shared" si="32"/>
        <v>89.04914888515944</v>
      </c>
      <c r="R23" s="13">
        <v>821</v>
      </c>
      <c r="S23" s="13">
        <v>283</v>
      </c>
      <c r="T23" s="9">
        <f t="shared" si="115"/>
        <v>1104</v>
      </c>
      <c r="U23" s="13">
        <v>354</v>
      </c>
      <c r="V23" s="13">
        <v>172</v>
      </c>
      <c r="W23" s="9">
        <f>U23+V23</f>
        <v>526</v>
      </c>
      <c r="X23" s="7">
        <v>15</v>
      </c>
      <c r="Y23" s="7">
        <v>12</v>
      </c>
      <c r="Z23" s="11">
        <f t="shared" si="36"/>
        <v>27</v>
      </c>
      <c r="AA23" s="8">
        <f t="shared" si="156"/>
        <v>369</v>
      </c>
      <c r="AB23" s="8">
        <f t="shared" si="157"/>
        <v>184</v>
      </c>
      <c r="AC23" s="11">
        <f t="shared" si="116"/>
        <v>553</v>
      </c>
      <c r="AD23" s="30">
        <f t="shared" si="117"/>
        <v>44.945188794153474</v>
      </c>
      <c r="AE23" s="30">
        <f t="shared" si="117"/>
        <v>65.01766784452296</v>
      </c>
      <c r="AF23" s="30">
        <f t="shared" si="117"/>
        <v>50.09057971014492</v>
      </c>
      <c r="AG23" s="11">
        <f t="shared" si="38"/>
        <v>55175</v>
      </c>
      <c r="AH23" s="11">
        <f t="shared" si="38"/>
        <v>50204</v>
      </c>
      <c r="AI23" s="11">
        <f t="shared" si="39"/>
        <v>105379</v>
      </c>
      <c r="AJ23" s="11">
        <f t="shared" si="40"/>
        <v>42026</v>
      </c>
      <c r="AK23" s="11">
        <f t="shared" si="40"/>
        <v>41104</v>
      </c>
      <c r="AL23" s="11">
        <f t="shared" si="41"/>
        <v>83130</v>
      </c>
      <c r="AM23" s="11">
        <f t="shared" si="150"/>
        <v>5710</v>
      </c>
      <c r="AN23" s="11">
        <f t="shared" si="150"/>
        <v>4569</v>
      </c>
      <c r="AO23" s="11">
        <f t="shared" si="42"/>
        <v>10279</v>
      </c>
      <c r="AP23" s="8">
        <f t="shared" si="43"/>
        <v>47736</v>
      </c>
      <c r="AQ23" s="8">
        <f t="shared" si="43"/>
        <v>45673</v>
      </c>
      <c r="AR23" s="11">
        <f t="shared" si="118"/>
        <v>93409</v>
      </c>
      <c r="AS23" s="30">
        <f t="shared" si="119"/>
        <v>86.5174444947893</v>
      </c>
      <c r="AT23" s="30">
        <f t="shared" si="119"/>
        <v>90.97482272328898</v>
      </c>
      <c r="AU23" s="30">
        <f t="shared" si="119"/>
        <v>88.64100057886296</v>
      </c>
      <c r="AV23" s="10">
        <v>13556</v>
      </c>
      <c r="AW23" s="10">
        <v>12886</v>
      </c>
      <c r="AX23" s="11">
        <f t="shared" si="44"/>
        <v>26442</v>
      </c>
      <c r="AY23" s="10">
        <v>10161</v>
      </c>
      <c r="AZ23" s="10">
        <v>10367</v>
      </c>
      <c r="BA23" s="11">
        <f t="shared" si="45"/>
        <v>20528</v>
      </c>
      <c r="BB23" s="7">
        <v>1530</v>
      </c>
      <c r="BC23" s="7">
        <v>1268</v>
      </c>
      <c r="BD23" s="11">
        <f t="shared" si="162"/>
        <v>2798</v>
      </c>
      <c r="BE23" s="8">
        <f t="shared" si="46"/>
        <v>11691</v>
      </c>
      <c r="BF23" s="8">
        <f t="shared" si="46"/>
        <v>11635</v>
      </c>
      <c r="BG23" s="11">
        <f t="shared" si="120"/>
        <v>23326</v>
      </c>
      <c r="BH23" s="30">
        <f t="shared" si="121"/>
        <v>86.24225435231632</v>
      </c>
      <c r="BI23" s="30">
        <f t="shared" si="121"/>
        <v>90.29178953903461</v>
      </c>
      <c r="BJ23" s="30">
        <f t="shared" si="121"/>
        <v>88.21571741925725</v>
      </c>
      <c r="BK23" s="7">
        <v>94</v>
      </c>
      <c r="BL23" s="7">
        <v>24</v>
      </c>
      <c r="BM23" s="11">
        <f t="shared" si="47"/>
        <v>118</v>
      </c>
      <c r="BN23" s="7">
        <v>23</v>
      </c>
      <c r="BO23" s="7">
        <v>10</v>
      </c>
      <c r="BP23" s="11">
        <f t="shared" si="48"/>
        <v>33</v>
      </c>
      <c r="BQ23" s="10">
        <v>1</v>
      </c>
      <c r="BR23" s="10">
        <v>1</v>
      </c>
      <c r="BS23" s="11">
        <f t="shared" si="49"/>
        <v>2</v>
      </c>
      <c r="BT23" s="8">
        <f t="shared" si="50"/>
        <v>24</v>
      </c>
      <c r="BU23" s="8">
        <f t="shared" si="50"/>
        <v>11</v>
      </c>
      <c r="BV23" s="11">
        <f t="shared" si="122"/>
        <v>35</v>
      </c>
      <c r="BW23" s="30">
        <f t="shared" si="166"/>
        <v>25.53191489361702</v>
      </c>
      <c r="BX23" s="30">
        <f t="shared" si="166"/>
        <v>45.83333333333333</v>
      </c>
      <c r="BY23" s="30">
        <f t="shared" si="166"/>
        <v>29.66101694915254</v>
      </c>
      <c r="BZ23" s="11">
        <f t="shared" si="51"/>
        <v>13650</v>
      </c>
      <c r="CA23" s="11">
        <f t="shared" si="51"/>
        <v>12910</v>
      </c>
      <c r="CB23" s="11">
        <f t="shared" si="52"/>
        <v>26560</v>
      </c>
      <c r="CC23" s="11">
        <f t="shared" si="53"/>
        <v>10184</v>
      </c>
      <c r="CD23" s="11">
        <f t="shared" si="53"/>
        <v>10377</v>
      </c>
      <c r="CE23" s="11">
        <f t="shared" si="54"/>
        <v>20561</v>
      </c>
      <c r="CF23" s="11">
        <f t="shared" si="153"/>
        <v>1531</v>
      </c>
      <c r="CG23" s="11">
        <f t="shared" si="153"/>
        <v>1269</v>
      </c>
      <c r="CH23" s="11">
        <f t="shared" si="55"/>
        <v>2800</v>
      </c>
      <c r="CI23" s="8">
        <f t="shared" si="56"/>
        <v>11715</v>
      </c>
      <c r="CJ23" s="8">
        <f t="shared" si="56"/>
        <v>11646</v>
      </c>
      <c r="CK23" s="11">
        <f t="shared" si="126"/>
        <v>23361</v>
      </c>
      <c r="CL23" s="30">
        <f t="shared" si="127"/>
        <v>85.82417582417582</v>
      </c>
      <c r="CM23" s="30">
        <f t="shared" si="127"/>
        <v>90.20914020139426</v>
      </c>
      <c r="CN23" s="30">
        <f t="shared" si="127"/>
        <v>87.95557228915662</v>
      </c>
      <c r="CO23" s="10">
        <v>3406</v>
      </c>
      <c r="CP23" s="10">
        <v>3086</v>
      </c>
      <c r="CQ23" s="11">
        <f t="shared" si="163"/>
        <v>6492</v>
      </c>
      <c r="CR23" s="10">
        <v>2521</v>
      </c>
      <c r="CS23" s="10">
        <v>2494</v>
      </c>
      <c r="CT23" s="11">
        <f t="shared" si="164"/>
        <v>5015</v>
      </c>
      <c r="CU23" s="7">
        <v>367</v>
      </c>
      <c r="CV23" s="7">
        <v>327</v>
      </c>
      <c r="CW23" s="11">
        <f t="shared" si="151"/>
        <v>694</v>
      </c>
      <c r="CX23" s="8">
        <f t="shared" si="59"/>
        <v>2888</v>
      </c>
      <c r="CY23" s="8">
        <f t="shared" si="60"/>
        <v>2821</v>
      </c>
      <c r="CZ23" s="11">
        <f t="shared" si="128"/>
        <v>5709</v>
      </c>
      <c r="DA23" s="30">
        <f t="shared" si="129"/>
        <v>84.79154433352906</v>
      </c>
      <c r="DB23" s="30">
        <f t="shared" si="130"/>
        <v>91.41283214517173</v>
      </c>
      <c r="DC23" s="30">
        <f t="shared" si="131"/>
        <v>87.93900184842883</v>
      </c>
      <c r="DD23" s="7">
        <v>26</v>
      </c>
      <c r="DE23" s="7">
        <v>11</v>
      </c>
      <c r="DF23" s="11">
        <f t="shared" si="61"/>
        <v>37</v>
      </c>
      <c r="DG23" s="7">
        <v>3</v>
      </c>
      <c r="DH23" s="7">
        <v>4</v>
      </c>
      <c r="DI23" s="11">
        <f t="shared" si="62"/>
        <v>7</v>
      </c>
      <c r="DJ23" s="7">
        <v>1</v>
      </c>
      <c r="DK23" s="7">
        <v>0</v>
      </c>
      <c r="DL23" s="7">
        <f t="shared" si="152"/>
        <v>1</v>
      </c>
      <c r="DM23" s="8">
        <f t="shared" si="63"/>
        <v>4</v>
      </c>
      <c r="DN23" s="8">
        <f t="shared" si="64"/>
        <v>4</v>
      </c>
      <c r="DO23" s="11">
        <f t="shared" si="132"/>
        <v>8</v>
      </c>
      <c r="DP23" s="30">
        <f t="shared" si="161"/>
        <v>15.384615384615385</v>
      </c>
      <c r="DQ23" s="30">
        <f t="shared" si="165"/>
        <v>36.36363636363637</v>
      </c>
      <c r="DR23" s="30">
        <f t="shared" si="134"/>
        <v>21.62162162162162</v>
      </c>
      <c r="DS23" s="11">
        <f t="shared" si="65"/>
        <v>3432</v>
      </c>
      <c r="DT23" s="11">
        <f t="shared" si="66"/>
        <v>3097</v>
      </c>
      <c r="DU23" s="11">
        <f t="shared" si="67"/>
        <v>6529</v>
      </c>
      <c r="DV23" s="11">
        <f t="shared" si="68"/>
        <v>2524</v>
      </c>
      <c r="DW23" s="11">
        <f t="shared" si="69"/>
        <v>2498</v>
      </c>
      <c r="DX23" s="11">
        <f t="shared" si="70"/>
        <v>5022</v>
      </c>
      <c r="DY23" s="11">
        <f t="shared" si="158"/>
        <v>368</v>
      </c>
      <c r="DZ23" s="11">
        <f t="shared" si="159"/>
        <v>327</v>
      </c>
      <c r="EA23" s="11">
        <f t="shared" si="71"/>
        <v>695</v>
      </c>
      <c r="EB23" s="8">
        <f t="shared" si="72"/>
        <v>2892</v>
      </c>
      <c r="EC23" s="8">
        <f t="shared" si="73"/>
        <v>2825</v>
      </c>
      <c r="ED23" s="11">
        <f t="shared" si="135"/>
        <v>5717</v>
      </c>
      <c r="EE23" s="30">
        <f t="shared" si="136"/>
        <v>84.26573426573427</v>
      </c>
      <c r="EF23" s="30">
        <f t="shared" si="137"/>
        <v>91.21730707135937</v>
      </c>
      <c r="EG23" s="30">
        <f t="shared" si="138"/>
        <v>87.56317965997854</v>
      </c>
      <c r="EH23" s="10">
        <v>6798</v>
      </c>
      <c r="EI23" s="10">
        <v>6925</v>
      </c>
      <c r="EJ23" s="11">
        <f t="shared" si="74"/>
        <v>13723</v>
      </c>
      <c r="EK23" s="10">
        <v>4391</v>
      </c>
      <c r="EL23" s="10">
        <v>4733</v>
      </c>
      <c r="EM23" s="11">
        <f t="shared" si="75"/>
        <v>9124</v>
      </c>
      <c r="EN23" s="7">
        <v>886</v>
      </c>
      <c r="EO23" s="7">
        <v>996</v>
      </c>
      <c r="EP23" s="11">
        <f t="shared" si="76"/>
        <v>1882</v>
      </c>
      <c r="EQ23" s="8">
        <f t="shared" si="77"/>
        <v>5277</v>
      </c>
      <c r="ER23" s="8">
        <f t="shared" si="77"/>
        <v>5729</v>
      </c>
      <c r="ES23" s="11">
        <f t="shared" si="139"/>
        <v>11006</v>
      </c>
      <c r="ET23" s="30">
        <f t="shared" si="140"/>
        <v>77.62577228596646</v>
      </c>
      <c r="EU23" s="30">
        <f t="shared" si="140"/>
        <v>82.72924187725633</v>
      </c>
      <c r="EV23" s="30">
        <f t="shared" si="140"/>
        <v>80.2011222035998</v>
      </c>
      <c r="EW23" s="7">
        <v>2597</v>
      </c>
      <c r="EX23" s="7">
        <v>1591</v>
      </c>
      <c r="EY23" s="11">
        <f t="shared" si="78"/>
        <v>4188</v>
      </c>
      <c r="EZ23" s="7">
        <v>967</v>
      </c>
      <c r="FA23" s="7">
        <v>695</v>
      </c>
      <c r="FB23" s="11">
        <f t="shared" si="79"/>
        <v>1662</v>
      </c>
      <c r="FC23" s="7">
        <v>244</v>
      </c>
      <c r="FD23" s="7">
        <v>149</v>
      </c>
      <c r="FE23" s="7">
        <f t="shared" si="141"/>
        <v>393</v>
      </c>
      <c r="FF23" s="8">
        <f t="shared" si="80"/>
        <v>1211</v>
      </c>
      <c r="FG23" s="8">
        <f t="shared" si="80"/>
        <v>844</v>
      </c>
      <c r="FH23" s="11">
        <f t="shared" si="142"/>
        <v>2055</v>
      </c>
      <c r="FI23" s="30">
        <f t="shared" si="143"/>
        <v>46.63072776280324</v>
      </c>
      <c r="FJ23" s="30">
        <f t="shared" si="143"/>
        <v>53.04839723444375</v>
      </c>
      <c r="FK23" s="30">
        <f t="shared" si="143"/>
        <v>49.06876790830946</v>
      </c>
      <c r="FL23" s="11">
        <f t="shared" si="81"/>
        <v>9395</v>
      </c>
      <c r="FM23" s="11">
        <f t="shared" si="81"/>
        <v>8516</v>
      </c>
      <c r="FN23" s="11">
        <f t="shared" si="82"/>
        <v>17911</v>
      </c>
      <c r="FO23" s="11">
        <f t="shared" si="83"/>
        <v>5358</v>
      </c>
      <c r="FP23" s="11">
        <f t="shared" si="83"/>
        <v>5428</v>
      </c>
      <c r="FQ23" s="11">
        <f t="shared" si="84"/>
        <v>10786</v>
      </c>
      <c r="FR23" s="11">
        <f t="shared" si="144"/>
        <v>1130</v>
      </c>
      <c r="FS23" s="11">
        <f t="shared" si="144"/>
        <v>1145</v>
      </c>
      <c r="FT23" s="11">
        <f t="shared" si="85"/>
        <v>2275</v>
      </c>
      <c r="FU23" s="8">
        <f t="shared" si="86"/>
        <v>6488</v>
      </c>
      <c r="FV23" s="8">
        <f t="shared" si="86"/>
        <v>6573</v>
      </c>
      <c r="FW23" s="11">
        <f t="shared" si="145"/>
        <v>13061</v>
      </c>
      <c r="FX23" s="30">
        <f t="shared" si="146"/>
        <v>69.05800957956359</v>
      </c>
      <c r="FY23" s="30">
        <f t="shared" si="146"/>
        <v>77.18412400187881</v>
      </c>
      <c r="FZ23" s="30">
        <f t="shared" si="146"/>
        <v>72.92166824856233</v>
      </c>
      <c r="GA23" s="21">
        <f t="shared" si="147"/>
        <v>47736</v>
      </c>
      <c r="GB23" s="21">
        <f t="shared" si="148"/>
        <v>45673</v>
      </c>
      <c r="GC23" s="21">
        <f t="shared" si="149"/>
        <v>93409</v>
      </c>
      <c r="GD23" s="47">
        <v>4672</v>
      </c>
      <c r="GE23" s="47">
        <v>6706</v>
      </c>
      <c r="GF23" s="21">
        <f t="shared" si="87"/>
        <v>11378</v>
      </c>
      <c r="GG23" s="21">
        <v>1965</v>
      </c>
      <c r="GH23" s="21">
        <v>2884</v>
      </c>
      <c r="GI23" s="21">
        <f t="shared" si="88"/>
        <v>4849</v>
      </c>
      <c r="GJ23" s="57">
        <f t="shared" si="89"/>
        <v>9.787162728339199</v>
      </c>
      <c r="GK23" s="57">
        <f t="shared" si="90"/>
        <v>14.682635254964639</v>
      </c>
      <c r="GL23" s="57">
        <f t="shared" si="91"/>
        <v>12.180839105439519</v>
      </c>
      <c r="GM23" s="46">
        <f t="shared" si="92"/>
        <v>4.11639014580191</v>
      </c>
      <c r="GN23" s="46">
        <f t="shared" si="93"/>
        <v>6.31445274013093</v>
      </c>
      <c r="GO23" s="46">
        <f t="shared" si="94"/>
        <v>5.191148604524189</v>
      </c>
      <c r="GP23" s="21">
        <f t="shared" si="95"/>
        <v>11715</v>
      </c>
      <c r="GQ23" s="21">
        <f t="shared" si="96"/>
        <v>11646</v>
      </c>
      <c r="GR23" s="21">
        <f t="shared" si="97"/>
        <v>23361</v>
      </c>
      <c r="GS23" s="47">
        <v>802</v>
      </c>
      <c r="GT23" s="47">
        <v>1277</v>
      </c>
      <c r="GU23" s="21">
        <f t="shared" si="98"/>
        <v>2079</v>
      </c>
      <c r="GV23" s="21">
        <v>411</v>
      </c>
      <c r="GW23" s="21">
        <v>674</v>
      </c>
      <c r="GX23" s="21">
        <f t="shared" si="99"/>
        <v>1085</v>
      </c>
      <c r="GY23" s="57">
        <f t="shared" si="100"/>
        <v>6.84592402902262</v>
      </c>
      <c r="GZ23" s="57">
        <f t="shared" si="101"/>
        <v>10.96513824489095</v>
      </c>
      <c r="HA23" s="57">
        <f t="shared" si="102"/>
        <v>8.899447797611403</v>
      </c>
      <c r="HB23" s="46">
        <f t="shared" si="103"/>
        <v>3.5083226632522404</v>
      </c>
      <c r="HC23" s="46">
        <f t="shared" si="104"/>
        <v>5.78739481366993</v>
      </c>
      <c r="HD23" s="46">
        <f t="shared" si="105"/>
        <v>4.644492958349385</v>
      </c>
      <c r="HE23" s="21">
        <f t="shared" si="106"/>
        <v>2892</v>
      </c>
      <c r="HF23" s="21">
        <f t="shared" si="107"/>
        <v>2825</v>
      </c>
      <c r="HG23" s="21">
        <f t="shared" si="108"/>
        <v>5717</v>
      </c>
      <c r="HH23" s="47">
        <v>212</v>
      </c>
      <c r="HI23" s="47">
        <v>304</v>
      </c>
      <c r="HJ23" s="21">
        <f t="shared" si="109"/>
        <v>516</v>
      </c>
      <c r="HK23" s="21">
        <v>82</v>
      </c>
      <c r="HL23" s="21">
        <v>159</v>
      </c>
      <c r="HM23" s="21">
        <f t="shared" si="110"/>
        <v>241</v>
      </c>
      <c r="HN23" s="57">
        <f t="shared" si="111"/>
        <v>7.330567081604426</v>
      </c>
      <c r="HO23" s="57">
        <f aca="true" t="shared" si="167" ref="HO23:HO29">HI23/HF23%</f>
        <v>10.761061946902656</v>
      </c>
      <c r="HP23" s="57">
        <f t="shared" si="112"/>
        <v>9.025712786426448</v>
      </c>
      <c r="HQ23" s="46">
        <f t="shared" si="113"/>
        <v>2.8354080221300135</v>
      </c>
      <c r="HR23" s="46">
        <f aca="true" t="shared" si="168" ref="HR23:HR29">HL23/HF23%</f>
        <v>5.628318584070796</v>
      </c>
      <c r="HS23" s="46">
        <f t="shared" si="114"/>
        <v>4.215497638621654</v>
      </c>
    </row>
    <row r="24" spans="1:227" ht="28.5" customHeight="1">
      <c r="A24" s="4">
        <v>15</v>
      </c>
      <c r="B24" s="6" t="s">
        <v>48</v>
      </c>
      <c r="C24" s="8">
        <v>60201</v>
      </c>
      <c r="D24" s="8">
        <v>52100</v>
      </c>
      <c r="E24" s="17">
        <f t="shared" si="154"/>
        <v>112301</v>
      </c>
      <c r="F24" s="8">
        <v>35520</v>
      </c>
      <c r="G24" s="8">
        <v>32579</v>
      </c>
      <c r="H24" s="9">
        <f t="shared" si="33"/>
        <v>68099</v>
      </c>
      <c r="I24" s="125"/>
      <c r="J24" s="125"/>
      <c r="K24" s="100"/>
      <c r="L24" s="8">
        <f t="shared" si="34"/>
        <v>35520</v>
      </c>
      <c r="M24" s="8">
        <f t="shared" si="34"/>
        <v>32579</v>
      </c>
      <c r="N24" s="8">
        <f t="shared" si="34"/>
        <v>68099</v>
      </c>
      <c r="O24" s="30">
        <f t="shared" si="32"/>
        <v>59.002342153784824</v>
      </c>
      <c r="P24" s="30">
        <f t="shared" si="32"/>
        <v>62.53166986564299</v>
      </c>
      <c r="Q24" s="30">
        <f t="shared" si="32"/>
        <v>60.63970935254361</v>
      </c>
      <c r="R24" s="10">
        <v>74282</v>
      </c>
      <c r="S24" s="10">
        <v>53336</v>
      </c>
      <c r="T24" s="9">
        <f t="shared" si="115"/>
        <v>127618</v>
      </c>
      <c r="U24" s="10">
        <v>17218</v>
      </c>
      <c r="V24" s="10">
        <v>13506</v>
      </c>
      <c r="W24" s="9">
        <f t="shared" si="35"/>
        <v>30724</v>
      </c>
      <c r="X24" s="96"/>
      <c r="Y24" s="96"/>
      <c r="Z24" s="96"/>
      <c r="AA24" s="8">
        <f t="shared" si="156"/>
        <v>17218</v>
      </c>
      <c r="AB24" s="8">
        <f t="shared" si="157"/>
        <v>13506</v>
      </c>
      <c r="AC24" s="11">
        <f t="shared" si="116"/>
        <v>30724</v>
      </c>
      <c r="AD24" s="30">
        <f t="shared" si="117"/>
        <v>23.179235884871165</v>
      </c>
      <c r="AE24" s="30">
        <f t="shared" si="117"/>
        <v>25.322483875806213</v>
      </c>
      <c r="AF24" s="30">
        <f t="shared" si="117"/>
        <v>24.074973749784515</v>
      </c>
      <c r="AG24" s="11">
        <f t="shared" si="38"/>
        <v>134483</v>
      </c>
      <c r="AH24" s="11">
        <f t="shared" si="38"/>
        <v>105436</v>
      </c>
      <c r="AI24" s="11">
        <f t="shared" si="39"/>
        <v>239919</v>
      </c>
      <c r="AJ24" s="11">
        <f t="shared" si="40"/>
        <v>52738</v>
      </c>
      <c r="AK24" s="11">
        <f t="shared" si="40"/>
        <v>46085</v>
      </c>
      <c r="AL24" s="11">
        <f t="shared" si="41"/>
        <v>98823</v>
      </c>
      <c r="AM24" s="93"/>
      <c r="AN24" s="93"/>
      <c r="AO24" s="93"/>
      <c r="AP24" s="8">
        <f t="shared" si="43"/>
        <v>52738</v>
      </c>
      <c r="AQ24" s="8">
        <f t="shared" si="43"/>
        <v>46085</v>
      </c>
      <c r="AR24" s="11">
        <f t="shared" si="118"/>
        <v>98823</v>
      </c>
      <c r="AS24" s="30">
        <f t="shared" si="119"/>
        <v>39.215365510882414</v>
      </c>
      <c r="AT24" s="30">
        <f t="shared" si="119"/>
        <v>43.70897985507796</v>
      </c>
      <c r="AU24" s="30">
        <f t="shared" si="119"/>
        <v>41.19015167619071</v>
      </c>
      <c r="AV24" s="10">
        <v>3187</v>
      </c>
      <c r="AW24" s="10">
        <v>3216</v>
      </c>
      <c r="AX24" s="11">
        <f t="shared" si="44"/>
        <v>6403</v>
      </c>
      <c r="AY24" s="10">
        <v>1324</v>
      </c>
      <c r="AZ24" s="10">
        <v>1525</v>
      </c>
      <c r="BA24" s="11">
        <f t="shared" si="45"/>
        <v>2849</v>
      </c>
      <c r="BB24" s="96"/>
      <c r="BC24" s="96"/>
      <c r="BD24" s="93"/>
      <c r="BE24" s="8">
        <f t="shared" si="46"/>
        <v>1324</v>
      </c>
      <c r="BF24" s="8">
        <f t="shared" si="46"/>
        <v>1525</v>
      </c>
      <c r="BG24" s="11">
        <f t="shared" si="120"/>
        <v>2849</v>
      </c>
      <c r="BH24" s="30">
        <f t="shared" si="121"/>
        <v>41.543771572011295</v>
      </c>
      <c r="BI24" s="30">
        <f t="shared" si="121"/>
        <v>47.41915422885572</v>
      </c>
      <c r="BJ24" s="30">
        <f t="shared" si="121"/>
        <v>44.49476807746369</v>
      </c>
      <c r="BK24" s="10">
        <v>4815</v>
      </c>
      <c r="BL24" s="10">
        <v>3590</v>
      </c>
      <c r="BM24" s="11">
        <f t="shared" si="47"/>
        <v>8405</v>
      </c>
      <c r="BN24" s="10">
        <v>1002</v>
      </c>
      <c r="BO24" s="10">
        <v>797</v>
      </c>
      <c r="BP24" s="11">
        <f t="shared" si="48"/>
        <v>1799</v>
      </c>
      <c r="BQ24" s="96"/>
      <c r="BR24" s="96"/>
      <c r="BS24" s="96"/>
      <c r="BT24" s="8">
        <f t="shared" si="50"/>
        <v>1002</v>
      </c>
      <c r="BU24" s="8">
        <f t="shared" si="50"/>
        <v>797</v>
      </c>
      <c r="BV24" s="11">
        <f t="shared" si="122"/>
        <v>1799</v>
      </c>
      <c r="BW24" s="30">
        <f t="shared" si="166"/>
        <v>20.809968847352025</v>
      </c>
      <c r="BX24" s="30">
        <f t="shared" si="166"/>
        <v>22.200557103064067</v>
      </c>
      <c r="BY24" s="30">
        <f t="shared" si="166"/>
        <v>21.403926234384297</v>
      </c>
      <c r="BZ24" s="11">
        <f t="shared" si="51"/>
        <v>8002</v>
      </c>
      <c r="CA24" s="11">
        <f t="shared" si="51"/>
        <v>6806</v>
      </c>
      <c r="CB24" s="11">
        <f t="shared" si="52"/>
        <v>14808</v>
      </c>
      <c r="CC24" s="11">
        <f t="shared" si="53"/>
        <v>2326</v>
      </c>
      <c r="CD24" s="11">
        <f t="shared" si="53"/>
        <v>2322</v>
      </c>
      <c r="CE24" s="11">
        <f t="shared" si="54"/>
        <v>4648</v>
      </c>
      <c r="CF24" s="93"/>
      <c r="CG24" s="93"/>
      <c r="CH24" s="93"/>
      <c r="CI24" s="8">
        <f t="shared" si="56"/>
        <v>2326</v>
      </c>
      <c r="CJ24" s="8">
        <f t="shared" si="56"/>
        <v>2322</v>
      </c>
      <c r="CK24" s="11">
        <f t="shared" si="126"/>
        <v>4648</v>
      </c>
      <c r="CL24" s="30">
        <f t="shared" si="127"/>
        <v>29.067733066733314</v>
      </c>
      <c r="CM24" s="30">
        <f t="shared" si="127"/>
        <v>34.116955627387604</v>
      </c>
      <c r="CN24" s="30">
        <f t="shared" si="127"/>
        <v>31.388438681793623</v>
      </c>
      <c r="CO24" s="10">
        <v>2738</v>
      </c>
      <c r="CP24" s="10">
        <v>2074</v>
      </c>
      <c r="CQ24" s="11">
        <f t="shared" si="163"/>
        <v>4812</v>
      </c>
      <c r="CR24" s="10">
        <v>905</v>
      </c>
      <c r="CS24" s="10">
        <v>783</v>
      </c>
      <c r="CT24" s="11">
        <f t="shared" si="164"/>
        <v>1688</v>
      </c>
      <c r="CU24" s="96"/>
      <c r="CV24" s="96"/>
      <c r="CW24" s="93"/>
      <c r="CX24" s="8">
        <f t="shared" si="59"/>
        <v>905</v>
      </c>
      <c r="CY24" s="8">
        <f t="shared" si="60"/>
        <v>783</v>
      </c>
      <c r="CZ24" s="11">
        <f t="shared" si="128"/>
        <v>1688</v>
      </c>
      <c r="DA24" s="30">
        <f t="shared" si="129"/>
        <v>33.053323593864135</v>
      </c>
      <c r="DB24" s="30">
        <f t="shared" si="130"/>
        <v>37.75313404050144</v>
      </c>
      <c r="DC24" s="30">
        <f t="shared" si="131"/>
        <v>35.07896924355777</v>
      </c>
      <c r="DD24" s="10">
        <v>4462</v>
      </c>
      <c r="DE24" s="10">
        <v>3004</v>
      </c>
      <c r="DF24" s="11">
        <f t="shared" si="61"/>
        <v>7466</v>
      </c>
      <c r="DG24" s="10">
        <v>1051</v>
      </c>
      <c r="DH24" s="10">
        <v>801</v>
      </c>
      <c r="DI24" s="11">
        <f t="shared" si="62"/>
        <v>1852</v>
      </c>
      <c r="DJ24" s="92"/>
      <c r="DK24" s="92"/>
      <c r="DL24" s="92"/>
      <c r="DM24" s="8">
        <f t="shared" si="63"/>
        <v>1051</v>
      </c>
      <c r="DN24" s="8">
        <f t="shared" si="64"/>
        <v>801</v>
      </c>
      <c r="DO24" s="11">
        <f t="shared" si="132"/>
        <v>1852</v>
      </c>
      <c r="DP24" s="30">
        <f t="shared" si="161"/>
        <v>23.554459883460332</v>
      </c>
      <c r="DQ24" s="30">
        <f t="shared" si="165"/>
        <v>26.66444740346205</v>
      </c>
      <c r="DR24" s="30">
        <f t="shared" si="134"/>
        <v>24.805786230913473</v>
      </c>
      <c r="DS24" s="11">
        <f t="shared" si="65"/>
        <v>7200</v>
      </c>
      <c r="DT24" s="11">
        <f t="shared" si="66"/>
        <v>5078</v>
      </c>
      <c r="DU24" s="11">
        <f t="shared" si="67"/>
        <v>12278</v>
      </c>
      <c r="DV24" s="11">
        <f t="shared" si="68"/>
        <v>1956</v>
      </c>
      <c r="DW24" s="11">
        <f t="shared" si="69"/>
        <v>1584</v>
      </c>
      <c r="DX24" s="11">
        <f t="shared" si="70"/>
        <v>3540</v>
      </c>
      <c r="DY24" s="93"/>
      <c r="DZ24" s="93"/>
      <c r="EA24" s="93"/>
      <c r="EB24" s="8">
        <f t="shared" si="72"/>
        <v>1956</v>
      </c>
      <c r="EC24" s="8">
        <f t="shared" si="73"/>
        <v>1584</v>
      </c>
      <c r="ED24" s="11">
        <f t="shared" si="135"/>
        <v>3540</v>
      </c>
      <c r="EE24" s="30">
        <f t="shared" si="136"/>
        <v>27.166666666666668</v>
      </c>
      <c r="EF24" s="30">
        <f t="shared" si="137"/>
        <v>31.193383221740845</v>
      </c>
      <c r="EG24" s="30">
        <f t="shared" si="138"/>
        <v>28.83205733832872</v>
      </c>
      <c r="EH24" s="10"/>
      <c r="EI24" s="10"/>
      <c r="EJ24" s="11">
        <f t="shared" si="74"/>
        <v>0</v>
      </c>
      <c r="EK24" s="10"/>
      <c r="EL24" s="10"/>
      <c r="EM24" s="11">
        <f t="shared" si="75"/>
        <v>0</v>
      </c>
      <c r="EN24" s="7"/>
      <c r="EO24" s="7"/>
      <c r="EP24" s="11">
        <f t="shared" si="76"/>
        <v>0</v>
      </c>
      <c r="EQ24" s="8">
        <f t="shared" si="77"/>
        <v>0</v>
      </c>
      <c r="ER24" s="8">
        <f t="shared" si="77"/>
        <v>0</v>
      </c>
      <c r="ES24" s="11">
        <f t="shared" si="139"/>
        <v>0</v>
      </c>
      <c r="ET24" s="30">
        <f t="shared" si="140"/>
      </c>
      <c r="EU24" s="30">
        <f t="shared" si="140"/>
      </c>
      <c r="EV24" s="30">
        <f t="shared" si="140"/>
      </c>
      <c r="EW24" s="10"/>
      <c r="EX24" s="10"/>
      <c r="EY24" s="11">
        <f t="shared" si="78"/>
        <v>0</v>
      </c>
      <c r="EZ24" s="10"/>
      <c r="FA24" s="10"/>
      <c r="FB24" s="11">
        <f t="shared" si="79"/>
        <v>0</v>
      </c>
      <c r="FC24" s="10"/>
      <c r="FD24" s="10"/>
      <c r="FE24" s="7">
        <f t="shared" si="141"/>
        <v>0</v>
      </c>
      <c r="FF24" s="8">
        <f t="shared" si="80"/>
        <v>0</v>
      </c>
      <c r="FG24" s="8">
        <f t="shared" si="80"/>
        <v>0</v>
      </c>
      <c r="FH24" s="11">
        <f t="shared" si="142"/>
        <v>0</v>
      </c>
      <c r="FI24" s="30">
        <f t="shared" si="143"/>
      </c>
      <c r="FJ24" s="30">
        <f t="shared" si="143"/>
      </c>
      <c r="FK24" s="30">
        <f t="shared" si="143"/>
      </c>
      <c r="FL24" s="11">
        <f t="shared" si="81"/>
        <v>0</v>
      </c>
      <c r="FM24" s="11">
        <f t="shared" si="81"/>
        <v>0</v>
      </c>
      <c r="FN24" s="11">
        <f t="shared" si="82"/>
        <v>0</v>
      </c>
      <c r="FO24" s="11">
        <f t="shared" si="83"/>
        <v>0</v>
      </c>
      <c r="FP24" s="11">
        <f t="shared" si="83"/>
        <v>0</v>
      </c>
      <c r="FQ24" s="11">
        <f t="shared" si="84"/>
        <v>0</v>
      </c>
      <c r="FR24" s="11">
        <f t="shared" si="144"/>
        <v>0</v>
      </c>
      <c r="FS24" s="11">
        <f t="shared" si="144"/>
        <v>0</v>
      </c>
      <c r="FT24" s="11">
        <f t="shared" si="85"/>
        <v>0</v>
      </c>
      <c r="FU24" s="8">
        <f t="shared" si="86"/>
        <v>0</v>
      </c>
      <c r="FV24" s="8">
        <f t="shared" si="86"/>
        <v>0</v>
      </c>
      <c r="FW24" s="11">
        <f t="shared" si="145"/>
        <v>0</v>
      </c>
      <c r="FX24" s="30">
        <f t="shared" si="146"/>
      </c>
      <c r="FY24" s="30">
        <f t="shared" si="146"/>
      </c>
      <c r="FZ24" s="30">
        <f t="shared" si="146"/>
      </c>
      <c r="GA24" s="21">
        <f t="shared" si="147"/>
        <v>52738</v>
      </c>
      <c r="GB24" s="21">
        <f t="shared" si="148"/>
        <v>46085</v>
      </c>
      <c r="GC24" s="21">
        <f t="shared" si="149"/>
        <v>98823</v>
      </c>
      <c r="GD24" s="47">
        <v>9992</v>
      </c>
      <c r="GE24" s="47">
        <v>9801</v>
      </c>
      <c r="GF24" s="21">
        <f t="shared" si="87"/>
        <v>19793</v>
      </c>
      <c r="GG24" s="21">
        <v>17703</v>
      </c>
      <c r="GH24" s="21">
        <v>15138</v>
      </c>
      <c r="GI24" s="21">
        <f t="shared" si="88"/>
        <v>32841</v>
      </c>
      <c r="GJ24" s="57">
        <f t="shared" si="89"/>
        <v>18.946490196822026</v>
      </c>
      <c r="GK24" s="57">
        <f t="shared" si="90"/>
        <v>21.26722360854942</v>
      </c>
      <c r="GL24" s="57">
        <f t="shared" si="91"/>
        <v>20.028738249193</v>
      </c>
      <c r="GM24" s="46">
        <f t="shared" si="92"/>
        <v>33.56782585611893</v>
      </c>
      <c r="GN24" s="46">
        <f t="shared" si="93"/>
        <v>32.84799826407725</v>
      </c>
      <c r="GO24" s="46">
        <f t="shared" si="94"/>
        <v>33.232142315048115</v>
      </c>
      <c r="GP24" s="21">
        <f t="shared" si="95"/>
        <v>2326</v>
      </c>
      <c r="GQ24" s="21">
        <f t="shared" si="96"/>
        <v>2322</v>
      </c>
      <c r="GR24" s="21">
        <f t="shared" si="97"/>
        <v>4648</v>
      </c>
      <c r="GS24" s="47">
        <v>248</v>
      </c>
      <c r="GT24" s="47">
        <v>271</v>
      </c>
      <c r="GU24" s="21">
        <f t="shared" si="98"/>
        <v>519</v>
      </c>
      <c r="GV24" s="21">
        <v>635</v>
      </c>
      <c r="GW24" s="21">
        <v>696</v>
      </c>
      <c r="GX24" s="21">
        <f t="shared" si="99"/>
        <v>1331</v>
      </c>
      <c r="GY24" s="57">
        <f t="shared" si="100"/>
        <v>10.662080825451419</v>
      </c>
      <c r="GZ24" s="57">
        <f t="shared" si="101"/>
        <v>11.670973298880277</v>
      </c>
      <c r="HA24" s="57">
        <f t="shared" si="102"/>
        <v>11.166092943201377</v>
      </c>
      <c r="HB24" s="46">
        <f t="shared" si="103"/>
        <v>27.300085984522784</v>
      </c>
      <c r="HC24" s="46">
        <f t="shared" si="104"/>
        <v>29.97416020671835</v>
      </c>
      <c r="HD24" s="46">
        <f t="shared" si="105"/>
        <v>28.635972461273667</v>
      </c>
      <c r="HE24" s="21">
        <f t="shared" si="106"/>
        <v>1956</v>
      </c>
      <c r="HF24" s="21">
        <f t="shared" si="107"/>
        <v>1584</v>
      </c>
      <c r="HG24" s="21">
        <f t="shared" si="108"/>
        <v>3540</v>
      </c>
      <c r="HH24" s="47">
        <v>118</v>
      </c>
      <c r="HI24" s="47">
        <v>101</v>
      </c>
      <c r="HJ24" s="21">
        <f t="shared" si="109"/>
        <v>219</v>
      </c>
      <c r="HK24" s="21">
        <v>372</v>
      </c>
      <c r="HL24" s="21">
        <v>332</v>
      </c>
      <c r="HM24" s="21">
        <f t="shared" si="110"/>
        <v>704</v>
      </c>
      <c r="HN24" s="57">
        <f t="shared" si="111"/>
        <v>6.032719836400818</v>
      </c>
      <c r="HO24" s="57">
        <f t="shared" si="167"/>
        <v>6.376262626262626</v>
      </c>
      <c r="HP24" s="57">
        <f t="shared" si="112"/>
        <v>6.186440677966102</v>
      </c>
      <c r="HQ24" s="46">
        <f t="shared" si="113"/>
        <v>19.018404907975462</v>
      </c>
      <c r="HR24" s="46">
        <f t="shared" si="168"/>
        <v>20.95959595959596</v>
      </c>
      <c r="HS24" s="46">
        <f t="shared" si="114"/>
        <v>19.887005649717516</v>
      </c>
    </row>
    <row r="25" spans="1:227" ht="27.75" customHeight="1">
      <c r="A25" s="4">
        <v>16</v>
      </c>
      <c r="B25" s="6" t="s">
        <v>49</v>
      </c>
      <c r="C25" s="14">
        <v>147002</v>
      </c>
      <c r="D25" s="10">
        <v>134454</v>
      </c>
      <c r="E25" s="17">
        <f t="shared" si="154"/>
        <v>281456</v>
      </c>
      <c r="F25" s="15">
        <v>97383</v>
      </c>
      <c r="G25" s="10">
        <v>101024</v>
      </c>
      <c r="H25" s="9">
        <f>F25+G25</f>
        <v>198407</v>
      </c>
      <c r="I25" s="99"/>
      <c r="J25" s="99"/>
      <c r="K25" s="100"/>
      <c r="L25" s="8">
        <f t="shared" si="34"/>
        <v>97383</v>
      </c>
      <c r="M25" s="8">
        <f t="shared" si="34"/>
        <v>101024</v>
      </c>
      <c r="N25" s="8">
        <f t="shared" si="34"/>
        <v>198407</v>
      </c>
      <c r="O25" s="30">
        <f t="shared" si="32"/>
        <v>66.24603746887797</v>
      </c>
      <c r="P25" s="30">
        <f t="shared" si="32"/>
        <v>75.13647790322341</v>
      </c>
      <c r="Q25" s="30">
        <f t="shared" si="32"/>
        <v>70.49307884713774</v>
      </c>
      <c r="R25" s="7">
        <v>25775</v>
      </c>
      <c r="S25" s="7">
        <v>14761</v>
      </c>
      <c r="T25" s="9">
        <f t="shared" si="115"/>
        <v>40536</v>
      </c>
      <c r="U25" s="7">
        <v>13308</v>
      </c>
      <c r="V25" s="7">
        <v>8428</v>
      </c>
      <c r="W25" s="9">
        <f t="shared" si="35"/>
        <v>21736</v>
      </c>
      <c r="X25" s="96"/>
      <c r="Y25" s="96"/>
      <c r="Z25" s="93">
        <f t="shared" si="36"/>
        <v>0</v>
      </c>
      <c r="AA25" s="8">
        <f t="shared" si="156"/>
        <v>13308</v>
      </c>
      <c r="AB25" s="8">
        <f t="shared" si="157"/>
        <v>8428</v>
      </c>
      <c r="AC25" s="11">
        <f t="shared" si="116"/>
        <v>21736</v>
      </c>
      <c r="AD25" s="30">
        <f t="shared" si="117"/>
        <v>51.63142580019399</v>
      </c>
      <c r="AE25" s="30">
        <f t="shared" si="117"/>
        <v>57.09640268274507</v>
      </c>
      <c r="AF25" s="30">
        <f t="shared" si="117"/>
        <v>53.621472271561075</v>
      </c>
      <c r="AG25" s="11">
        <f t="shared" si="38"/>
        <v>172777</v>
      </c>
      <c r="AH25" s="11">
        <f t="shared" si="38"/>
        <v>149215</v>
      </c>
      <c r="AI25" s="11">
        <f t="shared" si="39"/>
        <v>321992</v>
      </c>
      <c r="AJ25" s="11">
        <f t="shared" si="40"/>
        <v>110691</v>
      </c>
      <c r="AK25" s="11">
        <f t="shared" si="40"/>
        <v>109452</v>
      </c>
      <c r="AL25" s="11">
        <f t="shared" si="41"/>
        <v>220143</v>
      </c>
      <c r="AM25" s="93">
        <f t="shared" si="150"/>
        <v>0</v>
      </c>
      <c r="AN25" s="93">
        <f t="shared" si="150"/>
        <v>0</v>
      </c>
      <c r="AO25" s="93">
        <f t="shared" si="42"/>
        <v>0</v>
      </c>
      <c r="AP25" s="8">
        <f t="shared" si="43"/>
        <v>110691</v>
      </c>
      <c r="AQ25" s="8">
        <f t="shared" si="43"/>
        <v>109452</v>
      </c>
      <c r="AR25" s="11">
        <f t="shared" si="118"/>
        <v>220143</v>
      </c>
      <c r="AS25" s="30">
        <f t="shared" si="119"/>
        <v>64.06581894580876</v>
      </c>
      <c r="AT25" s="30">
        <f t="shared" si="119"/>
        <v>73.35187481151358</v>
      </c>
      <c r="AU25" s="30">
        <f t="shared" si="119"/>
        <v>68.3690899152774</v>
      </c>
      <c r="AV25" s="74">
        <v>16426</v>
      </c>
      <c r="AW25" s="74">
        <v>12354</v>
      </c>
      <c r="AX25" s="11">
        <f t="shared" si="44"/>
        <v>28780</v>
      </c>
      <c r="AY25" s="11">
        <v>10371</v>
      </c>
      <c r="AZ25" s="11">
        <v>8539</v>
      </c>
      <c r="BA25" s="11">
        <f t="shared" si="45"/>
        <v>18910</v>
      </c>
      <c r="BB25" s="93"/>
      <c r="BC25" s="93"/>
      <c r="BD25" s="93"/>
      <c r="BE25" s="8">
        <f t="shared" si="46"/>
        <v>10371</v>
      </c>
      <c r="BF25" s="8">
        <f t="shared" si="46"/>
        <v>8539</v>
      </c>
      <c r="BG25" s="11">
        <f t="shared" si="120"/>
        <v>18910</v>
      </c>
      <c r="BH25" s="30">
        <f t="shared" si="121"/>
        <v>63.13770851089736</v>
      </c>
      <c r="BI25" s="30">
        <f t="shared" si="121"/>
        <v>69.11931358264529</v>
      </c>
      <c r="BJ25" s="30">
        <f t="shared" si="121"/>
        <v>65.7053509381515</v>
      </c>
      <c r="BK25" s="10">
        <v>3417</v>
      </c>
      <c r="BL25" s="10">
        <v>1594</v>
      </c>
      <c r="BM25" s="11">
        <f t="shared" si="47"/>
        <v>5011</v>
      </c>
      <c r="BN25" s="10">
        <v>1717</v>
      </c>
      <c r="BO25" s="10">
        <v>830</v>
      </c>
      <c r="BP25" s="11">
        <f t="shared" si="48"/>
        <v>2547</v>
      </c>
      <c r="BQ25" s="96"/>
      <c r="BR25" s="96"/>
      <c r="BS25" s="93">
        <f t="shared" si="49"/>
        <v>0</v>
      </c>
      <c r="BT25" s="8">
        <f t="shared" si="50"/>
        <v>1717</v>
      </c>
      <c r="BU25" s="8">
        <f t="shared" si="50"/>
        <v>830</v>
      </c>
      <c r="BV25" s="11">
        <f t="shared" si="122"/>
        <v>2547</v>
      </c>
      <c r="BW25" s="30">
        <f t="shared" si="166"/>
        <v>50.24875621890548</v>
      </c>
      <c r="BX25" s="30">
        <f t="shared" si="166"/>
        <v>52.0702634880803</v>
      </c>
      <c r="BY25" s="30">
        <f t="shared" si="166"/>
        <v>50.82817800838156</v>
      </c>
      <c r="BZ25" s="11">
        <f t="shared" si="51"/>
        <v>19843</v>
      </c>
      <c r="CA25" s="11">
        <f t="shared" si="51"/>
        <v>13948</v>
      </c>
      <c r="CB25" s="11">
        <f t="shared" si="52"/>
        <v>33791</v>
      </c>
      <c r="CC25" s="11">
        <f t="shared" si="53"/>
        <v>12088</v>
      </c>
      <c r="CD25" s="11">
        <f t="shared" si="53"/>
        <v>9369</v>
      </c>
      <c r="CE25" s="11">
        <f t="shared" si="54"/>
        <v>21457</v>
      </c>
      <c r="CF25" s="93">
        <f t="shared" si="153"/>
        <v>0</v>
      </c>
      <c r="CG25" s="93">
        <f t="shared" si="153"/>
        <v>0</v>
      </c>
      <c r="CH25" s="93">
        <f t="shared" si="55"/>
        <v>0</v>
      </c>
      <c r="CI25" s="8">
        <f t="shared" si="56"/>
        <v>12088</v>
      </c>
      <c r="CJ25" s="8">
        <f t="shared" si="56"/>
        <v>9369</v>
      </c>
      <c r="CK25" s="11">
        <f t="shared" si="126"/>
        <v>21457</v>
      </c>
      <c r="CL25" s="30">
        <f t="shared" si="127"/>
        <v>60.91820793226831</v>
      </c>
      <c r="CM25" s="30">
        <f t="shared" si="127"/>
        <v>67.17092056208776</v>
      </c>
      <c r="CN25" s="30">
        <f t="shared" si="127"/>
        <v>63.499156580154484</v>
      </c>
      <c r="CO25" s="75">
        <v>31823</v>
      </c>
      <c r="CP25" s="75">
        <v>33377</v>
      </c>
      <c r="CQ25" s="11">
        <f t="shared" si="163"/>
        <v>65200</v>
      </c>
      <c r="CR25" s="75">
        <v>20706</v>
      </c>
      <c r="CS25" s="75">
        <v>25232</v>
      </c>
      <c r="CT25" s="11">
        <f t="shared" si="164"/>
        <v>45938</v>
      </c>
      <c r="CU25" s="101"/>
      <c r="CV25" s="101"/>
      <c r="CW25" s="93"/>
      <c r="CX25" s="8">
        <f>SUM(CR25,CU25)</f>
        <v>20706</v>
      </c>
      <c r="CY25" s="8">
        <f>SUM(CS25,CV25)</f>
        <v>25232</v>
      </c>
      <c r="CZ25" s="11">
        <f>SUM(CX25,CY25)</f>
        <v>45938</v>
      </c>
      <c r="DA25" s="30">
        <f t="shared" si="129"/>
        <v>65.06614712629231</v>
      </c>
      <c r="DB25" s="30">
        <f t="shared" si="130"/>
        <v>75.59696797195674</v>
      </c>
      <c r="DC25" s="30">
        <f t="shared" si="131"/>
        <v>70.45705521472392</v>
      </c>
      <c r="DD25" s="22">
        <v>7598</v>
      </c>
      <c r="DE25" s="22">
        <v>5238</v>
      </c>
      <c r="DF25" s="11">
        <f t="shared" si="61"/>
        <v>12836</v>
      </c>
      <c r="DG25" s="22">
        <v>3573</v>
      </c>
      <c r="DH25" s="22">
        <v>2876</v>
      </c>
      <c r="DI25" s="11">
        <f t="shared" si="62"/>
        <v>6449</v>
      </c>
      <c r="DJ25" s="92"/>
      <c r="DK25" s="92"/>
      <c r="DL25" s="96">
        <f t="shared" si="152"/>
        <v>0</v>
      </c>
      <c r="DM25" s="8">
        <f t="shared" si="63"/>
        <v>3573</v>
      </c>
      <c r="DN25" s="8">
        <f t="shared" si="64"/>
        <v>2876</v>
      </c>
      <c r="DO25" s="11">
        <f t="shared" si="132"/>
        <v>6449</v>
      </c>
      <c r="DP25" s="30">
        <f t="shared" si="161"/>
        <v>47.02553303500922</v>
      </c>
      <c r="DQ25" s="30">
        <f t="shared" si="165"/>
        <v>54.906452844597176</v>
      </c>
      <c r="DR25" s="30">
        <f t="shared" si="134"/>
        <v>50.241508258024304</v>
      </c>
      <c r="DS25" s="11">
        <f t="shared" si="65"/>
        <v>39421</v>
      </c>
      <c r="DT25" s="11">
        <f t="shared" si="66"/>
        <v>38615</v>
      </c>
      <c r="DU25" s="11">
        <f t="shared" si="67"/>
        <v>78036</v>
      </c>
      <c r="DV25" s="75">
        <f>CR25+DG25</f>
        <v>24279</v>
      </c>
      <c r="DW25" s="75">
        <f>CS25+DH25</f>
        <v>28108</v>
      </c>
      <c r="DX25" s="11">
        <f t="shared" si="70"/>
        <v>52387</v>
      </c>
      <c r="DY25" s="93">
        <f t="shared" si="158"/>
        <v>0</v>
      </c>
      <c r="DZ25" s="93">
        <f t="shared" si="159"/>
        <v>0</v>
      </c>
      <c r="EA25" s="93">
        <f t="shared" si="71"/>
        <v>0</v>
      </c>
      <c r="EB25" s="8">
        <f t="shared" si="72"/>
        <v>24279</v>
      </c>
      <c r="EC25" s="8">
        <f t="shared" si="73"/>
        <v>28108</v>
      </c>
      <c r="ED25" s="11">
        <f t="shared" si="135"/>
        <v>52387</v>
      </c>
      <c r="EE25" s="30">
        <f t="shared" si="136"/>
        <v>61.5890007863829</v>
      </c>
      <c r="EF25" s="30">
        <f t="shared" si="137"/>
        <v>72.79036643791272</v>
      </c>
      <c r="EG25" s="30">
        <f t="shared" si="138"/>
        <v>67.13183658824133</v>
      </c>
      <c r="EH25" s="75">
        <v>47594</v>
      </c>
      <c r="EI25" s="75">
        <v>35153</v>
      </c>
      <c r="EJ25" s="11">
        <f t="shared" si="74"/>
        <v>82747</v>
      </c>
      <c r="EK25" s="75">
        <v>30632</v>
      </c>
      <c r="EL25" s="75">
        <v>26179</v>
      </c>
      <c r="EM25" s="11">
        <f t="shared" si="75"/>
        <v>56811</v>
      </c>
      <c r="EN25" s="75">
        <v>2977</v>
      </c>
      <c r="EO25" s="75">
        <v>2689</v>
      </c>
      <c r="EP25" s="11">
        <f t="shared" si="76"/>
        <v>5666</v>
      </c>
      <c r="EQ25" s="8">
        <f>SUM(EK25,EN25)</f>
        <v>33609</v>
      </c>
      <c r="ER25" s="8">
        <f>SUM(EL25,EO25)</f>
        <v>28868</v>
      </c>
      <c r="ES25" s="11">
        <f>SUM(EQ25,ER25)</f>
        <v>62477</v>
      </c>
      <c r="ET25" s="30">
        <f>IF(EH25=0,"",EQ25/EH25*100)</f>
        <v>70.6160440391646</v>
      </c>
      <c r="EU25" s="30">
        <f>IF(EI25=0,"",ER25/EI25*100)</f>
        <v>82.12101385372515</v>
      </c>
      <c r="EV25" s="30">
        <f>IF(EJ25=0,"",ES25/EJ25*100)</f>
        <v>75.5036436366273</v>
      </c>
      <c r="EW25" s="75">
        <v>18503</v>
      </c>
      <c r="EX25" s="75">
        <v>7405</v>
      </c>
      <c r="EY25" s="11">
        <f t="shared" si="78"/>
        <v>25908</v>
      </c>
      <c r="EZ25" s="75">
        <v>9403</v>
      </c>
      <c r="FA25" s="75">
        <v>4257</v>
      </c>
      <c r="FB25" s="11">
        <f t="shared" si="79"/>
        <v>13660</v>
      </c>
      <c r="FC25" s="75">
        <v>2091</v>
      </c>
      <c r="FD25" s="75">
        <v>911</v>
      </c>
      <c r="FE25" s="7">
        <f>SUM(FC25:FD25)</f>
        <v>3002</v>
      </c>
      <c r="FF25" s="8">
        <f>SUM(EZ25,FC25)</f>
        <v>11494</v>
      </c>
      <c r="FG25" s="8">
        <f>SUM(FA25,FD25)</f>
        <v>5168</v>
      </c>
      <c r="FH25" s="11">
        <f>SUM(FF25,FG25)</f>
        <v>16662</v>
      </c>
      <c r="FI25" s="30">
        <f t="shared" si="143"/>
        <v>62.119656271955904</v>
      </c>
      <c r="FJ25" s="30">
        <f t="shared" si="143"/>
        <v>69.79068197164078</v>
      </c>
      <c r="FK25" s="30">
        <f t="shared" si="143"/>
        <v>64.3121815655396</v>
      </c>
      <c r="FL25" s="11">
        <f t="shared" si="81"/>
        <v>66097</v>
      </c>
      <c r="FM25" s="11">
        <f t="shared" si="81"/>
        <v>42558</v>
      </c>
      <c r="FN25" s="11">
        <f t="shared" si="82"/>
        <v>108655</v>
      </c>
      <c r="FO25" s="11">
        <f t="shared" si="83"/>
        <v>40035</v>
      </c>
      <c r="FP25" s="11">
        <f t="shared" si="83"/>
        <v>30436</v>
      </c>
      <c r="FQ25" s="11">
        <f t="shared" si="84"/>
        <v>70471</v>
      </c>
      <c r="FR25" s="11">
        <f t="shared" si="144"/>
        <v>5068</v>
      </c>
      <c r="FS25" s="11">
        <f t="shared" si="144"/>
        <v>3600</v>
      </c>
      <c r="FT25" s="11">
        <f t="shared" si="85"/>
        <v>8668</v>
      </c>
      <c r="FU25" s="8">
        <f t="shared" si="86"/>
        <v>45103</v>
      </c>
      <c r="FV25" s="8">
        <f t="shared" si="86"/>
        <v>34036</v>
      </c>
      <c r="FW25" s="11">
        <f t="shared" si="145"/>
        <v>79139</v>
      </c>
      <c r="FX25" s="30">
        <f t="shared" si="146"/>
        <v>68.23759020833018</v>
      </c>
      <c r="FY25" s="30">
        <f t="shared" si="146"/>
        <v>79.97556276140796</v>
      </c>
      <c r="FZ25" s="30">
        <f t="shared" si="146"/>
        <v>72.83512033500529</v>
      </c>
      <c r="GA25" s="21">
        <f t="shared" si="147"/>
        <v>110691</v>
      </c>
      <c r="GB25" s="21">
        <f t="shared" si="148"/>
        <v>109452</v>
      </c>
      <c r="GC25" s="21">
        <f t="shared" si="149"/>
        <v>220143</v>
      </c>
      <c r="GD25" s="47">
        <v>485</v>
      </c>
      <c r="GE25" s="47">
        <v>401</v>
      </c>
      <c r="GF25" s="21">
        <f t="shared" si="87"/>
        <v>886</v>
      </c>
      <c r="GG25" s="21">
        <v>13835</v>
      </c>
      <c r="GH25" s="21">
        <v>14860</v>
      </c>
      <c r="GI25" s="21">
        <f t="shared" si="88"/>
        <v>28695</v>
      </c>
      <c r="GJ25" s="57">
        <f>GD25/GA25%</f>
        <v>0.43815667037067146</v>
      </c>
      <c r="GK25" s="57">
        <f>GE25/GB25%</f>
        <v>0.36637064649344003</v>
      </c>
      <c r="GL25" s="57">
        <f>GF25/GC25%</f>
        <v>0.4024656700417456</v>
      </c>
      <c r="GM25" s="46">
        <f t="shared" si="92"/>
        <v>12.498757803254103</v>
      </c>
      <c r="GN25" s="46">
        <f t="shared" si="93"/>
        <v>13.576727697986332</v>
      </c>
      <c r="GO25" s="46">
        <f t="shared" si="94"/>
        <v>13.034709257164662</v>
      </c>
      <c r="GP25" s="21">
        <f t="shared" si="95"/>
        <v>12088</v>
      </c>
      <c r="GQ25" s="21">
        <f t="shared" si="96"/>
        <v>9369</v>
      </c>
      <c r="GR25" s="21">
        <f t="shared" si="97"/>
        <v>21457</v>
      </c>
      <c r="GS25" s="47">
        <v>18</v>
      </c>
      <c r="GT25" s="47">
        <v>9</v>
      </c>
      <c r="GU25" s="21">
        <f t="shared" si="98"/>
        <v>27</v>
      </c>
      <c r="GV25" s="21">
        <v>1057</v>
      </c>
      <c r="GW25" s="21">
        <v>896</v>
      </c>
      <c r="GX25" s="21">
        <f t="shared" si="99"/>
        <v>1953</v>
      </c>
      <c r="GY25" s="57">
        <f t="shared" si="100"/>
        <v>0.14890800794176043</v>
      </c>
      <c r="GZ25" s="57">
        <f t="shared" si="101"/>
        <v>0.09606147934678194</v>
      </c>
      <c r="HA25" s="57">
        <f t="shared" si="102"/>
        <v>0.12583306147178078</v>
      </c>
      <c r="HB25" s="46">
        <f t="shared" si="103"/>
        <v>8.744209133024487</v>
      </c>
      <c r="HC25" s="46">
        <f t="shared" si="104"/>
        <v>9.563453943857402</v>
      </c>
      <c r="HD25" s="46">
        <f t="shared" si="105"/>
        <v>9.101924779792142</v>
      </c>
      <c r="HE25" s="21">
        <f t="shared" si="106"/>
        <v>24279</v>
      </c>
      <c r="HF25" s="21">
        <f t="shared" si="107"/>
        <v>28108</v>
      </c>
      <c r="HG25" s="21">
        <f t="shared" si="108"/>
        <v>52387</v>
      </c>
      <c r="HH25" s="47">
        <v>15</v>
      </c>
      <c r="HI25" s="47">
        <v>30</v>
      </c>
      <c r="HJ25" s="21">
        <f t="shared" si="109"/>
        <v>45</v>
      </c>
      <c r="HK25" s="21">
        <v>1783</v>
      </c>
      <c r="HL25" s="21">
        <v>3179</v>
      </c>
      <c r="HM25" s="21">
        <f t="shared" si="110"/>
        <v>4962</v>
      </c>
      <c r="HN25" s="57">
        <f t="shared" si="111"/>
        <v>0.06178178672927221</v>
      </c>
      <c r="HO25" s="57">
        <f t="shared" si="167"/>
        <v>0.10673117973530669</v>
      </c>
      <c r="HP25" s="57">
        <f t="shared" si="112"/>
        <v>0.08589917345906427</v>
      </c>
      <c r="HQ25" s="46">
        <f t="shared" si="113"/>
        <v>7.343795049219491</v>
      </c>
      <c r="HR25" s="46">
        <f t="shared" si="168"/>
        <v>11.30994734595133</v>
      </c>
      <c r="HS25" s="46">
        <f t="shared" si="114"/>
        <v>9.47181552675282</v>
      </c>
    </row>
    <row r="26" spans="1:227" ht="27.75" customHeight="1">
      <c r="A26" s="4">
        <v>17</v>
      </c>
      <c r="B26" s="6" t="s">
        <v>50</v>
      </c>
      <c r="C26" s="8">
        <v>244057</v>
      </c>
      <c r="D26" s="8">
        <v>268495</v>
      </c>
      <c r="E26" s="17">
        <f t="shared" si="154"/>
        <v>512552</v>
      </c>
      <c r="F26" s="8">
        <v>144934</v>
      </c>
      <c r="G26" s="8">
        <v>188651</v>
      </c>
      <c r="H26" s="9">
        <f t="shared" si="33"/>
        <v>333585</v>
      </c>
      <c r="I26" s="92"/>
      <c r="J26" s="92"/>
      <c r="K26" s="100"/>
      <c r="L26" s="8">
        <f t="shared" si="34"/>
        <v>144934</v>
      </c>
      <c r="M26" s="8">
        <f t="shared" si="34"/>
        <v>188651</v>
      </c>
      <c r="N26" s="8">
        <f t="shared" si="34"/>
        <v>333585</v>
      </c>
      <c r="O26" s="30">
        <f t="shared" si="32"/>
        <v>59.38530753061785</v>
      </c>
      <c r="P26" s="30">
        <f t="shared" si="32"/>
        <v>70.26238849885472</v>
      </c>
      <c r="Q26" s="30">
        <f t="shared" si="32"/>
        <v>65.08315253866924</v>
      </c>
      <c r="R26" s="8">
        <f>21586+61179</f>
        <v>82765</v>
      </c>
      <c r="S26" s="8">
        <f>9665+31383</f>
        <v>41048</v>
      </c>
      <c r="T26" s="9">
        <f t="shared" si="115"/>
        <v>123813</v>
      </c>
      <c r="U26" s="8">
        <f>4489+14270</f>
        <v>18759</v>
      </c>
      <c r="V26" s="8">
        <f>2790+9240</f>
        <v>12030</v>
      </c>
      <c r="W26" s="9">
        <f t="shared" si="35"/>
        <v>30789</v>
      </c>
      <c r="X26" s="10">
        <v>23979</v>
      </c>
      <c r="Y26" s="10">
        <v>21776</v>
      </c>
      <c r="Z26" s="11">
        <f t="shared" si="36"/>
        <v>45755</v>
      </c>
      <c r="AA26" s="8">
        <f t="shared" si="156"/>
        <v>42738</v>
      </c>
      <c r="AB26" s="8">
        <f t="shared" si="157"/>
        <v>33806</v>
      </c>
      <c r="AC26" s="11">
        <f t="shared" si="116"/>
        <v>76544</v>
      </c>
      <c r="AD26" s="30">
        <f t="shared" si="117"/>
        <v>51.63776958859422</v>
      </c>
      <c r="AE26" s="30">
        <f t="shared" si="117"/>
        <v>82.35724030403429</v>
      </c>
      <c r="AF26" s="30">
        <f t="shared" si="117"/>
        <v>61.82226422104302</v>
      </c>
      <c r="AG26" s="11">
        <f t="shared" si="38"/>
        <v>326822</v>
      </c>
      <c r="AH26" s="11">
        <f t="shared" si="38"/>
        <v>309543</v>
      </c>
      <c r="AI26" s="11">
        <f t="shared" si="39"/>
        <v>636365</v>
      </c>
      <c r="AJ26" s="11">
        <f t="shared" si="40"/>
        <v>163693</v>
      </c>
      <c r="AK26" s="11">
        <f t="shared" si="40"/>
        <v>200681</v>
      </c>
      <c r="AL26" s="11">
        <f t="shared" si="41"/>
        <v>364374</v>
      </c>
      <c r="AM26" s="11">
        <f t="shared" si="150"/>
        <v>23979</v>
      </c>
      <c r="AN26" s="11">
        <f t="shared" si="150"/>
        <v>21776</v>
      </c>
      <c r="AO26" s="11">
        <f t="shared" si="42"/>
        <v>45755</v>
      </c>
      <c r="AP26" s="8">
        <f t="shared" si="43"/>
        <v>187672</v>
      </c>
      <c r="AQ26" s="8">
        <f t="shared" si="43"/>
        <v>222457</v>
      </c>
      <c r="AR26" s="11">
        <f t="shared" si="118"/>
        <v>410129</v>
      </c>
      <c r="AS26" s="30">
        <f t="shared" si="119"/>
        <v>57.423306876526055</v>
      </c>
      <c r="AT26" s="30">
        <f t="shared" si="119"/>
        <v>71.86626736834624</v>
      </c>
      <c r="AU26" s="30">
        <f t="shared" si="119"/>
        <v>64.44870475277553</v>
      </c>
      <c r="AV26" s="10">
        <v>41312</v>
      </c>
      <c r="AW26" s="10">
        <v>43284</v>
      </c>
      <c r="AX26" s="11">
        <f t="shared" si="44"/>
        <v>84596</v>
      </c>
      <c r="AY26" s="10">
        <v>19997</v>
      </c>
      <c r="AZ26" s="10">
        <v>24922</v>
      </c>
      <c r="BA26" s="11">
        <f t="shared" si="45"/>
        <v>44919</v>
      </c>
      <c r="BB26" s="92"/>
      <c r="BC26" s="92"/>
      <c r="BD26" s="93"/>
      <c r="BE26" s="8">
        <f t="shared" si="46"/>
        <v>19997</v>
      </c>
      <c r="BF26" s="8">
        <f t="shared" si="46"/>
        <v>24922</v>
      </c>
      <c r="BG26" s="11">
        <f t="shared" si="120"/>
        <v>44919</v>
      </c>
      <c r="BH26" s="30">
        <f>IF(AV26=0,"",BE26/AV26*100)</f>
        <v>48.40482184353215</v>
      </c>
      <c r="BI26" s="30">
        <f>IF(AW26=0,"",BF26/AW26*100)</f>
        <v>57.5778578689585</v>
      </c>
      <c r="BJ26" s="30">
        <f>IF(AX26=0,"",BG26/AX26*100)</f>
        <v>53.09825523665421</v>
      </c>
      <c r="BK26" s="10">
        <f>4086+15108</f>
        <v>19194</v>
      </c>
      <c r="BL26" s="10">
        <f>1936+8083</f>
        <v>10019</v>
      </c>
      <c r="BM26" s="11">
        <f t="shared" si="47"/>
        <v>29213</v>
      </c>
      <c r="BN26" s="10">
        <f>663+3110</f>
        <v>3773</v>
      </c>
      <c r="BO26" s="10">
        <f>401+1933</f>
        <v>2334</v>
      </c>
      <c r="BP26" s="11">
        <f t="shared" si="48"/>
        <v>6107</v>
      </c>
      <c r="BQ26" s="10">
        <v>4759</v>
      </c>
      <c r="BR26" s="10">
        <v>4504</v>
      </c>
      <c r="BS26" s="11">
        <f t="shared" si="49"/>
        <v>9263</v>
      </c>
      <c r="BT26" s="8">
        <f t="shared" si="50"/>
        <v>8532</v>
      </c>
      <c r="BU26" s="8">
        <f t="shared" si="50"/>
        <v>6838</v>
      </c>
      <c r="BV26" s="11">
        <f t="shared" si="122"/>
        <v>15370</v>
      </c>
      <c r="BW26" s="30">
        <f t="shared" si="166"/>
        <v>44.45139105970616</v>
      </c>
      <c r="BX26" s="30">
        <f t="shared" si="166"/>
        <v>68.25032438367103</v>
      </c>
      <c r="BY26" s="30">
        <f t="shared" si="166"/>
        <v>52.613562455071374</v>
      </c>
      <c r="BZ26" s="11">
        <f t="shared" si="51"/>
        <v>60506</v>
      </c>
      <c r="CA26" s="11">
        <f t="shared" si="51"/>
        <v>53303</v>
      </c>
      <c r="CB26" s="11">
        <f t="shared" si="52"/>
        <v>113809</v>
      </c>
      <c r="CC26" s="11">
        <f t="shared" si="53"/>
        <v>23770</v>
      </c>
      <c r="CD26" s="11">
        <f t="shared" si="53"/>
        <v>27256</v>
      </c>
      <c r="CE26" s="11">
        <f t="shared" si="54"/>
        <v>51026</v>
      </c>
      <c r="CF26" s="11">
        <f t="shared" si="153"/>
        <v>4759</v>
      </c>
      <c r="CG26" s="11">
        <f t="shared" si="153"/>
        <v>4504</v>
      </c>
      <c r="CH26" s="11">
        <f t="shared" si="55"/>
        <v>9263</v>
      </c>
      <c r="CI26" s="8">
        <f t="shared" si="56"/>
        <v>28529</v>
      </c>
      <c r="CJ26" s="8">
        <f t="shared" si="56"/>
        <v>31760</v>
      </c>
      <c r="CK26" s="11">
        <f t="shared" si="126"/>
        <v>60289</v>
      </c>
      <c r="CL26" s="30">
        <f t="shared" si="127"/>
        <v>47.150695798763756</v>
      </c>
      <c r="CM26" s="30">
        <f t="shared" si="127"/>
        <v>59.58388833649138</v>
      </c>
      <c r="CN26" s="30">
        <f t="shared" si="127"/>
        <v>52.973842139022395</v>
      </c>
      <c r="CO26" s="10">
        <v>15061</v>
      </c>
      <c r="CP26" s="10">
        <v>14544</v>
      </c>
      <c r="CQ26" s="11">
        <f t="shared" si="163"/>
        <v>29605</v>
      </c>
      <c r="CR26" s="10">
        <v>7268</v>
      </c>
      <c r="CS26" s="10">
        <v>8775</v>
      </c>
      <c r="CT26" s="11">
        <f aca="true" t="shared" si="169" ref="CT26:CT31">CR26+CS26</f>
        <v>16043</v>
      </c>
      <c r="CU26" s="92"/>
      <c r="CV26" s="92"/>
      <c r="CW26" s="93"/>
      <c r="CX26" s="8">
        <f t="shared" si="59"/>
        <v>7268</v>
      </c>
      <c r="CY26" s="8">
        <f t="shared" si="60"/>
        <v>8775</v>
      </c>
      <c r="CZ26" s="11">
        <f t="shared" si="128"/>
        <v>16043</v>
      </c>
      <c r="DA26" s="30">
        <f t="shared" si="129"/>
        <v>48.25708784277272</v>
      </c>
      <c r="DB26" s="30">
        <f t="shared" si="130"/>
        <v>60.334158415841586</v>
      </c>
      <c r="DC26" s="30">
        <f t="shared" si="131"/>
        <v>54.19017057929404</v>
      </c>
      <c r="DD26" s="10">
        <f>1361+4476</f>
        <v>5837</v>
      </c>
      <c r="DE26" s="10">
        <f>574+2085</f>
        <v>2659</v>
      </c>
      <c r="DF26" s="11">
        <f t="shared" si="61"/>
        <v>8496</v>
      </c>
      <c r="DG26" s="10">
        <f>250+911</f>
        <v>1161</v>
      </c>
      <c r="DH26" s="10">
        <f>125+546</f>
        <v>671</v>
      </c>
      <c r="DI26" s="11">
        <f t="shared" si="62"/>
        <v>1832</v>
      </c>
      <c r="DJ26" s="10">
        <v>1667</v>
      </c>
      <c r="DK26" s="10">
        <v>1468</v>
      </c>
      <c r="DL26" s="7">
        <f t="shared" si="152"/>
        <v>3135</v>
      </c>
      <c r="DM26" s="8">
        <f t="shared" si="63"/>
        <v>2828</v>
      </c>
      <c r="DN26" s="8">
        <f t="shared" si="64"/>
        <v>2139</v>
      </c>
      <c r="DO26" s="11">
        <f t="shared" si="132"/>
        <v>4967</v>
      </c>
      <c r="DP26" s="30">
        <f t="shared" si="161"/>
        <v>48.44954599965735</v>
      </c>
      <c r="DQ26" s="30">
        <f t="shared" si="165"/>
        <v>80.4437758555848</v>
      </c>
      <c r="DR26" s="30">
        <f t="shared" si="134"/>
        <v>58.46280602636534</v>
      </c>
      <c r="DS26" s="11">
        <f t="shared" si="65"/>
        <v>20898</v>
      </c>
      <c r="DT26" s="11">
        <f t="shared" si="66"/>
        <v>17203</v>
      </c>
      <c r="DU26" s="11">
        <f t="shared" si="67"/>
        <v>38101</v>
      </c>
      <c r="DV26" s="11">
        <f t="shared" si="68"/>
        <v>8429</v>
      </c>
      <c r="DW26" s="11">
        <f t="shared" si="69"/>
        <v>9446</v>
      </c>
      <c r="DX26" s="11">
        <f t="shared" si="70"/>
        <v>17875</v>
      </c>
      <c r="DY26" s="11">
        <f t="shared" si="158"/>
        <v>1667</v>
      </c>
      <c r="DZ26" s="11">
        <f t="shared" si="159"/>
        <v>1468</v>
      </c>
      <c r="EA26" s="11">
        <f t="shared" si="71"/>
        <v>3135</v>
      </c>
      <c r="EB26" s="8">
        <f t="shared" si="72"/>
        <v>10096</v>
      </c>
      <c r="EC26" s="8">
        <f t="shared" si="73"/>
        <v>10914</v>
      </c>
      <c r="ED26" s="11">
        <f t="shared" si="135"/>
        <v>21010</v>
      </c>
      <c r="EE26" s="30">
        <f t="shared" si="136"/>
        <v>48.31084314288449</v>
      </c>
      <c r="EF26" s="30">
        <f t="shared" si="137"/>
        <v>63.442422833226765</v>
      </c>
      <c r="EG26" s="30">
        <f t="shared" si="138"/>
        <v>55.142909634917714</v>
      </c>
      <c r="EH26" s="10">
        <v>175352</v>
      </c>
      <c r="EI26" s="10">
        <v>161638</v>
      </c>
      <c r="EJ26" s="11">
        <f>EH26+EI26</f>
        <v>336990</v>
      </c>
      <c r="EK26" s="10">
        <v>95049</v>
      </c>
      <c r="EL26" s="10">
        <v>111085</v>
      </c>
      <c r="EM26" s="11">
        <f t="shared" si="75"/>
        <v>206134</v>
      </c>
      <c r="EN26" s="10">
        <v>18715</v>
      </c>
      <c r="EO26" s="10">
        <v>14980</v>
      </c>
      <c r="EP26" s="11">
        <f t="shared" si="76"/>
        <v>33695</v>
      </c>
      <c r="EQ26" s="8">
        <f t="shared" si="77"/>
        <v>113764</v>
      </c>
      <c r="ER26" s="8">
        <f t="shared" si="77"/>
        <v>126065</v>
      </c>
      <c r="ES26" s="11">
        <f t="shared" si="139"/>
        <v>239829</v>
      </c>
      <c r="ET26" s="30">
        <f t="shared" si="140"/>
        <v>64.87750353574523</v>
      </c>
      <c r="EU26" s="30">
        <f t="shared" si="140"/>
        <v>77.99218005666985</v>
      </c>
      <c r="EV26" s="30">
        <f t="shared" si="140"/>
        <v>71.1679871806285</v>
      </c>
      <c r="EW26" s="10">
        <v>12327</v>
      </c>
      <c r="EX26" s="10">
        <v>6020</v>
      </c>
      <c r="EY26" s="11">
        <f t="shared" si="78"/>
        <v>18347</v>
      </c>
      <c r="EZ26" s="10">
        <v>3276</v>
      </c>
      <c r="FA26" s="10">
        <v>2289</v>
      </c>
      <c r="FB26" s="11">
        <f t="shared" si="79"/>
        <v>5565</v>
      </c>
      <c r="FC26" s="10"/>
      <c r="FD26" s="10"/>
      <c r="FE26" s="7">
        <f t="shared" si="141"/>
        <v>0</v>
      </c>
      <c r="FF26" s="8">
        <f t="shared" si="80"/>
        <v>3276</v>
      </c>
      <c r="FG26" s="8">
        <f t="shared" si="80"/>
        <v>2289</v>
      </c>
      <c r="FH26" s="11">
        <f t="shared" si="142"/>
        <v>5565</v>
      </c>
      <c r="FI26" s="30">
        <f t="shared" si="143"/>
        <v>26.575809199318567</v>
      </c>
      <c r="FJ26" s="30">
        <f t="shared" si="143"/>
        <v>38.02325581395349</v>
      </c>
      <c r="FK26" s="30">
        <f t="shared" si="143"/>
        <v>30.331934376192294</v>
      </c>
      <c r="FL26" s="11">
        <f t="shared" si="81"/>
        <v>187679</v>
      </c>
      <c r="FM26" s="11">
        <f t="shared" si="81"/>
        <v>167658</v>
      </c>
      <c r="FN26" s="11">
        <f t="shared" si="82"/>
        <v>355337</v>
      </c>
      <c r="FO26" s="11">
        <f t="shared" si="83"/>
        <v>98325</v>
      </c>
      <c r="FP26" s="11">
        <f t="shared" si="83"/>
        <v>113374</v>
      </c>
      <c r="FQ26" s="11">
        <f t="shared" si="84"/>
        <v>211699</v>
      </c>
      <c r="FR26" s="11">
        <f t="shared" si="144"/>
        <v>18715</v>
      </c>
      <c r="FS26" s="11">
        <f t="shared" si="144"/>
        <v>14980</v>
      </c>
      <c r="FT26" s="11">
        <f t="shared" si="85"/>
        <v>33695</v>
      </c>
      <c r="FU26" s="8">
        <f t="shared" si="86"/>
        <v>117040</v>
      </c>
      <c r="FV26" s="8">
        <f t="shared" si="86"/>
        <v>128354</v>
      </c>
      <c r="FW26" s="11">
        <f t="shared" si="145"/>
        <v>245394</v>
      </c>
      <c r="FX26" s="30">
        <f t="shared" si="146"/>
        <v>62.36179860293374</v>
      </c>
      <c r="FY26" s="30">
        <f t="shared" si="146"/>
        <v>76.55703873361247</v>
      </c>
      <c r="FZ26" s="30">
        <f t="shared" si="146"/>
        <v>69.05951251910159</v>
      </c>
      <c r="GA26" s="21">
        <f t="shared" si="147"/>
        <v>187672</v>
      </c>
      <c r="GB26" s="21">
        <f t="shared" si="148"/>
        <v>222457</v>
      </c>
      <c r="GC26" s="21">
        <f t="shared" si="149"/>
        <v>410129</v>
      </c>
      <c r="GD26" s="47">
        <v>53684</v>
      </c>
      <c r="GE26" s="47">
        <v>73608</v>
      </c>
      <c r="GF26" s="21">
        <f t="shared" si="87"/>
        <v>127292</v>
      </c>
      <c r="GG26" s="21">
        <v>41537</v>
      </c>
      <c r="GH26" s="21">
        <v>62540</v>
      </c>
      <c r="GI26" s="21">
        <f t="shared" si="88"/>
        <v>104077</v>
      </c>
      <c r="GJ26" s="57">
        <f t="shared" si="89"/>
        <v>28.60522613922162</v>
      </c>
      <c r="GK26" s="57">
        <f t="shared" si="90"/>
        <v>33.08864184988559</v>
      </c>
      <c r="GL26" s="57">
        <f t="shared" si="91"/>
        <v>31.037063948172406</v>
      </c>
      <c r="GM26" s="46">
        <f t="shared" si="92"/>
        <v>22.132763544908137</v>
      </c>
      <c r="GN26" s="46">
        <f t="shared" si="93"/>
        <v>28.113298300345683</v>
      </c>
      <c r="GO26" s="46">
        <f t="shared" si="94"/>
        <v>25.376649785799103</v>
      </c>
      <c r="GP26" s="21">
        <f t="shared" si="95"/>
        <v>28529</v>
      </c>
      <c r="GQ26" s="21">
        <f t="shared" si="96"/>
        <v>31760</v>
      </c>
      <c r="GR26" s="21">
        <f t="shared" si="97"/>
        <v>60289</v>
      </c>
      <c r="GS26" s="47">
        <v>7480</v>
      </c>
      <c r="GT26" s="47">
        <v>9988</v>
      </c>
      <c r="GU26" s="21">
        <f t="shared" si="98"/>
        <v>17468</v>
      </c>
      <c r="GV26" s="21">
        <v>3808</v>
      </c>
      <c r="GW26" s="21">
        <v>4862</v>
      </c>
      <c r="GX26" s="21">
        <f t="shared" si="99"/>
        <v>8670</v>
      </c>
      <c r="GY26" s="57">
        <f t="shared" si="100"/>
        <v>26.218935118651196</v>
      </c>
      <c r="GZ26" s="57">
        <f t="shared" si="101"/>
        <v>31.448362720403022</v>
      </c>
      <c r="HA26" s="57">
        <f t="shared" si="102"/>
        <v>28.973776310769793</v>
      </c>
      <c r="HB26" s="46">
        <f t="shared" si="103"/>
        <v>13.347821514949699</v>
      </c>
      <c r="HC26" s="46">
        <f t="shared" si="104"/>
        <v>15.308564231738034</v>
      </c>
      <c r="HD26" s="46">
        <f t="shared" si="105"/>
        <v>14.38073280366236</v>
      </c>
      <c r="HE26" s="21">
        <f t="shared" si="106"/>
        <v>10096</v>
      </c>
      <c r="HF26" s="21">
        <f t="shared" si="107"/>
        <v>10914</v>
      </c>
      <c r="HG26" s="21">
        <f t="shared" si="108"/>
        <v>21010</v>
      </c>
      <c r="HH26" s="47">
        <v>2784</v>
      </c>
      <c r="HI26" s="47">
        <v>3635</v>
      </c>
      <c r="HJ26" s="21">
        <f t="shared" si="109"/>
        <v>6419</v>
      </c>
      <c r="HK26" s="21">
        <v>1449</v>
      </c>
      <c r="HL26" s="21">
        <v>1884</v>
      </c>
      <c r="HM26" s="21">
        <f t="shared" si="110"/>
        <v>3333</v>
      </c>
      <c r="HN26" s="57">
        <f t="shared" si="111"/>
        <v>27.57527733755943</v>
      </c>
      <c r="HO26" s="57">
        <f t="shared" si="167"/>
        <v>33.30584570276709</v>
      </c>
      <c r="HP26" s="57">
        <f t="shared" si="112"/>
        <v>30.552118039029036</v>
      </c>
      <c r="HQ26" s="46">
        <f t="shared" si="113"/>
        <v>14.352218700475436</v>
      </c>
      <c r="HR26" s="46">
        <f t="shared" si="168"/>
        <v>17.26223199560198</v>
      </c>
      <c r="HS26" s="46">
        <f t="shared" si="114"/>
        <v>15.863874345549739</v>
      </c>
    </row>
    <row r="27" spans="1:227" ht="30" customHeight="1">
      <c r="A27" s="4">
        <v>18</v>
      </c>
      <c r="B27" s="6" t="s">
        <v>51</v>
      </c>
      <c r="C27" s="8">
        <v>216419</v>
      </c>
      <c r="D27" s="8">
        <v>218225</v>
      </c>
      <c r="E27" s="17">
        <f t="shared" si="154"/>
        <v>434644</v>
      </c>
      <c r="F27" s="8">
        <v>137279</v>
      </c>
      <c r="G27" s="8">
        <v>180706</v>
      </c>
      <c r="H27" s="9">
        <f t="shared" si="33"/>
        <v>317985</v>
      </c>
      <c r="I27" s="10">
        <v>10164</v>
      </c>
      <c r="J27" s="10">
        <v>6665</v>
      </c>
      <c r="K27" s="12">
        <f t="shared" si="155"/>
        <v>16829</v>
      </c>
      <c r="L27" s="8">
        <f t="shared" si="34"/>
        <v>147443</v>
      </c>
      <c r="M27" s="8">
        <f t="shared" si="34"/>
        <v>187371</v>
      </c>
      <c r="N27" s="8">
        <f t="shared" si="34"/>
        <v>334814</v>
      </c>
      <c r="O27" s="30">
        <f t="shared" si="32"/>
        <v>68.12849149104284</v>
      </c>
      <c r="P27" s="30">
        <f t="shared" si="32"/>
        <v>85.86138160155802</v>
      </c>
      <c r="Q27" s="30">
        <f t="shared" si="32"/>
        <v>77.03177773074056</v>
      </c>
      <c r="R27" s="8">
        <v>17576</v>
      </c>
      <c r="S27" s="8">
        <v>7988</v>
      </c>
      <c r="T27" s="9">
        <f t="shared" si="115"/>
        <v>25564</v>
      </c>
      <c r="U27" s="8">
        <v>5587</v>
      </c>
      <c r="V27" s="8">
        <v>2788</v>
      </c>
      <c r="W27" s="9">
        <f t="shared" si="35"/>
        <v>8375</v>
      </c>
      <c r="X27" s="10">
        <v>808</v>
      </c>
      <c r="Y27" s="10">
        <v>424</v>
      </c>
      <c r="Z27" s="11">
        <f t="shared" si="36"/>
        <v>1232</v>
      </c>
      <c r="AA27" s="8">
        <f t="shared" si="156"/>
        <v>6395</v>
      </c>
      <c r="AB27" s="8">
        <f t="shared" si="157"/>
        <v>3212</v>
      </c>
      <c r="AC27" s="11">
        <f t="shared" si="116"/>
        <v>9607</v>
      </c>
      <c r="AD27" s="30">
        <f t="shared" si="117"/>
        <v>36.384842967683205</v>
      </c>
      <c r="AE27" s="30">
        <f t="shared" si="117"/>
        <v>40.21031547320981</v>
      </c>
      <c r="AF27" s="30">
        <f t="shared" si="117"/>
        <v>37.580190893443906</v>
      </c>
      <c r="AG27" s="11">
        <f t="shared" si="38"/>
        <v>233995</v>
      </c>
      <c r="AH27" s="11">
        <f t="shared" si="38"/>
        <v>226213</v>
      </c>
      <c r="AI27" s="11">
        <f t="shared" si="39"/>
        <v>460208</v>
      </c>
      <c r="AJ27" s="11">
        <f t="shared" si="40"/>
        <v>142866</v>
      </c>
      <c r="AK27" s="11">
        <f t="shared" si="40"/>
        <v>183494</v>
      </c>
      <c r="AL27" s="11">
        <f t="shared" si="41"/>
        <v>326360</v>
      </c>
      <c r="AM27" s="11">
        <f t="shared" si="150"/>
        <v>10972</v>
      </c>
      <c r="AN27" s="11">
        <f t="shared" si="150"/>
        <v>7089</v>
      </c>
      <c r="AO27" s="11">
        <f t="shared" si="42"/>
        <v>18061</v>
      </c>
      <c r="AP27" s="8">
        <f t="shared" si="43"/>
        <v>153838</v>
      </c>
      <c r="AQ27" s="8">
        <f t="shared" si="43"/>
        <v>190583</v>
      </c>
      <c r="AR27" s="11">
        <f t="shared" si="118"/>
        <v>344421</v>
      </c>
      <c r="AS27" s="30">
        <f t="shared" si="119"/>
        <v>65.7441398320477</v>
      </c>
      <c r="AT27" s="30">
        <f t="shared" si="119"/>
        <v>84.24935790604431</v>
      </c>
      <c r="AU27" s="30">
        <f t="shared" si="119"/>
        <v>74.84028960817717</v>
      </c>
      <c r="AV27" s="10">
        <v>19570</v>
      </c>
      <c r="AW27" s="10">
        <v>21306</v>
      </c>
      <c r="AX27" s="11">
        <f t="shared" si="44"/>
        <v>40876</v>
      </c>
      <c r="AY27" s="10">
        <v>9235</v>
      </c>
      <c r="AZ27" s="10">
        <v>14375</v>
      </c>
      <c r="BA27" s="11">
        <f t="shared" si="45"/>
        <v>23610</v>
      </c>
      <c r="BB27" s="10">
        <v>1069</v>
      </c>
      <c r="BC27" s="10">
        <v>999</v>
      </c>
      <c r="BD27" s="11">
        <f t="shared" si="162"/>
        <v>2068</v>
      </c>
      <c r="BE27" s="8">
        <f t="shared" si="46"/>
        <v>10304</v>
      </c>
      <c r="BF27" s="8">
        <f t="shared" si="46"/>
        <v>15374</v>
      </c>
      <c r="BG27" s="11">
        <f t="shared" si="120"/>
        <v>25678</v>
      </c>
      <c r="BH27" s="30">
        <f t="shared" si="121"/>
        <v>52.65201839550332</v>
      </c>
      <c r="BI27" s="30">
        <f t="shared" si="121"/>
        <v>72.15807753684408</v>
      </c>
      <c r="BJ27" s="30">
        <f t="shared" si="121"/>
        <v>62.819258244446615</v>
      </c>
      <c r="BK27" s="10">
        <v>2105</v>
      </c>
      <c r="BL27" s="10">
        <v>1614</v>
      </c>
      <c r="BM27" s="11">
        <f t="shared" si="47"/>
        <v>3719</v>
      </c>
      <c r="BN27" s="10">
        <v>559</v>
      </c>
      <c r="BO27" s="10">
        <v>440</v>
      </c>
      <c r="BP27" s="11">
        <f t="shared" si="48"/>
        <v>999</v>
      </c>
      <c r="BQ27" s="10">
        <v>96</v>
      </c>
      <c r="BR27" s="10">
        <v>69</v>
      </c>
      <c r="BS27" s="11">
        <f t="shared" si="49"/>
        <v>165</v>
      </c>
      <c r="BT27" s="8">
        <f t="shared" si="50"/>
        <v>655</v>
      </c>
      <c r="BU27" s="8">
        <f t="shared" si="50"/>
        <v>509</v>
      </c>
      <c r="BV27" s="11">
        <f t="shared" si="122"/>
        <v>1164</v>
      </c>
      <c r="BW27" s="30">
        <f t="shared" si="166"/>
        <v>31.116389548693586</v>
      </c>
      <c r="BX27" s="30">
        <f t="shared" si="166"/>
        <v>31.536555142503097</v>
      </c>
      <c r="BY27" s="30">
        <f t="shared" si="166"/>
        <v>31.29873621941382</v>
      </c>
      <c r="BZ27" s="11">
        <f t="shared" si="51"/>
        <v>21675</v>
      </c>
      <c r="CA27" s="11">
        <f t="shared" si="51"/>
        <v>22920</v>
      </c>
      <c r="CB27" s="11">
        <f t="shared" si="52"/>
        <v>44595</v>
      </c>
      <c r="CC27" s="11">
        <f t="shared" si="53"/>
        <v>9794</v>
      </c>
      <c r="CD27" s="11">
        <f t="shared" si="53"/>
        <v>14815</v>
      </c>
      <c r="CE27" s="11">
        <f t="shared" si="54"/>
        <v>24609</v>
      </c>
      <c r="CF27" s="11">
        <f t="shared" si="153"/>
        <v>1165</v>
      </c>
      <c r="CG27" s="11">
        <f t="shared" si="153"/>
        <v>1068</v>
      </c>
      <c r="CH27" s="11">
        <f t="shared" si="55"/>
        <v>2233</v>
      </c>
      <c r="CI27" s="8">
        <f t="shared" si="56"/>
        <v>10959</v>
      </c>
      <c r="CJ27" s="8">
        <f t="shared" si="56"/>
        <v>15883</v>
      </c>
      <c r="CK27" s="11">
        <f t="shared" si="126"/>
        <v>26842</v>
      </c>
      <c r="CL27" s="30">
        <f aca="true" t="shared" si="170" ref="CL27:CN28">IF(BZ27=0,"",CI27/BZ27*100)</f>
        <v>50.560553633218</v>
      </c>
      <c r="CM27" s="30">
        <f t="shared" si="170"/>
        <v>69.2975567190227</v>
      </c>
      <c r="CN27" s="30">
        <f t="shared" si="170"/>
        <v>60.190604327839445</v>
      </c>
      <c r="CO27" s="10">
        <v>2561</v>
      </c>
      <c r="CP27" s="10">
        <v>2922</v>
      </c>
      <c r="CQ27" s="11">
        <f aca="true" t="shared" si="171" ref="CQ27:CQ41">CO27+CP27</f>
        <v>5483</v>
      </c>
      <c r="CR27" s="10">
        <v>1314</v>
      </c>
      <c r="CS27" s="10">
        <v>1870</v>
      </c>
      <c r="CT27" s="11">
        <f t="shared" si="169"/>
        <v>3184</v>
      </c>
      <c r="CU27" s="10">
        <v>89</v>
      </c>
      <c r="CV27" s="10">
        <v>111</v>
      </c>
      <c r="CW27" s="11">
        <f t="shared" si="151"/>
        <v>200</v>
      </c>
      <c r="CX27" s="8">
        <f t="shared" si="59"/>
        <v>1403</v>
      </c>
      <c r="CY27" s="8">
        <f t="shared" si="60"/>
        <v>1981</v>
      </c>
      <c r="CZ27" s="11">
        <f t="shared" si="128"/>
        <v>3384</v>
      </c>
      <c r="DA27" s="30">
        <f t="shared" si="129"/>
        <v>54.78328777821163</v>
      </c>
      <c r="DB27" s="30">
        <f t="shared" si="130"/>
        <v>67.79603011635866</v>
      </c>
      <c r="DC27" s="30">
        <f t="shared" si="131"/>
        <v>61.71803757067299</v>
      </c>
      <c r="DD27" s="10">
        <v>420</v>
      </c>
      <c r="DE27" s="10">
        <v>281</v>
      </c>
      <c r="DF27" s="11">
        <f t="shared" si="61"/>
        <v>701</v>
      </c>
      <c r="DG27" s="10">
        <v>94</v>
      </c>
      <c r="DH27" s="10">
        <v>82</v>
      </c>
      <c r="DI27" s="11">
        <f t="shared" si="62"/>
        <v>176</v>
      </c>
      <c r="DJ27" s="10">
        <v>5</v>
      </c>
      <c r="DK27" s="10">
        <v>12</v>
      </c>
      <c r="DL27" s="7">
        <f t="shared" si="152"/>
        <v>17</v>
      </c>
      <c r="DM27" s="8">
        <f t="shared" si="63"/>
        <v>99</v>
      </c>
      <c r="DN27" s="8">
        <f t="shared" si="64"/>
        <v>94</v>
      </c>
      <c r="DO27" s="11">
        <f t="shared" si="132"/>
        <v>193</v>
      </c>
      <c r="DP27" s="30">
        <f t="shared" si="161"/>
        <v>23.57142857142857</v>
      </c>
      <c r="DQ27" s="30">
        <f t="shared" si="165"/>
        <v>33.45195729537366</v>
      </c>
      <c r="DR27" s="30">
        <f t="shared" si="134"/>
        <v>27.5320970042796</v>
      </c>
      <c r="DS27" s="11">
        <f t="shared" si="65"/>
        <v>2981</v>
      </c>
      <c r="DT27" s="11">
        <f t="shared" si="66"/>
        <v>3203</v>
      </c>
      <c r="DU27" s="11">
        <f t="shared" si="67"/>
        <v>6184</v>
      </c>
      <c r="DV27" s="11">
        <f t="shared" si="68"/>
        <v>1408</v>
      </c>
      <c r="DW27" s="11">
        <f t="shared" si="69"/>
        <v>1952</v>
      </c>
      <c r="DX27" s="11">
        <f t="shared" si="70"/>
        <v>3360</v>
      </c>
      <c r="DY27" s="11">
        <f t="shared" si="158"/>
        <v>94</v>
      </c>
      <c r="DZ27" s="11">
        <f t="shared" si="159"/>
        <v>123</v>
      </c>
      <c r="EA27" s="11">
        <f t="shared" si="71"/>
        <v>217</v>
      </c>
      <c r="EB27" s="8">
        <f t="shared" si="72"/>
        <v>1502</v>
      </c>
      <c r="EC27" s="8">
        <f t="shared" si="73"/>
        <v>2075</v>
      </c>
      <c r="ED27" s="11">
        <f t="shared" si="135"/>
        <v>3577</v>
      </c>
      <c r="EE27" s="30">
        <f t="shared" si="136"/>
        <v>50.38577658503858</v>
      </c>
      <c r="EF27" s="30">
        <f t="shared" si="137"/>
        <v>64.78301592257259</v>
      </c>
      <c r="EG27" s="30">
        <f t="shared" si="138"/>
        <v>57.84282018111255</v>
      </c>
      <c r="EH27" s="10"/>
      <c r="EI27" s="10"/>
      <c r="EJ27" s="11">
        <f t="shared" si="74"/>
        <v>0</v>
      </c>
      <c r="EK27" s="10"/>
      <c r="EL27" s="10"/>
      <c r="EM27" s="11">
        <f t="shared" si="75"/>
        <v>0</v>
      </c>
      <c r="EN27" s="10"/>
      <c r="EO27" s="10"/>
      <c r="EP27" s="11">
        <f t="shared" si="76"/>
        <v>0</v>
      </c>
      <c r="EQ27" s="8">
        <f t="shared" si="77"/>
        <v>0</v>
      </c>
      <c r="ER27" s="8">
        <f t="shared" si="77"/>
        <v>0</v>
      </c>
      <c r="ES27" s="11">
        <f t="shared" si="139"/>
        <v>0</v>
      </c>
      <c r="ET27" s="30">
        <f t="shared" si="140"/>
      </c>
      <c r="EU27" s="30">
        <f t="shared" si="140"/>
      </c>
      <c r="EV27" s="30">
        <f t="shared" si="140"/>
      </c>
      <c r="EW27" s="10"/>
      <c r="EX27" s="10"/>
      <c r="EY27" s="11">
        <f t="shared" si="78"/>
        <v>0</v>
      </c>
      <c r="EZ27" s="10"/>
      <c r="FA27" s="10"/>
      <c r="FB27" s="11">
        <f t="shared" si="79"/>
        <v>0</v>
      </c>
      <c r="FC27" s="10"/>
      <c r="FD27" s="10"/>
      <c r="FE27" s="7">
        <f t="shared" si="141"/>
        <v>0</v>
      </c>
      <c r="FF27" s="8">
        <f t="shared" si="80"/>
        <v>0</v>
      </c>
      <c r="FG27" s="8">
        <f t="shared" si="80"/>
        <v>0</v>
      </c>
      <c r="FH27" s="11">
        <f t="shared" si="142"/>
        <v>0</v>
      </c>
      <c r="FI27" s="30">
        <f t="shared" si="143"/>
      </c>
      <c r="FJ27" s="30">
        <f t="shared" si="143"/>
      </c>
      <c r="FK27" s="30">
        <f t="shared" si="143"/>
      </c>
      <c r="FL27" s="11">
        <f t="shared" si="81"/>
        <v>0</v>
      </c>
      <c r="FM27" s="11">
        <f t="shared" si="81"/>
        <v>0</v>
      </c>
      <c r="FN27" s="11">
        <f t="shared" si="82"/>
        <v>0</v>
      </c>
      <c r="FO27" s="11">
        <f t="shared" si="83"/>
        <v>0</v>
      </c>
      <c r="FP27" s="11">
        <f t="shared" si="83"/>
        <v>0</v>
      </c>
      <c r="FQ27" s="11">
        <f t="shared" si="84"/>
        <v>0</v>
      </c>
      <c r="FR27" s="11">
        <f t="shared" si="144"/>
        <v>0</v>
      </c>
      <c r="FS27" s="11">
        <f t="shared" si="144"/>
        <v>0</v>
      </c>
      <c r="FT27" s="11">
        <f t="shared" si="85"/>
        <v>0</v>
      </c>
      <c r="FU27" s="8">
        <f t="shared" si="86"/>
        <v>0</v>
      </c>
      <c r="FV27" s="8">
        <f t="shared" si="86"/>
        <v>0</v>
      </c>
      <c r="FW27" s="11">
        <f t="shared" si="145"/>
        <v>0</v>
      </c>
      <c r="FX27" s="30">
        <f t="shared" si="146"/>
      </c>
      <c r="FY27" s="30">
        <f t="shared" si="146"/>
      </c>
      <c r="FZ27" s="30">
        <f t="shared" si="146"/>
      </c>
      <c r="GA27" s="21">
        <f t="shared" si="147"/>
        <v>153838</v>
      </c>
      <c r="GB27" s="21">
        <f t="shared" si="148"/>
        <v>190583</v>
      </c>
      <c r="GC27" s="21">
        <f t="shared" si="149"/>
        <v>344421</v>
      </c>
      <c r="GD27" s="47">
        <v>39426</v>
      </c>
      <c r="GE27" s="47">
        <v>88649</v>
      </c>
      <c r="GF27" s="21">
        <f t="shared" si="87"/>
        <v>128075</v>
      </c>
      <c r="GG27" s="21">
        <v>63847</v>
      </c>
      <c r="GH27" s="21">
        <v>78075</v>
      </c>
      <c r="GI27" s="21">
        <f t="shared" si="88"/>
        <v>141922</v>
      </c>
      <c r="GJ27" s="57">
        <f t="shared" si="89"/>
        <v>25.628258297689776</v>
      </c>
      <c r="GK27" s="57">
        <f t="shared" si="90"/>
        <v>46.51464191454642</v>
      </c>
      <c r="GL27" s="57">
        <f t="shared" si="91"/>
        <v>37.18559553569614</v>
      </c>
      <c r="GM27" s="46">
        <f t="shared" si="92"/>
        <v>41.50274964573122</v>
      </c>
      <c r="GN27" s="46">
        <f t="shared" si="93"/>
        <v>40.96640308946758</v>
      </c>
      <c r="GO27" s="46">
        <f t="shared" si="94"/>
        <v>41.2059659544569</v>
      </c>
      <c r="GP27" s="21">
        <f t="shared" si="95"/>
        <v>10959</v>
      </c>
      <c r="GQ27" s="21">
        <f t="shared" si="96"/>
        <v>15883</v>
      </c>
      <c r="GR27" s="21">
        <f t="shared" si="97"/>
        <v>26842</v>
      </c>
      <c r="GS27" s="47">
        <v>1150</v>
      </c>
      <c r="GT27" s="47">
        <v>3314</v>
      </c>
      <c r="GU27" s="21">
        <f t="shared" si="98"/>
        <v>4464</v>
      </c>
      <c r="GV27" s="21">
        <v>4340</v>
      </c>
      <c r="GW27" s="21">
        <v>8926</v>
      </c>
      <c r="GX27" s="21">
        <f t="shared" si="99"/>
        <v>13266</v>
      </c>
      <c r="GY27" s="57">
        <f t="shared" si="100"/>
        <v>10.49365818049092</v>
      </c>
      <c r="GZ27" s="57">
        <f t="shared" si="101"/>
        <v>20.86507586727948</v>
      </c>
      <c r="HA27" s="57">
        <f t="shared" si="102"/>
        <v>16.630653453542955</v>
      </c>
      <c r="HB27" s="46">
        <f t="shared" si="103"/>
        <v>39.60215348115704</v>
      </c>
      <c r="HC27" s="46">
        <f t="shared" si="104"/>
        <v>56.198451174211414</v>
      </c>
      <c r="HD27" s="46">
        <f t="shared" si="105"/>
        <v>49.422546755085314</v>
      </c>
      <c r="HE27" s="21">
        <f t="shared" si="106"/>
        <v>1502</v>
      </c>
      <c r="HF27" s="21">
        <f t="shared" si="107"/>
        <v>2075</v>
      </c>
      <c r="HG27" s="21">
        <f t="shared" si="108"/>
        <v>3577</v>
      </c>
      <c r="HH27" s="47">
        <v>133</v>
      </c>
      <c r="HI27" s="47">
        <v>357</v>
      </c>
      <c r="HJ27" s="21">
        <f t="shared" si="109"/>
        <v>490</v>
      </c>
      <c r="HK27" s="21">
        <v>617</v>
      </c>
      <c r="HL27" s="21">
        <v>1108</v>
      </c>
      <c r="HM27" s="21">
        <f t="shared" si="110"/>
        <v>1725</v>
      </c>
      <c r="HN27" s="57">
        <f t="shared" si="111"/>
        <v>8.85486018641811</v>
      </c>
      <c r="HO27" s="57">
        <f t="shared" si="167"/>
        <v>17.204819277108435</v>
      </c>
      <c r="HP27" s="57">
        <f t="shared" si="112"/>
        <v>13.698630136986301</v>
      </c>
      <c r="HQ27" s="46">
        <f t="shared" si="113"/>
        <v>41.07856191744341</v>
      </c>
      <c r="HR27" s="46">
        <f t="shared" si="168"/>
        <v>53.397590361445786</v>
      </c>
      <c r="HS27" s="46">
        <f t="shared" si="114"/>
        <v>48.22476935979871</v>
      </c>
    </row>
    <row r="28" spans="1:227" ht="48.75" customHeight="1">
      <c r="A28" s="4">
        <v>19</v>
      </c>
      <c r="B28" s="6" t="s">
        <v>52</v>
      </c>
      <c r="C28" s="76">
        <f>742375+2164</f>
        <v>744539</v>
      </c>
      <c r="D28" s="76">
        <f>589411+793</f>
        <v>590204</v>
      </c>
      <c r="E28" s="84">
        <f t="shared" si="154"/>
        <v>1334743</v>
      </c>
      <c r="F28" s="76">
        <f>603815+1939</f>
        <v>605754</v>
      </c>
      <c r="G28" s="76">
        <f>528680+703</f>
        <v>529383</v>
      </c>
      <c r="H28" s="83">
        <f t="shared" si="33"/>
        <v>1135137</v>
      </c>
      <c r="I28" s="77">
        <v>20292</v>
      </c>
      <c r="J28" s="77">
        <v>9707</v>
      </c>
      <c r="K28" s="90">
        <f t="shared" si="155"/>
        <v>29999</v>
      </c>
      <c r="L28" s="76">
        <f t="shared" si="34"/>
        <v>626046</v>
      </c>
      <c r="M28" s="76">
        <f t="shared" si="34"/>
        <v>539090</v>
      </c>
      <c r="N28" s="76">
        <f t="shared" si="34"/>
        <v>1165136</v>
      </c>
      <c r="O28" s="86">
        <f t="shared" si="32"/>
        <v>84.0850512867694</v>
      </c>
      <c r="P28" s="86">
        <f t="shared" si="32"/>
        <v>91.33960461128694</v>
      </c>
      <c r="Q28" s="86">
        <f t="shared" si="32"/>
        <v>87.29290957135568</v>
      </c>
      <c r="R28" s="76">
        <f>33986+1076</f>
        <v>35062</v>
      </c>
      <c r="S28" s="76">
        <f>14152+443</f>
        <v>14595</v>
      </c>
      <c r="T28" s="83">
        <f t="shared" si="115"/>
        <v>49657</v>
      </c>
      <c r="U28" s="76">
        <v>21446</v>
      </c>
      <c r="V28" s="76">
        <v>10116</v>
      </c>
      <c r="W28" s="83">
        <f t="shared" si="35"/>
        <v>31562</v>
      </c>
      <c r="X28" s="77">
        <v>1380</v>
      </c>
      <c r="Y28" s="77">
        <v>517</v>
      </c>
      <c r="Z28" s="85">
        <f t="shared" si="36"/>
        <v>1897</v>
      </c>
      <c r="AA28" s="76">
        <f t="shared" si="156"/>
        <v>22826</v>
      </c>
      <c r="AB28" s="76">
        <f t="shared" si="157"/>
        <v>10633</v>
      </c>
      <c r="AC28" s="85">
        <f t="shared" si="116"/>
        <v>33459</v>
      </c>
      <c r="AD28" s="86">
        <f t="shared" si="117"/>
        <v>65.10181963379156</v>
      </c>
      <c r="AE28" s="86">
        <f t="shared" si="117"/>
        <v>72.85371702637889</v>
      </c>
      <c r="AF28" s="86">
        <f t="shared" si="117"/>
        <v>67.38022836659484</v>
      </c>
      <c r="AG28" s="85">
        <f t="shared" si="38"/>
        <v>779601</v>
      </c>
      <c r="AH28" s="85">
        <f t="shared" si="38"/>
        <v>604799</v>
      </c>
      <c r="AI28" s="85">
        <f t="shared" si="39"/>
        <v>1384400</v>
      </c>
      <c r="AJ28" s="85">
        <f t="shared" si="40"/>
        <v>627200</v>
      </c>
      <c r="AK28" s="85">
        <f t="shared" si="40"/>
        <v>539499</v>
      </c>
      <c r="AL28" s="85">
        <f t="shared" si="41"/>
        <v>1166699</v>
      </c>
      <c r="AM28" s="85">
        <f t="shared" si="150"/>
        <v>21672</v>
      </c>
      <c r="AN28" s="85">
        <f t="shared" si="150"/>
        <v>10224</v>
      </c>
      <c r="AO28" s="85">
        <f t="shared" si="42"/>
        <v>31896</v>
      </c>
      <c r="AP28" s="76">
        <f t="shared" si="43"/>
        <v>648872</v>
      </c>
      <c r="AQ28" s="76">
        <f t="shared" si="43"/>
        <v>549723</v>
      </c>
      <c r="AR28" s="85">
        <f t="shared" si="118"/>
        <v>1198595</v>
      </c>
      <c r="AS28" s="86">
        <f t="shared" si="119"/>
        <v>83.23129395678046</v>
      </c>
      <c r="AT28" s="86">
        <f t="shared" si="119"/>
        <v>90.89350346148059</v>
      </c>
      <c r="AU28" s="86">
        <f t="shared" si="119"/>
        <v>86.57866223634788</v>
      </c>
      <c r="AV28" s="87">
        <f>101296+71</f>
        <v>101367</v>
      </c>
      <c r="AW28" s="87">
        <f>82491+33</f>
        <v>82524</v>
      </c>
      <c r="AX28" s="85">
        <f t="shared" si="44"/>
        <v>183891</v>
      </c>
      <c r="AY28" s="77">
        <f>77485+64</f>
        <v>77549</v>
      </c>
      <c r="AZ28" s="77">
        <f>70592+31</f>
        <v>70623</v>
      </c>
      <c r="BA28" s="85">
        <f t="shared" si="45"/>
        <v>148172</v>
      </c>
      <c r="BB28" s="77">
        <v>3271</v>
      </c>
      <c r="BC28" s="77">
        <v>1941</v>
      </c>
      <c r="BD28" s="85">
        <f t="shared" si="162"/>
        <v>5212</v>
      </c>
      <c r="BE28" s="76">
        <f t="shared" si="46"/>
        <v>80820</v>
      </c>
      <c r="BF28" s="76">
        <f t="shared" si="46"/>
        <v>72564</v>
      </c>
      <c r="BG28" s="85">
        <f t="shared" si="120"/>
        <v>153384</v>
      </c>
      <c r="BH28" s="86">
        <f t="shared" si="121"/>
        <v>79.73008967415431</v>
      </c>
      <c r="BI28" s="86">
        <f t="shared" si="121"/>
        <v>87.9307837719936</v>
      </c>
      <c r="BJ28" s="86">
        <f t="shared" si="121"/>
        <v>83.41028109042857</v>
      </c>
      <c r="BK28" s="77">
        <f>4813+52</f>
        <v>4865</v>
      </c>
      <c r="BL28" s="77">
        <f>2303+24</f>
        <v>2327</v>
      </c>
      <c r="BM28" s="85">
        <f t="shared" si="47"/>
        <v>7192</v>
      </c>
      <c r="BN28" s="77">
        <v>2736</v>
      </c>
      <c r="BO28" s="77">
        <v>1516</v>
      </c>
      <c r="BP28" s="85">
        <f t="shared" si="48"/>
        <v>4252</v>
      </c>
      <c r="BQ28" s="77">
        <v>225</v>
      </c>
      <c r="BR28" s="77">
        <v>98</v>
      </c>
      <c r="BS28" s="85">
        <f t="shared" si="49"/>
        <v>323</v>
      </c>
      <c r="BT28" s="76">
        <f t="shared" si="50"/>
        <v>2961</v>
      </c>
      <c r="BU28" s="76">
        <f t="shared" si="50"/>
        <v>1614</v>
      </c>
      <c r="BV28" s="85">
        <f t="shared" si="122"/>
        <v>4575</v>
      </c>
      <c r="BW28" s="86">
        <f t="shared" si="166"/>
        <v>60.86330935251798</v>
      </c>
      <c r="BX28" s="86">
        <f t="shared" si="166"/>
        <v>69.35969058874086</v>
      </c>
      <c r="BY28" s="86">
        <f t="shared" si="166"/>
        <v>63.61234705228031</v>
      </c>
      <c r="BZ28" s="11">
        <f t="shared" si="51"/>
        <v>106232</v>
      </c>
      <c r="CA28" s="11">
        <f t="shared" si="51"/>
        <v>84851</v>
      </c>
      <c r="CB28" s="85">
        <f t="shared" si="52"/>
        <v>191083</v>
      </c>
      <c r="CC28" s="11">
        <f t="shared" si="53"/>
        <v>80285</v>
      </c>
      <c r="CD28" s="85">
        <f t="shared" si="53"/>
        <v>72139</v>
      </c>
      <c r="CE28" s="85">
        <f t="shared" si="54"/>
        <v>152424</v>
      </c>
      <c r="CF28" s="85">
        <f t="shared" si="153"/>
        <v>3496</v>
      </c>
      <c r="CG28" s="85">
        <f t="shared" si="153"/>
        <v>2039</v>
      </c>
      <c r="CH28" s="85">
        <f t="shared" si="55"/>
        <v>5535</v>
      </c>
      <c r="CI28" s="76">
        <f t="shared" si="56"/>
        <v>83781</v>
      </c>
      <c r="CJ28" s="76">
        <f t="shared" si="56"/>
        <v>74178</v>
      </c>
      <c r="CK28" s="85">
        <f t="shared" si="126"/>
        <v>157959</v>
      </c>
      <c r="CL28" s="30">
        <f t="shared" si="170"/>
        <v>78.8660667218917</v>
      </c>
      <c r="CM28" s="30">
        <f t="shared" si="170"/>
        <v>87.42148000612839</v>
      </c>
      <c r="CN28" s="30">
        <f t="shared" si="170"/>
        <v>82.66512457937127</v>
      </c>
      <c r="CO28" s="77">
        <v>51436</v>
      </c>
      <c r="CP28" s="77">
        <v>39186</v>
      </c>
      <c r="CQ28" s="85">
        <f t="shared" si="171"/>
        <v>90622</v>
      </c>
      <c r="CR28" s="77">
        <v>39080</v>
      </c>
      <c r="CS28" s="77">
        <v>32305</v>
      </c>
      <c r="CT28" s="85">
        <f t="shared" si="169"/>
        <v>71385</v>
      </c>
      <c r="CU28" s="77">
        <v>1335</v>
      </c>
      <c r="CV28" s="77">
        <v>839</v>
      </c>
      <c r="CW28" s="85">
        <f t="shared" si="151"/>
        <v>2174</v>
      </c>
      <c r="CX28" s="76">
        <f t="shared" si="59"/>
        <v>40415</v>
      </c>
      <c r="CY28" s="76">
        <f t="shared" si="60"/>
        <v>33144</v>
      </c>
      <c r="CZ28" s="85">
        <f t="shared" si="128"/>
        <v>73559</v>
      </c>
      <c r="DA28" s="86">
        <f t="shared" si="129"/>
        <v>78.57337273504939</v>
      </c>
      <c r="DB28" s="86">
        <f t="shared" si="130"/>
        <v>84.58122798958811</v>
      </c>
      <c r="DC28" s="86">
        <f t="shared" si="131"/>
        <v>81.1712387720421</v>
      </c>
      <c r="DD28" s="77">
        <v>1187</v>
      </c>
      <c r="DE28" s="77">
        <v>589</v>
      </c>
      <c r="DF28" s="85">
        <f t="shared" si="61"/>
        <v>1776</v>
      </c>
      <c r="DG28" s="77">
        <v>706</v>
      </c>
      <c r="DH28" s="77">
        <v>386</v>
      </c>
      <c r="DI28" s="85">
        <f t="shared" si="62"/>
        <v>1092</v>
      </c>
      <c r="DJ28" s="78">
        <v>45</v>
      </c>
      <c r="DK28" s="78">
        <v>24</v>
      </c>
      <c r="DL28" s="78">
        <f t="shared" si="152"/>
        <v>69</v>
      </c>
      <c r="DM28" s="76">
        <f t="shared" si="63"/>
        <v>751</v>
      </c>
      <c r="DN28" s="76">
        <f t="shared" si="64"/>
        <v>410</v>
      </c>
      <c r="DO28" s="85">
        <f t="shared" si="132"/>
        <v>1161</v>
      </c>
      <c r="DP28" s="86">
        <f t="shared" si="161"/>
        <v>63.2687447346251</v>
      </c>
      <c r="DQ28" s="86">
        <f t="shared" si="165"/>
        <v>69.60950764006792</v>
      </c>
      <c r="DR28" s="86">
        <f t="shared" si="134"/>
        <v>65.37162162162163</v>
      </c>
      <c r="DS28" s="85">
        <f t="shared" si="65"/>
        <v>52623</v>
      </c>
      <c r="DT28" s="85">
        <f t="shared" si="66"/>
        <v>39775</v>
      </c>
      <c r="DU28" s="85">
        <f t="shared" si="67"/>
        <v>92398</v>
      </c>
      <c r="DV28" s="85">
        <f t="shared" si="68"/>
        <v>39786</v>
      </c>
      <c r="DW28" s="85">
        <f t="shared" si="69"/>
        <v>32691</v>
      </c>
      <c r="DX28" s="85">
        <f t="shared" si="70"/>
        <v>72477</v>
      </c>
      <c r="DY28" s="85">
        <f t="shared" si="158"/>
        <v>1380</v>
      </c>
      <c r="DZ28" s="85">
        <f t="shared" si="159"/>
        <v>863</v>
      </c>
      <c r="EA28" s="85">
        <f t="shared" si="71"/>
        <v>2243</v>
      </c>
      <c r="EB28" s="76">
        <f t="shared" si="72"/>
        <v>41166</v>
      </c>
      <c r="EC28" s="76">
        <f t="shared" si="73"/>
        <v>33554</v>
      </c>
      <c r="ED28" s="85">
        <f t="shared" si="135"/>
        <v>74720</v>
      </c>
      <c r="EE28" s="86">
        <f t="shared" si="136"/>
        <v>78.22815118864375</v>
      </c>
      <c r="EF28" s="86">
        <f t="shared" si="137"/>
        <v>84.35952231301069</v>
      </c>
      <c r="EG28" s="86">
        <f t="shared" si="138"/>
        <v>80.86755124569795</v>
      </c>
      <c r="EH28" s="77">
        <v>179174</v>
      </c>
      <c r="EI28" s="77">
        <v>146084</v>
      </c>
      <c r="EJ28" s="85">
        <f t="shared" si="74"/>
        <v>325258</v>
      </c>
      <c r="EK28" s="77">
        <v>115211</v>
      </c>
      <c r="EL28" s="77">
        <v>109041</v>
      </c>
      <c r="EM28" s="85">
        <f t="shared" si="75"/>
        <v>224252</v>
      </c>
      <c r="EN28" s="77">
        <v>4606</v>
      </c>
      <c r="EO28" s="77">
        <v>3138</v>
      </c>
      <c r="EP28" s="85">
        <f t="shared" si="76"/>
        <v>7744</v>
      </c>
      <c r="EQ28" s="76">
        <f t="shared" si="77"/>
        <v>119817</v>
      </c>
      <c r="ER28" s="76">
        <f t="shared" si="77"/>
        <v>112179</v>
      </c>
      <c r="ES28" s="85">
        <f t="shared" si="139"/>
        <v>231996</v>
      </c>
      <c r="ET28" s="86">
        <f t="shared" si="140"/>
        <v>66.87186757007156</v>
      </c>
      <c r="EU28" s="86">
        <f t="shared" si="140"/>
        <v>76.790750527094</v>
      </c>
      <c r="EV28" s="86">
        <f t="shared" si="140"/>
        <v>71.3267621395938</v>
      </c>
      <c r="EW28" s="77">
        <v>9288</v>
      </c>
      <c r="EX28" s="77">
        <v>3567</v>
      </c>
      <c r="EY28" s="85">
        <f t="shared" si="78"/>
        <v>12855</v>
      </c>
      <c r="EZ28" s="77">
        <v>3922</v>
      </c>
      <c r="FA28" s="77">
        <v>1739</v>
      </c>
      <c r="FB28" s="85">
        <f t="shared" si="79"/>
        <v>5661</v>
      </c>
      <c r="FC28" s="78">
        <v>297</v>
      </c>
      <c r="FD28" s="78">
        <v>138</v>
      </c>
      <c r="FE28" s="78">
        <f t="shared" si="141"/>
        <v>435</v>
      </c>
      <c r="FF28" s="76">
        <f t="shared" si="80"/>
        <v>4219</v>
      </c>
      <c r="FG28" s="76">
        <f t="shared" si="80"/>
        <v>1877</v>
      </c>
      <c r="FH28" s="85">
        <f t="shared" si="142"/>
        <v>6096</v>
      </c>
      <c r="FI28" s="86">
        <f t="shared" si="143"/>
        <v>45.42420327304048</v>
      </c>
      <c r="FJ28" s="86">
        <f t="shared" si="143"/>
        <v>52.621250350434536</v>
      </c>
      <c r="FK28" s="86">
        <f t="shared" si="143"/>
        <v>47.42123687281213</v>
      </c>
      <c r="FL28" s="85">
        <f t="shared" si="81"/>
        <v>188462</v>
      </c>
      <c r="FM28" s="85">
        <f t="shared" si="81"/>
        <v>149651</v>
      </c>
      <c r="FN28" s="85">
        <f t="shared" si="82"/>
        <v>338113</v>
      </c>
      <c r="FO28" s="85">
        <f t="shared" si="83"/>
        <v>119133</v>
      </c>
      <c r="FP28" s="85">
        <f t="shared" si="83"/>
        <v>110780</v>
      </c>
      <c r="FQ28" s="85">
        <f t="shared" si="84"/>
        <v>229913</v>
      </c>
      <c r="FR28" s="85">
        <f t="shared" si="144"/>
        <v>4903</v>
      </c>
      <c r="FS28" s="85">
        <f t="shared" si="144"/>
        <v>3276</v>
      </c>
      <c r="FT28" s="85">
        <f t="shared" si="85"/>
        <v>8179</v>
      </c>
      <c r="FU28" s="76">
        <f t="shared" si="86"/>
        <v>124036</v>
      </c>
      <c r="FV28" s="76">
        <f t="shared" si="86"/>
        <v>114056</v>
      </c>
      <c r="FW28" s="85">
        <f t="shared" si="145"/>
        <v>238092</v>
      </c>
      <c r="FX28" s="86">
        <f t="shared" si="146"/>
        <v>65.81485922891618</v>
      </c>
      <c r="FY28" s="86">
        <f t="shared" si="146"/>
        <v>76.21465944096599</v>
      </c>
      <c r="FZ28" s="86">
        <f t="shared" si="146"/>
        <v>70.41787804668853</v>
      </c>
      <c r="GA28" s="87">
        <f t="shared" si="147"/>
        <v>648872</v>
      </c>
      <c r="GB28" s="87">
        <f t="shared" si="148"/>
        <v>549723</v>
      </c>
      <c r="GC28" s="87">
        <f t="shared" si="149"/>
        <v>1198595</v>
      </c>
      <c r="GD28" s="91">
        <v>36423</v>
      </c>
      <c r="GE28" s="91">
        <v>57799</v>
      </c>
      <c r="GF28" s="87">
        <f t="shared" si="87"/>
        <v>94222</v>
      </c>
      <c r="GG28" s="87">
        <v>209205</v>
      </c>
      <c r="GH28" s="87">
        <v>236859</v>
      </c>
      <c r="GI28" s="87">
        <f t="shared" si="88"/>
        <v>446064</v>
      </c>
      <c r="GJ28" s="88">
        <f t="shared" si="89"/>
        <v>5.613279660703498</v>
      </c>
      <c r="GK28" s="88">
        <f t="shared" si="90"/>
        <v>10.51420442659303</v>
      </c>
      <c r="GL28" s="88">
        <f t="shared" si="91"/>
        <v>7.861037297836216</v>
      </c>
      <c r="GM28" s="89">
        <f t="shared" si="92"/>
        <v>32.2413357333958</v>
      </c>
      <c r="GN28" s="89">
        <f t="shared" si="93"/>
        <v>43.086972893620974</v>
      </c>
      <c r="GO28" s="89">
        <f t="shared" si="94"/>
        <v>37.215573233661075</v>
      </c>
      <c r="GP28" s="87">
        <f t="shared" si="95"/>
        <v>83781</v>
      </c>
      <c r="GQ28" s="87">
        <f t="shared" si="96"/>
        <v>74178</v>
      </c>
      <c r="GR28" s="87">
        <f t="shared" si="97"/>
        <v>157959</v>
      </c>
      <c r="GS28" s="91">
        <v>2468</v>
      </c>
      <c r="GT28" s="91">
        <v>4179</v>
      </c>
      <c r="GU28" s="87">
        <f t="shared" si="98"/>
        <v>6647</v>
      </c>
      <c r="GV28" s="87">
        <v>24579</v>
      </c>
      <c r="GW28" s="87">
        <v>28731</v>
      </c>
      <c r="GX28" s="87">
        <f t="shared" si="99"/>
        <v>53310</v>
      </c>
      <c r="GY28" s="88">
        <f t="shared" si="100"/>
        <v>2.9457752951146445</v>
      </c>
      <c r="GZ28" s="88">
        <f t="shared" si="101"/>
        <v>5.633745854566044</v>
      </c>
      <c r="HA28" s="88">
        <f t="shared" si="102"/>
        <v>4.208053988693269</v>
      </c>
      <c r="HB28" s="89">
        <f t="shared" si="103"/>
        <v>29.337200558599207</v>
      </c>
      <c r="HC28" s="89">
        <f t="shared" si="104"/>
        <v>38.73250829086791</v>
      </c>
      <c r="HD28" s="89">
        <f t="shared" si="105"/>
        <v>33.749264049531845</v>
      </c>
      <c r="HE28" s="87">
        <f t="shared" si="106"/>
        <v>41166</v>
      </c>
      <c r="HF28" s="87">
        <f t="shared" si="107"/>
        <v>33554</v>
      </c>
      <c r="HG28" s="87">
        <f t="shared" si="108"/>
        <v>74720</v>
      </c>
      <c r="HH28" s="91">
        <v>614</v>
      </c>
      <c r="HI28" s="91">
        <v>804</v>
      </c>
      <c r="HJ28" s="87">
        <f t="shared" si="109"/>
        <v>1418</v>
      </c>
      <c r="HK28" s="87">
        <v>12025</v>
      </c>
      <c r="HL28" s="87">
        <v>12060</v>
      </c>
      <c r="HM28" s="87">
        <f t="shared" si="110"/>
        <v>24085</v>
      </c>
      <c r="HN28" s="88">
        <f t="shared" si="111"/>
        <v>1.491522129913035</v>
      </c>
      <c r="HO28" s="88">
        <f t="shared" si="167"/>
        <v>2.3961375692912914</v>
      </c>
      <c r="HP28" s="88">
        <f t="shared" si="112"/>
        <v>1.8977516059957171</v>
      </c>
      <c r="HQ28" s="89">
        <f t="shared" si="113"/>
        <v>29.21099936841082</v>
      </c>
      <c r="HR28" s="89">
        <f t="shared" si="168"/>
        <v>35.94206353936937</v>
      </c>
      <c r="HS28" s="89">
        <f t="shared" si="114"/>
        <v>32.233672376873656</v>
      </c>
    </row>
    <row r="29" spans="1:227" ht="45" customHeight="1">
      <c r="A29" s="4">
        <v>20</v>
      </c>
      <c r="B29" s="6" t="s">
        <v>53</v>
      </c>
      <c r="C29" s="8">
        <v>311149</v>
      </c>
      <c r="D29" s="8">
        <v>246773</v>
      </c>
      <c r="E29" s="17">
        <f t="shared" si="154"/>
        <v>557922</v>
      </c>
      <c r="F29" s="8">
        <v>204780</v>
      </c>
      <c r="G29" s="8">
        <v>182082</v>
      </c>
      <c r="H29" s="9">
        <f>F29+G29</f>
        <v>386862</v>
      </c>
      <c r="I29" s="10">
        <v>19447</v>
      </c>
      <c r="J29" s="10">
        <v>17918</v>
      </c>
      <c r="K29" s="12">
        <f t="shared" si="155"/>
        <v>37365</v>
      </c>
      <c r="L29" s="8">
        <f t="shared" si="34"/>
        <v>224227</v>
      </c>
      <c r="M29" s="8">
        <f t="shared" si="34"/>
        <v>200000</v>
      </c>
      <c r="N29" s="8">
        <f t="shared" si="34"/>
        <v>424227</v>
      </c>
      <c r="O29" s="30">
        <f t="shared" si="32"/>
        <v>72.06418789711681</v>
      </c>
      <c r="P29" s="30">
        <f t="shared" si="32"/>
        <v>81.04614362187111</v>
      </c>
      <c r="Q29" s="30">
        <f t="shared" si="32"/>
        <v>76.03697291019175</v>
      </c>
      <c r="R29" s="8">
        <v>117585</v>
      </c>
      <c r="S29" s="8">
        <v>66837</v>
      </c>
      <c r="T29" s="9">
        <f t="shared" si="115"/>
        <v>184422</v>
      </c>
      <c r="U29" s="8">
        <v>35571</v>
      </c>
      <c r="V29" s="8">
        <v>22105</v>
      </c>
      <c r="W29" s="9">
        <f t="shared" si="35"/>
        <v>57676</v>
      </c>
      <c r="X29" s="10">
        <v>9449</v>
      </c>
      <c r="Y29" s="10">
        <v>7210</v>
      </c>
      <c r="Z29" s="11">
        <f t="shared" si="36"/>
        <v>16659</v>
      </c>
      <c r="AA29" s="8">
        <f t="shared" si="156"/>
        <v>45020</v>
      </c>
      <c r="AB29" s="8">
        <f t="shared" si="157"/>
        <v>29315</v>
      </c>
      <c r="AC29" s="11">
        <f t="shared" si="116"/>
        <v>74335</v>
      </c>
      <c r="AD29" s="30">
        <f t="shared" si="117"/>
        <v>38.28719649615172</v>
      </c>
      <c r="AE29" s="30">
        <f t="shared" si="117"/>
        <v>43.86043658452653</v>
      </c>
      <c r="AF29" s="30">
        <f t="shared" si="117"/>
        <v>40.30701326305972</v>
      </c>
      <c r="AG29" s="11">
        <f t="shared" si="38"/>
        <v>428734</v>
      </c>
      <c r="AH29" s="11">
        <f t="shared" si="38"/>
        <v>313610</v>
      </c>
      <c r="AI29" s="11">
        <f t="shared" si="39"/>
        <v>742344</v>
      </c>
      <c r="AJ29" s="11">
        <f t="shared" si="40"/>
        <v>240351</v>
      </c>
      <c r="AK29" s="11">
        <f t="shared" si="40"/>
        <v>204187</v>
      </c>
      <c r="AL29" s="11">
        <f t="shared" si="41"/>
        <v>444538</v>
      </c>
      <c r="AM29" s="11">
        <f t="shared" si="150"/>
        <v>28896</v>
      </c>
      <c r="AN29" s="11">
        <f t="shared" si="150"/>
        <v>25128</v>
      </c>
      <c r="AO29" s="11">
        <f t="shared" si="42"/>
        <v>54024</v>
      </c>
      <c r="AP29" s="8">
        <f t="shared" si="43"/>
        <v>269247</v>
      </c>
      <c r="AQ29" s="8">
        <f t="shared" si="43"/>
        <v>229315</v>
      </c>
      <c r="AR29" s="11">
        <f t="shared" si="118"/>
        <v>498562</v>
      </c>
      <c r="AS29" s="30">
        <f t="shared" si="119"/>
        <v>62.80047768546465</v>
      </c>
      <c r="AT29" s="30">
        <f t="shared" si="119"/>
        <v>73.12107394534613</v>
      </c>
      <c r="AU29" s="30">
        <f t="shared" si="119"/>
        <v>67.16050779692434</v>
      </c>
      <c r="AV29" s="10">
        <v>49061</v>
      </c>
      <c r="AW29" s="10">
        <v>34800</v>
      </c>
      <c r="AX29" s="11">
        <f t="shared" si="44"/>
        <v>83861</v>
      </c>
      <c r="AY29" s="10">
        <v>30584</v>
      </c>
      <c r="AZ29" s="10">
        <v>24466</v>
      </c>
      <c r="BA29" s="11">
        <f t="shared" si="45"/>
        <v>55050</v>
      </c>
      <c r="BB29" s="10">
        <v>3232</v>
      </c>
      <c r="BC29" s="10">
        <v>2835</v>
      </c>
      <c r="BD29" s="11">
        <f t="shared" si="162"/>
        <v>6067</v>
      </c>
      <c r="BE29" s="8">
        <f t="shared" si="46"/>
        <v>33816</v>
      </c>
      <c r="BF29" s="8">
        <f t="shared" si="46"/>
        <v>27301</v>
      </c>
      <c r="BG29" s="11">
        <f t="shared" si="120"/>
        <v>61117</v>
      </c>
      <c r="BH29" s="30">
        <f t="shared" si="121"/>
        <v>68.92643851531767</v>
      </c>
      <c r="BI29" s="30">
        <f t="shared" si="121"/>
        <v>78.45114942528735</v>
      </c>
      <c r="BJ29" s="30">
        <f t="shared" si="121"/>
        <v>72.87893061136882</v>
      </c>
      <c r="BK29" s="10">
        <v>20031</v>
      </c>
      <c r="BL29" s="10">
        <v>11203</v>
      </c>
      <c r="BM29" s="11">
        <f t="shared" si="47"/>
        <v>31234</v>
      </c>
      <c r="BN29" s="10">
        <v>5729</v>
      </c>
      <c r="BO29" s="10">
        <v>3397</v>
      </c>
      <c r="BP29" s="11">
        <f t="shared" si="48"/>
        <v>9126</v>
      </c>
      <c r="BQ29" s="10">
        <v>1609</v>
      </c>
      <c r="BR29" s="10">
        <v>1258</v>
      </c>
      <c r="BS29" s="11">
        <f t="shared" si="49"/>
        <v>2867</v>
      </c>
      <c r="BT29" s="8">
        <f t="shared" si="50"/>
        <v>7338</v>
      </c>
      <c r="BU29" s="8">
        <f t="shared" si="50"/>
        <v>4655</v>
      </c>
      <c r="BV29" s="11">
        <f t="shared" si="122"/>
        <v>11993</v>
      </c>
      <c r="BW29" s="30">
        <f t="shared" si="166"/>
        <v>36.633218511307476</v>
      </c>
      <c r="BX29" s="30">
        <f t="shared" si="166"/>
        <v>41.55137016870481</v>
      </c>
      <c r="BY29" s="30">
        <f t="shared" si="166"/>
        <v>38.397259396811165</v>
      </c>
      <c r="BZ29" s="11">
        <f t="shared" si="51"/>
        <v>69092</v>
      </c>
      <c r="CA29" s="11">
        <f t="shared" si="51"/>
        <v>46003</v>
      </c>
      <c r="CB29" s="11">
        <f t="shared" si="52"/>
        <v>115095</v>
      </c>
      <c r="CC29" s="11">
        <f t="shared" si="53"/>
        <v>36313</v>
      </c>
      <c r="CD29" s="11">
        <f t="shared" si="53"/>
        <v>27863</v>
      </c>
      <c r="CE29" s="11">
        <f t="shared" si="54"/>
        <v>64176</v>
      </c>
      <c r="CF29" s="11">
        <f t="shared" si="153"/>
        <v>4841</v>
      </c>
      <c r="CG29" s="11">
        <f t="shared" si="153"/>
        <v>4093</v>
      </c>
      <c r="CH29" s="11">
        <f t="shared" si="55"/>
        <v>8934</v>
      </c>
      <c r="CI29" s="8">
        <f t="shared" si="56"/>
        <v>41154</v>
      </c>
      <c r="CJ29" s="8">
        <f t="shared" si="56"/>
        <v>31956</v>
      </c>
      <c r="CK29" s="11">
        <f t="shared" si="126"/>
        <v>73110</v>
      </c>
      <c r="CL29" s="30">
        <f t="shared" si="127"/>
        <v>59.56405951484977</v>
      </c>
      <c r="CM29" s="30">
        <f t="shared" si="127"/>
        <v>69.46503488902897</v>
      </c>
      <c r="CN29" s="30">
        <f t="shared" si="127"/>
        <v>63.52143881141665</v>
      </c>
      <c r="CO29" s="10">
        <v>36073</v>
      </c>
      <c r="CP29" s="10">
        <v>35141</v>
      </c>
      <c r="CQ29" s="11">
        <f t="shared" si="171"/>
        <v>71214</v>
      </c>
      <c r="CR29" s="10">
        <v>23488</v>
      </c>
      <c r="CS29" s="10">
        <v>22922</v>
      </c>
      <c r="CT29" s="11">
        <f t="shared" si="169"/>
        <v>46410</v>
      </c>
      <c r="CU29" s="10">
        <v>2568</v>
      </c>
      <c r="CV29" s="10">
        <v>3130</v>
      </c>
      <c r="CW29" s="11">
        <f t="shared" si="151"/>
        <v>5698</v>
      </c>
      <c r="CX29" s="8">
        <f t="shared" si="59"/>
        <v>26056</v>
      </c>
      <c r="CY29" s="8">
        <f t="shared" si="60"/>
        <v>26052</v>
      </c>
      <c r="CZ29" s="11">
        <f t="shared" si="128"/>
        <v>52108</v>
      </c>
      <c r="DA29" s="30">
        <f t="shared" si="129"/>
        <v>72.231308735065</v>
      </c>
      <c r="DB29" s="30">
        <f t="shared" si="130"/>
        <v>74.13562505335648</v>
      </c>
      <c r="DC29" s="30">
        <f t="shared" si="131"/>
        <v>73.17100570112618</v>
      </c>
      <c r="DD29" s="10">
        <v>23461</v>
      </c>
      <c r="DE29" s="10">
        <v>14867</v>
      </c>
      <c r="DF29" s="11">
        <f t="shared" si="61"/>
        <v>38328</v>
      </c>
      <c r="DG29" s="10">
        <v>6863</v>
      </c>
      <c r="DH29" s="10">
        <v>3929</v>
      </c>
      <c r="DI29" s="11">
        <f t="shared" si="62"/>
        <v>10792</v>
      </c>
      <c r="DJ29" s="10">
        <v>1777</v>
      </c>
      <c r="DK29" s="10">
        <v>1330</v>
      </c>
      <c r="DL29" s="7">
        <f t="shared" si="152"/>
        <v>3107</v>
      </c>
      <c r="DM29" s="8">
        <f t="shared" si="63"/>
        <v>8640</v>
      </c>
      <c r="DN29" s="8">
        <f t="shared" si="64"/>
        <v>5259</v>
      </c>
      <c r="DO29" s="11">
        <f t="shared" si="132"/>
        <v>13899</v>
      </c>
      <c r="DP29" s="30">
        <f t="shared" si="161"/>
        <v>36.827074719747664</v>
      </c>
      <c r="DQ29" s="30">
        <f t="shared" si="165"/>
        <v>35.37364633079976</v>
      </c>
      <c r="DR29" s="30">
        <f t="shared" si="134"/>
        <v>36.263306199123356</v>
      </c>
      <c r="DS29" s="11">
        <f t="shared" si="65"/>
        <v>59534</v>
      </c>
      <c r="DT29" s="11">
        <f t="shared" si="66"/>
        <v>50008</v>
      </c>
      <c r="DU29" s="11">
        <f t="shared" si="67"/>
        <v>109542</v>
      </c>
      <c r="DV29" s="11">
        <f t="shared" si="68"/>
        <v>30351</v>
      </c>
      <c r="DW29" s="11">
        <f t="shared" si="69"/>
        <v>26851</v>
      </c>
      <c r="DX29" s="11">
        <f t="shared" si="70"/>
        <v>57202</v>
      </c>
      <c r="DY29" s="11">
        <f t="shared" si="158"/>
        <v>4345</v>
      </c>
      <c r="DZ29" s="11">
        <f t="shared" si="159"/>
        <v>4460</v>
      </c>
      <c r="EA29" s="11">
        <f t="shared" si="71"/>
        <v>8805</v>
      </c>
      <c r="EB29" s="8">
        <f t="shared" si="72"/>
        <v>34696</v>
      </c>
      <c r="EC29" s="8">
        <f t="shared" si="73"/>
        <v>31311</v>
      </c>
      <c r="ED29" s="11">
        <f t="shared" si="135"/>
        <v>66007</v>
      </c>
      <c r="EE29" s="30">
        <f t="shared" si="136"/>
        <v>58.279302583397715</v>
      </c>
      <c r="EF29" s="30">
        <f t="shared" si="137"/>
        <v>62.611982082866746</v>
      </c>
      <c r="EG29" s="30">
        <f t="shared" si="138"/>
        <v>60.257252925818406</v>
      </c>
      <c r="EH29" s="10">
        <v>136077</v>
      </c>
      <c r="EI29" s="10">
        <v>91280</v>
      </c>
      <c r="EJ29" s="11">
        <f t="shared" si="74"/>
        <v>227357</v>
      </c>
      <c r="EK29" s="10">
        <v>87232</v>
      </c>
      <c r="EL29" s="10">
        <v>65740</v>
      </c>
      <c r="EM29" s="11">
        <f t="shared" si="75"/>
        <v>152972</v>
      </c>
      <c r="EN29" s="10">
        <v>14094</v>
      </c>
      <c r="EO29" s="10">
        <v>11207</v>
      </c>
      <c r="EP29" s="11">
        <f t="shared" si="76"/>
        <v>25301</v>
      </c>
      <c r="EQ29" s="8">
        <f t="shared" si="77"/>
        <v>101326</v>
      </c>
      <c r="ER29" s="8">
        <f t="shared" si="77"/>
        <v>76947</v>
      </c>
      <c r="ES29" s="11">
        <f t="shared" si="139"/>
        <v>178273</v>
      </c>
      <c r="ET29" s="30">
        <f t="shared" si="140"/>
        <v>74.46225298911645</v>
      </c>
      <c r="EU29" s="30">
        <f t="shared" si="140"/>
        <v>84.29776511831727</v>
      </c>
      <c r="EV29" s="30">
        <f t="shared" si="140"/>
        <v>78.4110451844456</v>
      </c>
      <c r="EW29" s="10">
        <v>26581</v>
      </c>
      <c r="EX29" s="10">
        <v>13433</v>
      </c>
      <c r="EY29" s="11">
        <f t="shared" si="78"/>
        <v>40014</v>
      </c>
      <c r="EZ29" s="10">
        <v>9706</v>
      </c>
      <c r="FA29" s="10">
        <v>5615</v>
      </c>
      <c r="FB29" s="11">
        <f t="shared" si="79"/>
        <v>15321</v>
      </c>
      <c r="FC29" s="10">
        <v>21895</v>
      </c>
      <c r="FD29" s="10">
        <v>14560</v>
      </c>
      <c r="FE29" s="7">
        <f t="shared" si="141"/>
        <v>36455</v>
      </c>
      <c r="FF29" s="8">
        <f t="shared" si="80"/>
        <v>31601</v>
      </c>
      <c r="FG29" s="8">
        <f t="shared" si="80"/>
        <v>20175</v>
      </c>
      <c r="FH29" s="11">
        <f t="shared" si="142"/>
        <v>51776</v>
      </c>
      <c r="FI29" s="30">
        <f t="shared" si="143"/>
        <v>118.8856702155675</v>
      </c>
      <c r="FJ29" s="30">
        <f t="shared" si="143"/>
        <v>150.1898310131765</v>
      </c>
      <c r="FK29" s="30">
        <f t="shared" si="143"/>
        <v>129.39471185085222</v>
      </c>
      <c r="FL29" s="11">
        <f t="shared" si="81"/>
        <v>162658</v>
      </c>
      <c r="FM29" s="11">
        <f t="shared" si="81"/>
        <v>104713</v>
      </c>
      <c r="FN29" s="11">
        <f t="shared" si="82"/>
        <v>267371</v>
      </c>
      <c r="FO29" s="11">
        <f t="shared" si="83"/>
        <v>96938</v>
      </c>
      <c r="FP29" s="11">
        <f t="shared" si="83"/>
        <v>71355</v>
      </c>
      <c r="FQ29" s="11">
        <f t="shared" si="84"/>
        <v>168293</v>
      </c>
      <c r="FR29" s="11">
        <f t="shared" si="144"/>
        <v>35989</v>
      </c>
      <c r="FS29" s="11">
        <f t="shared" si="144"/>
        <v>25767</v>
      </c>
      <c r="FT29" s="11">
        <f t="shared" si="85"/>
        <v>61756</v>
      </c>
      <c r="FU29" s="8">
        <f t="shared" si="86"/>
        <v>132927</v>
      </c>
      <c r="FV29" s="8">
        <f t="shared" si="86"/>
        <v>97122</v>
      </c>
      <c r="FW29" s="11">
        <f t="shared" si="145"/>
        <v>230049</v>
      </c>
      <c r="FX29" s="30">
        <f t="shared" si="146"/>
        <v>81.72177206162623</v>
      </c>
      <c r="FY29" s="30">
        <f t="shared" si="146"/>
        <v>92.75066133144881</v>
      </c>
      <c r="FZ29" s="30">
        <f t="shared" si="146"/>
        <v>86.04111889471933</v>
      </c>
      <c r="GA29" s="21">
        <f t="shared" si="147"/>
        <v>269247</v>
      </c>
      <c r="GB29" s="21">
        <f t="shared" si="148"/>
        <v>229315</v>
      </c>
      <c r="GC29" s="21">
        <f t="shared" si="149"/>
        <v>498562</v>
      </c>
      <c r="GD29" s="47">
        <v>27319</v>
      </c>
      <c r="GE29" s="47">
        <v>27428</v>
      </c>
      <c r="GF29" s="21">
        <f t="shared" si="87"/>
        <v>54747</v>
      </c>
      <c r="GG29" s="21">
        <v>77388</v>
      </c>
      <c r="GH29" s="21">
        <v>73032</v>
      </c>
      <c r="GI29" s="21">
        <f t="shared" si="88"/>
        <v>150420</v>
      </c>
      <c r="GJ29" s="57">
        <f t="shared" si="89"/>
        <v>10.1464454571453</v>
      </c>
      <c r="GK29" s="57">
        <f t="shared" si="90"/>
        <v>11.960839892723982</v>
      </c>
      <c r="GL29" s="57">
        <f t="shared" si="91"/>
        <v>10.9809813022252</v>
      </c>
      <c r="GM29" s="46">
        <f t="shared" si="92"/>
        <v>28.742381530713438</v>
      </c>
      <c r="GN29" s="46">
        <f t="shared" si="93"/>
        <v>31.847894817172882</v>
      </c>
      <c r="GO29" s="46">
        <f t="shared" si="94"/>
        <v>30.17077113779229</v>
      </c>
      <c r="GP29" s="21">
        <f t="shared" si="95"/>
        <v>41154</v>
      </c>
      <c r="GQ29" s="21">
        <f t="shared" si="96"/>
        <v>31956</v>
      </c>
      <c r="GR29" s="21">
        <f t="shared" si="97"/>
        <v>73110</v>
      </c>
      <c r="GS29" s="47">
        <v>2979</v>
      </c>
      <c r="GT29" s="47">
        <v>2357</v>
      </c>
      <c r="GU29" s="21">
        <f t="shared" si="98"/>
        <v>5336</v>
      </c>
      <c r="GV29" s="21">
        <v>11187</v>
      </c>
      <c r="GW29" s="21">
        <v>9383</v>
      </c>
      <c r="GX29" s="21">
        <f t="shared" si="99"/>
        <v>20570</v>
      </c>
      <c r="GY29" s="57">
        <f t="shared" si="100"/>
        <v>7.238664528356903</v>
      </c>
      <c r="GZ29" s="57">
        <f t="shared" si="101"/>
        <v>7.375766679183878</v>
      </c>
      <c r="HA29" s="57">
        <f t="shared" si="102"/>
        <v>7.298591163999452</v>
      </c>
      <c r="HB29" s="46">
        <f t="shared" si="103"/>
        <v>27.18326286630704</v>
      </c>
      <c r="HC29" s="46">
        <f t="shared" si="104"/>
        <v>29.3622480911253</v>
      </c>
      <c r="HD29" s="46">
        <f t="shared" si="105"/>
        <v>28.135685952674052</v>
      </c>
      <c r="HE29" s="21">
        <f t="shared" si="106"/>
        <v>34696</v>
      </c>
      <c r="HF29" s="21">
        <f t="shared" si="107"/>
        <v>31311</v>
      </c>
      <c r="HG29" s="21">
        <f t="shared" si="108"/>
        <v>66007</v>
      </c>
      <c r="HH29" s="47">
        <v>1268</v>
      </c>
      <c r="HI29" s="47">
        <v>908</v>
      </c>
      <c r="HJ29" s="21">
        <f t="shared" si="109"/>
        <v>2176</v>
      </c>
      <c r="HK29" s="21">
        <v>7514</v>
      </c>
      <c r="HL29" s="21">
        <v>6763</v>
      </c>
      <c r="HM29" s="21">
        <f t="shared" si="110"/>
        <v>14277</v>
      </c>
      <c r="HN29" s="57">
        <f t="shared" si="111"/>
        <v>3.654599953885174</v>
      </c>
      <c r="HO29" s="57">
        <f t="shared" si="167"/>
        <v>2.8999393184503846</v>
      </c>
      <c r="HP29" s="57">
        <f t="shared" si="112"/>
        <v>3.296620055448664</v>
      </c>
      <c r="HQ29" s="46">
        <f t="shared" si="113"/>
        <v>21.656675121051418</v>
      </c>
      <c r="HR29" s="46">
        <f t="shared" si="168"/>
        <v>21.599437897224618</v>
      </c>
      <c r="HS29" s="46">
        <f t="shared" si="114"/>
        <v>21.629524141378944</v>
      </c>
    </row>
    <row r="30" spans="1:227" ht="29.25" customHeight="1">
      <c r="A30" s="4">
        <v>21</v>
      </c>
      <c r="B30" s="6" t="s">
        <v>54</v>
      </c>
      <c r="C30" s="8">
        <v>12447</v>
      </c>
      <c r="D30" s="8">
        <v>11776</v>
      </c>
      <c r="E30" s="17">
        <f t="shared" si="154"/>
        <v>24223</v>
      </c>
      <c r="F30" s="8">
        <v>8637</v>
      </c>
      <c r="G30" s="8">
        <v>8199</v>
      </c>
      <c r="H30" s="9">
        <f t="shared" si="33"/>
        <v>16836</v>
      </c>
      <c r="I30" s="10">
        <v>1373</v>
      </c>
      <c r="J30" s="10">
        <v>1398</v>
      </c>
      <c r="K30" s="12">
        <f t="shared" si="155"/>
        <v>2771</v>
      </c>
      <c r="L30" s="8">
        <f t="shared" si="34"/>
        <v>10010</v>
      </c>
      <c r="M30" s="8">
        <f t="shared" si="34"/>
        <v>9597</v>
      </c>
      <c r="N30" s="8">
        <f t="shared" si="34"/>
        <v>19607</v>
      </c>
      <c r="O30" s="30">
        <f t="shared" si="32"/>
        <v>80.42098497629951</v>
      </c>
      <c r="P30" s="30">
        <f t="shared" si="32"/>
        <v>81.49626358695652</v>
      </c>
      <c r="Q30" s="30">
        <f t="shared" si="32"/>
        <v>80.94373116459563</v>
      </c>
      <c r="R30" s="8">
        <v>1344</v>
      </c>
      <c r="S30" s="8">
        <v>1290</v>
      </c>
      <c r="T30" s="9">
        <f t="shared" si="115"/>
        <v>2634</v>
      </c>
      <c r="U30" s="8">
        <v>380</v>
      </c>
      <c r="V30" s="8">
        <v>354</v>
      </c>
      <c r="W30" s="9">
        <f t="shared" si="35"/>
        <v>734</v>
      </c>
      <c r="X30" s="10">
        <v>123</v>
      </c>
      <c r="Y30" s="10">
        <v>148</v>
      </c>
      <c r="Z30" s="11">
        <f t="shared" si="36"/>
        <v>271</v>
      </c>
      <c r="AA30" s="8">
        <f aca="true" t="shared" si="172" ref="AA30:AB33">SUM(U30,X30)</f>
        <v>503</v>
      </c>
      <c r="AB30" s="8">
        <f t="shared" si="172"/>
        <v>502</v>
      </c>
      <c r="AC30" s="11">
        <f t="shared" si="116"/>
        <v>1005</v>
      </c>
      <c r="AD30" s="30">
        <f t="shared" si="117"/>
        <v>37.42559523809524</v>
      </c>
      <c r="AE30" s="30">
        <f t="shared" si="117"/>
        <v>38.91472868217054</v>
      </c>
      <c r="AF30" s="30">
        <f t="shared" si="117"/>
        <v>38.15489749430524</v>
      </c>
      <c r="AG30" s="11">
        <f t="shared" si="38"/>
        <v>13791</v>
      </c>
      <c r="AH30" s="11">
        <f t="shared" si="38"/>
        <v>13066</v>
      </c>
      <c r="AI30" s="11">
        <f t="shared" si="39"/>
        <v>26857</v>
      </c>
      <c r="AJ30" s="11">
        <f t="shared" si="40"/>
        <v>9017</v>
      </c>
      <c r="AK30" s="11">
        <f t="shared" si="40"/>
        <v>8553</v>
      </c>
      <c r="AL30" s="11">
        <f t="shared" si="41"/>
        <v>17570</v>
      </c>
      <c r="AM30" s="11">
        <f t="shared" si="150"/>
        <v>1496</v>
      </c>
      <c r="AN30" s="11">
        <f t="shared" si="150"/>
        <v>1546</v>
      </c>
      <c r="AO30" s="11">
        <f t="shared" si="42"/>
        <v>3042</v>
      </c>
      <c r="AP30" s="8">
        <f t="shared" si="43"/>
        <v>10513</v>
      </c>
      <c r="AQ30" s="8">
        <f t="shared" si="43"/>
        <v>10099</v>
      </c>
      <c r="AR30" s="11">
        <f t="shared" si="118"/>
        <v>20612</v>
      </c>
      <c r="AS30" s="30">
        <f t="shared" si="119"/>
        <v>76.2308752084693</v>
      </c>
      <c r="AT30" s="30">
        <f t="shared" si="119"/>
        <v>77.29220878616256</v>
      </c>
      <c r="AU30" s="30">
        <f t="shared" si="119"/>
        <v>76.74721674051457</v>
      </c>
      <c r="AV30" s="10">
        <v>450</v>
      </c>
      <c r="AW30" s="10">
        <v>481</v>
      </c>
      <c r="AX30" s="11">
        <f t="shared" si="44"/>
        <v>931</v>
      </c>
      <c r="AY30" s="10">
        <v>345</v>
      </c>
      <c r="AZ30" s="10">
        <v>383</v>
      </c>
      <c r="BA30" s="11">
        <f t="shared" si="45"/>
        <v>728</v>
      </c>
      <c r="BB30" s="10">
        <v>49</v>
      </c>
      <c r="BC30" s="10">
        <v>58</v>
      </c>
      <c r="BD30" s="11">
        <f t="shared" si="162"/>
        <v>107</v>
      </c>
      <c r="BE30" s="8">
        <f t="shared" si="46"/>
        <v>394</v>
      </c>
      <c r="BF30" s="8">
        <f t="shared" si="46"/>
        <v>441</v>
      </c>
      <c r="BG30" s="11">
        <f t="shared" si="120"/>
        <v>835</v>
      </c>
      <c r="BH30" s="30">
        <f t="shared" si="121"/>
        <v>87.55555555555556</v>
      </c>
      <c r="BI30" s="30">
        <f t="shared" si="121"/>
        <v>91.68399168399168</v>
      </c>
      <c r="BJ30" s="30">
        <f t="shared" si="121"/>
        <v>89.68850698174006</v>
      </c>
      <c r="BK30" s="10">
        <v>50</v>
      </c>
      <c r="BL30" s="10">
        <v>45</v>
      </c>
      <c r="BM30" s="11">
        <f t="shared" si="47"/>
        <v>95</v>
      </c>
      <c r="BN30" s="10">
        <v>16</v>
      </c>
      <c r="BO30" s="10">
        <v>15</v>
      </c>
      <c r="BP30" s="11">
        <f t="shared" si="48"/>
        <v>31</v>
      </c>
      <c r="BQ30" s="10">
        <v>5</v>
      </c>
      <c r="BR30" s="10">
        <v>3</v>
      </c>
      <c r="BS30" s="11">
        <f t="shared" si="49"/>
        <v>8</v>
      </c>
      <c r="BT30" s="8">
        <f t="shared" si="50"/>
        <v>21</v>
      </c>
      <c r="BU30" s="8">
        <f t="shared" si="50"/>
        <v>18</v>
      </c>
      <c r="BV30" s="11">
        <f t="shared" si="122"/>
        <v>39</v>
      </c>
      <c r="BW30" s="30">
        <f t="shared" si="166"/>
        <v>42</v>
      </c>
      <c r="BX30" s="30">
        <f t="shared" si="166"/>
        <v>40</v>
      </c>
      <c r="BY30" s="30">
        <f t="shared" si="166"/>
        <v>41.05263157894737</v>
      </c>
      <c r="BZ30" s="11">
        <f t="shared" si="51"/>
        <v>500</v>
      </c>
      <c r="CA30" s="11">
        <f t="shared" si="51"/>
        <v>526</v>
      </c>
      <c r="CB30" s="11">
        <f t="shared" si="52"/>
        <v>1026</v>
      </c>
      <c r="CC30" s="11">
        <f t="shared" si="53"/>
        <v>361</v>
      </c>
      <c r="CD30" s="11">
        <f t="shared" si="53"/>
        <v>398</v>
      </c>
      <c r="CE30" s="11">
        <f t="shared" si="54"/>
        <v>759</v>
      </c>
      <c r="CF30" s="11">
        <f t="shared" si="153"/>
        <v>54</v>
      </c>
      <c r="CG30" s="11">
        <f t="shared" si="153"/>
        <v>61</v>
      </c>
      <c r="CH30" s="11">
        <f t="shared" si="55"/>
        <v>115</v>
      </c>
      <c r="CI30" s="8">
        <f t="shared" si="56"/>
        <v>415</v>
      </c>
      <c r="CJ30" s="8">
        <f t="shared" si="56"/>
        <v>459</v>
      </c>
      <c r="CK30" s="11">
        <f t="shared" si="126"/>
        <v>874</v>
      </c>
      <c r="CL30" s="30">
        <f t="shared" si="127"/>
        <v>83</v>
      </c>
      <c r="CM30" s="30">
        <f t="shared" si="127"/>
        <v>87.26235741444867</v>
      </c>
      <c r="CN30" s="30">
        <f t="shared" si="127"/>
        <v>85.18518518518519</v>
      </c>
      <c r="CO30" s="10">
        <v>4648</v>
      </c>
      <c r="CP30" s="10">
        <v>4684</v>
      </c>
      <c r="CQ30" s="11">
        <f t="shared" si="171"/>
        <v>9332</v>
      </c>
      <c r="CR30" s="10">
        <v>3076</v>
      </c>
      <c r="CS30" s="10">
        <v>2993</v>
      </c>
      <c r="CT30" s="11">
        <f t="shared" si="169"/>
        <v>6069</v>
      </c>
      <c r="CU30" s="10">
        <v>539</v>
      </c>
      <c r="CV30" s="10">
        <v>561</v>
      </c>
      <c r="CW30" s="11">
        <f t="shared" si="151"/>
        <v>1100</v>
      </c>
      <c r="CX30" s="8">
        <f t="shared" si="59"/>
        <v>3615</v>
      </c>
      <c r="CY30" s="8">
        <f t="shared" si="60"/>
        <v>3554</v>
      </c>
      <c r="CZ30" s="11">
        <f t="shared" si="128"/>
        <v>7169</v>
      </c>
      <c r="DA30" s="30">
        <f t="shared" si="129"/>
        <v>77.77538726333907</v>
      </c>
      <c r="DB30" s="30">
        <f t="shared" si="130"/>
        <v>75.87532023911187</v>
      </c>
      <c r="DC30" s="30">
        <f t="shared" si="131"/>
        <v>76.82168881268753</v>
      </c>
      <c r="DD30" s="10">
        <v>427</v>
      </c>
      <c r="DE30" s="10">
        <v>443</v>
      </c>
      <c r="DF30" s="11">
        <f t="shared" si="61"/>
        <v>870</v>
      </c>
      <c r="DG30" s="10">
        <v>113</v>
      </c>
      <c r="DH30" s="10">
        <v>129</v>
      </c>
      <c r="DI30" s="11">
        <f t="shared" si="62"/>
        <v>242</v>
      </c>
      <c r="DJ30" s="10">
        <v>43</v>
      </c>
      <c r="DK30" s="10">
        <v>51</v>
      </c>
      <c r="DL30" s="7">
        <f t="shared" si="152"/>
        <v>94</v>
      </c>
      <c r="DM30" s="8">
        <f t="shared" si="63"/>
        <v>156</v>
      </c>
      <c r="DN30" s="8">
        <f t="shared" si="64"/>
        <v>180</v>
      </c>
      <c r="DO30" s="11">
        <f t="shared" si="132"/>
        <v>336</v>
      </c>
      <c r="DP30" s="30">
        <f t="shared" si="161"/>
        <v>36.53395784543326</v>
      </c>
      <c r="DQ30" s="30">
        <f t="shared" si="165"/>
        <v>40.63205417607224</v>
      </c>
      <c r="DR30" s="30">
        <f t="shared" si="134"/>
        <v>38.62068965517241</v>
      </c>
      <c r="DS30" s="11">
        <f t="shared" si="65"/>
        <v>5075</v>
      </c>
      <c r="DT30" s="11">
        <f t="shared" si="66"/>
        <v>5127</v>
      </c>
      <c r="DU30" s="11">
        <f t="shared" si="67"/>
        <v>10202</v>
      </c>
      <c r="DV30" s="11">
        <f t="shared" si="68"/>
        <v>3189</v>
      </c>
      <c r="DW30" s="11">
        <f t="shared" si="69"/>
        <v>3122</v>
      </c>
      <c r="DX30" s="11">
        <f t="shared" si="70"/>
        <v>6311</v>
      </c>
      <c r="DY30" s="11">
        <f t="shared" si="158"/>
        <v>582</v>
      </c>
      <c r="DZ30" s="11">
        <f t="shared" si="159"/>
        <v>612</v>
      </c>
      <c r="EA30" s="11">
        <f t="shared" si="71"/>
        <v>1194</v>
      </c>
      <c r="EB30" s="8">
        <f t="shared" si="72"/>
        <v>3771</v>
      </c>
      <c r="EC30" s="8">
        <f t="shared" si="73"/>
        <v>3734</v>
      </c>
      <c r="ED30" s="11">
        <f t="shared" si="135"/>
        <v>7505</v>
      </c>
      <c r="EE30" s="30">
        <f t="shared" si="136"/>
        <v>74.30541871921183</v>
      </c>
      <c r="EF30" s="30">
        <f t="shared" si="137"/>
        <v>72.8301150770431</v>
      </c>
      <c r="EG30" s="30">
        <f t="shared" si="138"/>
        <v>73.56400705743972</v>
      </c>
      <c r="EH30" s="10"/>
      <c r="EI30" s="10"/>
      <c r="EJ30" s="11">
        <f t="shared" si="74"/>
        <v>0</v>
      </c>
      <c r="EK30" s="10"/>
      <c r="EL30" s="10"/>
      <c r="EM30" s="11">
        <f t="shared" si="75"/>
        <v>0</v>
      </c>
      <c r="EN30" s="10"/>
      <c r="EO30" s="10"/>
      <c r="EP30" s="11">
        <f t="shared" si="76"/>
        <v>0</v>
      </c>
      <c r="EQ30" s="8">
        <f t="shared" si="77"/>
        <v>0</v>
      </c>
      <c r="ER30" s="8">
        <f t="shared" si="77"/>
        <v>0</v>
      </c>
      <c r="ES30" s="11">
        <f t="shared" si="139"/>
        <v>0</v>
      </c>
      <c r="ET30" s="30">
        <f t="shared" si="140"/>
      </c>
      <c r="EU30" s="30">
        <f t="shared" si="140"/>
      </c>
      <c r="EV30" s="30">
        <f t="shared" si="140"/>
      </c>
      <c r="EW30" s="10"/>
      <c r="EX30" s="10"/>
      <c r="EY30" s="11">
        <f t="shared" si="78"/>
        <v>0</v>
      </c>
      <c r="EZ30" s="10"/>
      <c r="FA30" s="10"/>
      <c r="FB30" s="11">
        <f t="shared" si="79"/>
        <v>0</v>
      </c>
      <c r="FC30" s="10"/>
      <c r="FD30" s="10"/>
      <c r="FE30" s="7">
        <f t="shared" si="141"/>
        <v>0</v>
      </c>
      <c r="FF30" s="8">
        <f t="shared" si="80"/>
        <v>0</v>
      </c>
      <c r="FG30" s="8">
        <f t="shared" si="80"/>
        <v>0</v>
      </c>
      <c r="FH30" s="11">
        <f t="shared" si="142"/>
        <v>0</v>
      </c>
      <c r="FI30" s="30">
        <f t="shared" si="143"/>
      </c>
      <c r="FJ30" s="30">
        <f t="shared" si="143"/>
      </c>
      <c r="FK30" s="30">
        <f t="shared" si="143"/>
      </c>
      <c r="FL30" s="11">
        <f t="shared" si="81"/>
        <v>0</v>
      </c>
      <c r="FM30" s="11">
        <f t="shared" si="81"/>
        <v>0</v>
      </c>
      <c r="FN30" s="11">
        <f t="shared" si="82"/>
        <v>0</v>
      </c>
      <c r="FO30" s="11">
        <f t="shared" si="83"/>
        <v>0</v>
      </c>
      <c r="FP30" s="11">
        <f t="shared" si="83"/>
        <v>0</v>
      </c>
      <c r="FQ30" s="11">
        <f t="shared" si="84"/>
        <v>0</v>
      </c>
      <c r="FR30" s="11">
        <f t="shared" si="144"/>
        <v>0</v>
      </c>
      <c r="FS30" s="11">
        <f t="shared" si="144"/>
        <v>0</v>
      </c>
      <c r="FT30" s="11">
        <f t="shared" si="85"/>
        <v>0</v>
      </c>
      <c r="FU30" s="8">
        <f t="shared" si="86"/>
        <v>0</v>
      </c>
      <c r="FV30" s="8">
        <f t="shared" si="86"/>
        <v>0</v>
      </c>
      <c r="FW30" s="11">
        <f t="shared" si="145"/>
        <v>0</v>
      </c>
      <c r="FX30" s="30">
        <f t="shared" si="146"/>
      </c>
      <c r="FY30" s="30">
        <f t="shared" si="146"/>
      </c>
      <c r="FZ30" s="30">
        <f t="shared" si="146"/>
      </c>
      <c r="GA30" s="21">
        <f t="shared" si="147"/>
        <v>10513</v>
      </c>
      <c r="GB30" s="21">
        <f t="shared" si="148"/>
        <v>10099</v>
      </c>
      <c r="GC30" s="21">
        <f t="shared" si="149"/>
        <v>20612</v>
      </c>
      <c r="GD30" s="47">
        <v>842</v>
      </c>
      <c r="GE30" s="47">
        <v>888</v>
      </c>
      <c r="GF30" s="21">
        <f t="shared" si="87"/>
        <v>1730</v>
      </c>
      <c r="GG30" s="21">
        <v>5205</v>
      </c>
      <c r="GH30" s="21">
        <v>5262</v>
      </c>
      <c r="GI30" s="21">
        <f t="shared" si="88"/>
        <v>10467</v>
      </c>
      <c r="GJ30" s="57">
        <f t="shared" si="89"/>
        <v>8.009131551412537</v>
      </c>
      <c r="GK30" s="57">
        <f t="shared" si="90"/>
        <v>8.792949797009605</v>
      </c>
      <c r="GL30" s="57">
        <f t="shared" si="91"/>
        <v>8.393169027750824</v>
      </c>
      <c r="GM30" s="46">
        <f t="shared" si="92"/>
        <v>49.51013031484828</v>
      </c>
      <c r="GN30" s="46">
        <f t="shared" si="93"/>
        <v>52.10416872957719</v>
      </c>
      <c r="GO30" s="46">
        <f t="shared" si="94"/>
        <v>50.78109838928779</v>
      </c>
      <c r="GP30" s="21">
        <f t="shared" si="95"/>
        <v>415</v>
      </c>
      <c r="GQ30" s="21">
        <f t="shared" si="96"/>
        <v>459</v>
      </c>
      <c r="GR30" s="21">
        <f t="shared" si="97"/>
        <v>874</v>
      </c>
      <c r="GS30" s="47">
        <v>35</v>
      </c>
      <c r="GT30" s="47">
        <v>43</v>
      </c>
      <c r="GU30" s="21">
        <f t="shared" si="98"/>
        <v>78</v>
      </c>
      <c r="GV30" s="21">
        <v>211</v>
      </c>
      <c r="GW30" s="21">
        <v>274</v>
      </c>
      <c r="GX30" s="21">
        <f t="shared" si="99"/>
        <v>485</v>
      </c>
      <c r="GY30" s="57">
        <f t="shared" si="100"/>
        <v>8.433734939759036</v>
      </c>
      <c r="GZ30" s="57">
        <f t="shared" si="101"/>
        <v>9.368191721132899</v>
      </c>
      <c r="HA30" s="57">
        <f t="shared" si="102"/>
        <v>8.924485125858123</v>
      </c>
      <c r="HB30" s="46">
        <f t="shared" si="103"/>
        <v>50.843373493975896</v>
      </c>
      <c r="HC30" s="46">
        <f t="shared" si="104"/>
        <v>59.694989106753816</v>
      </c>
      <c r="HD30" s="46">
        <f t="shared" si="105"/>
        <v>55.49199084668192</v>
      </c>
      <c r="HE30" s="21">
        <f t="shared" si="106"/>
        <v>3771</v>
      </c>
      <c r="HF30" s="21">
        <f t="shared" si="107"/>
        <v>3734</v>
      </c>
      <c r="HG30" s="21">
        <f t="shared" si="108"/>
        <v>7505</v>
      </c>
      <c r="HH30" s="47">
        <v>97</v>
      </c>
      <c r="HI30" s="47">
        <v>137</v>
      </c>
      <c r="HJ30" s="21">
        <f t="shared" si="109"/>
        <v>234</v>
      </c>
      <c r="HK30" s="21">
        <v>1628</v>
      </c>
      <c r="HL30" s="21">
        <v>1792</v>
      </c>
      <c r="HM30" s="21">
        <f t="shared" si="110"/>
        <v>3420</v>
      </c>
      <c r="HN30" s="57">
        <f t="shared" si="111"/>
        <v>2.5722619994696365</v>
      </c>
      <c r="HO30" s="57">
        <f>HI30/HF30%</f>
        <v>3.6689876807712904</v>
      </c>
      <c r="HP30" s="57">
        <f t="shared" si="112"/>
        <v>3.117921385742838</v>
      </c>
      <c r="HQ30" s="46">
        <f t="shared" si="113"/>
        <v>43.17157252718112</v>
      </c>
      <c r="HR30" s="46">
        <f>HL30/HF30%</f>
        <v>47.991430101767534</v>
      </c>
      <c r="HS30" s="46">
        <f t="shared" si="114"/>
        <v>45.56962025316456</v>
      </c>
    </row>
    <row r="31" spans="1:227" ht="29.25" customHeight="1">
      <c r="A31" s="4">
        <v>22</v>
      </c>
      <c r="B31" s="6" t="s">
        <v>55</v>
      </c>
      <c r="C31" s="8">
        <v>10264</v>
      </c>
      <c r="D31" s="8">
        <v>12562</v>
      </c>
      <c r="E31" s="17">
        <f t="shared" si="154"/>
        <v>22826</v>
      </c>
      <c r="F31" s="8">
        <v>7909</v>
      </c>
      <c r="G31" s="8">
        <v>10572</v>
      </c>
      <c r="H31" s="9">
        <f t="shared" si="33"/>
        <v>18481</v>
      </c>
      <c r="I31" s="96"/>
      <c r="J31" s="96"/>
      <c r="K31" s="100">
        <f t="shared" si="155"/>
        <v>0</v>
      </c>
      <c r="L31" s="8">
        <f t="shared" si="34"/>
        <v>7909</v>
      </c>
      <c r="M31" s="8">
        <f t="shared" si="34"/>
        <v>10572</v>
      </c>
      <c r="N31" s="8">
        <f t="shared" si="34"/>
        <v>18481</v>
      </c>
      <c r="O31" s="30">
        <f t="shared" si="32"/>
        <v>77.05572876071707</v>
      </c>
      <c r="P31" s="30">
        <f t="shared" si="32"/>
        <v>84.15857347556121</v>
      </c>
      <c r="Q31" s="30">
        <f t="shared" si="32"/>
        <v>80.96468938929291</v>
      </c>
      <c r="R31" s="8">
        <v>2123</v>
      </c>
      <c r="S31" s="8">
        <v>1869</v>
      </c>
      <c r="T31" s="9">
        <f t="shared" si="115"/>
        <v>3992</v>
      </c>
      <c r="U31" s="8">
        <v>686</v>
      </c>
      <c r="V31" s="8">
        <v>685</v>
      </c>
      <c r="W31" s="9">
        <f t="shared" si="35"/>
        <v>1371</v>
      </c>
      <c r="X31" s="92"/>
      <c r="Y31" s="92"/>
      <c r="Z31" s="93">
        <f t="shared" si="36"/>
        <v>0</v>
      </c>
      <c r="AA31" s="8">
        <f t="shared" si="172"/>
        <v>686</v>
      </c>
      <c r="AB31" s="8">
        <f t="shared" si="172"/>
        <v>685</v>
      </c>
      <c r="AC31" s="11">
        <f t="shared" si="116"/>
        <v>1371</v>
      </c>
      <c r="AD31" s="30">
        <f t="shared" si="117"/>
        <v>32.31276495525201</v>
      </c>
      <c r="AE31" s="30">
        <f t="shared" si="117"/>
        <v>36.65061530230069</v>
      </c>
      <c r="AF31" s="30">
        <f t="shared" si="117"/>
        <v>34.3436873747495</v>
      </c>
      <c r="AG31" s="11">
        <f t="shared" si="38"/>
        <v>12387</v>
      </c>
      <c r="AH31" s="11">
        <f t="shared" si="38"/>
        <v>14431</v>
      </c>
      <c r="AI31" s="11">
        <f t="shared" si="39"/>
        <v>26818</v>
      </c>
      <c r="AJ31" s="11">
        <f t="shared" si="40"/>
        <v>8595</v>
      </c>
      <c r="AK31" s="11">
        <f t="shared" si="40"/>
        <v>11257</v>
      </c>
      <c r="AL31" s="11">
        <f t="shared" si="41"/>
        <v>19852</v>
      </c>
      <c r="AM31" s="93">
        <f t="shared" si="150"/>
        <v>0</v>
      </c>
      <c r="AN31" s="93">
        <f t="shared" si="150"/>
        <v>0</v>
      </c>
      <c r="AO31" s="93">
        <f t="shared" si="42"/>
        <v>0</v>
      </c>
      <c r="AP31" s="8">
        <f t="shared" si="43"/>
        <v>8595</v>
      </c>
      <c r="AQ31" s="8">
        <f t="shared" si="43"/>
        <v>11257</v>
      </c>
      <c r="AR31" s="11">
        <f t="shared" si="118"/>
        <v>19852</v>
      </c>
      <c r="AS31" s="30">
        <f t="shared" si="119"/>
        <v>69.38726083797529</v>
      </c>
      <c r="AT31" s="30">
        <f t="shared" si="119"/>
        <v>78.00568221190493</v>
      </c>
      <c r="AU31" s="30">
        <f t="shared" si="119"/>
        <v>74.02490864344843</v>
      </c>
      <c r="AV31" s="10">
        <v>72</v>
      </c>
      <c r="AW31" s="10">
        <v>62</v>
      </c>
      <c r="AX31" s="11">
        <f>AV31+AW31</f>
        <v>134</v>
      </c>
      <c r="AY31" s="10">
        <v>62</v>
      </c>
      <c r="AZ31" s="10">
        <v>51</v>
      </c>
      <c r="BA31" s="11">
        <f>AY31+AZ31</f>
        <v>113</v>
      </c>
      <c r="BB31" s="96"/>
      <c r="BC31" s="96"/>
      <c r="BD31" s="93">
        <f t="shared" si="162"/>
        <v>0</v>
      </c>
      <c r="BE31" s="8">
        <f t="shared" si="46"/>
        <v>62</v>
      </c>
      <c r="BF31" s="8">
        <f t="shared" si="46"/>
        <v>51</v>
      </c>
      <c r="BG31" s="11">
        <f t="shared" si="120"/>
        <v>113</v>
      </c>
      <c r="BH31" s="30">
        <f t="shared" si="121"/>
        <v>86.11111111111111</v>
      </c>
      <c r="BI31" s="30">
        <f t="shared" si="121"/>
        <v>82.25806451612904</v>
      </c>
      <c r="BJ31" s="30">
        <f t="shared" si="121"/>
        <v>84.32835820895522</v>
      </c>
      <c r="BK31" s="10">
        <v>12</v>
      </c>
      <c r="BL31" s="10">
        <v>11</v>
      </c>
      <c r="BM31" s="11">
        <f t="shared" si="47"/>
        <v>23</v>
      </c>
      <c r="BN31" s="10">
        <v>5</v>
      </c>
      <c r="BO31" s="10">
        <v>4</v>
      </c>
      <c r="BP31" s="11">
        <f t="shared" si="48"/>
        <v>9</v>
      </c>
      <c r="BQ31" s="92"/>
      <c r="BR31" s="92"/>
      <c r="BS31" s="93">
        <f t="shared" si="49"/>
        <v>0</v>
      </c>
      <c r="BT31" s="8">
        <f t="shared" si="50"/>
        <v>5</v>
      </c>
      <c r="BU31" s="8">
        <f t="shared" si="50"/>
        <v>4</v>
      </c>
      <c r="BV31" s="11">
        <f t="shared" si="122"/>
        <v>9</v>
      </c>
      <c r="BW31" s="30">
        <f t="shared" si="166"/>
        <v>41.66666666666667</v>
      </c>
      <c r="BX31" s="30">
        <f t="shared" si="166"/>
        <v>36.36363636363637</v>
      </c>
      <c r="BY31" s="30">
        <f t="shared" si="166"/>
        <v>39.130434782608695</v>
      </c>
      <c r="BZ31" s="11">
        <f t="shared" si="51"/>
        <v>84</v>
      </c>
      <c r="CA31" s="11">
        <f t="shared" si="51"/>
        <v>73</v>
      </c>
      <c r="CB31" s="11">
        <f t="shared" si="52"/>
        <v>157</v>
      </c>
      <c r="CC31" s="11">
        <f t="shared" si="53"/>
        <v>67</v>
      </c>
      <c r="CD31" s="11">
        <f t="shared" si="53"/>
        <v>55</v>
      </c>
      <c r="CE31" s="11">
        <f t="shared" si="54"/>
        <v>122</v>
      </c>
      <c r="CF31" s="93">
        <f t="shared" si="153"/>
        <v>0</v>
      </c>
      <c r="CG31" s="93">
        <f t="shared" si="153"/>
        <v>0</v>
      </c>
      <c r="CH31" s="93">
        <f t="shared" si="55"/>
        <v>0</v>
      </c>
      <c r="CI31" s="8">
        <f t="shared" si="56"/>
        <v>67</v>
      </c>
      <c r="CJ31" s="8">
        <f t="shared" si="56"/>
        <v>55</v>
      </c>
      <c r="CK31" s="11">
        <f t="shared" si="126"/>
        <v>122</v>
      </c>
      <c r="CL31" s="30">
        <f t="shared" si="127"/>
        <v>79.76190476190477</v>
      </c>
      <c r="CM31" s="30">
        <f t="shared" si="127"/>
        <v>75.34246575342466</v>
      </c>
      <c r="CN31" s="30">
        <f t="shared" si="127"/>
        <v>77.70700636942675</v>
      </c>
      <c r="CO31" s="10">
        <v>9141</v>
      </c>
      <c r="CP31" s="10">
        <v>11594</v>
      </c>
      <c r="CQ31" s="11">
        <f t="shared" si="171"/>
        <v>20735</v>
      </c>
      <c r="CR31" s="10">
        <v>7056</v>
      </c>
      <c r="CS31" s="10">
        <v>9750</v>
      </c>
      <c r="CT31" s="11">
        <f t="shared" si="169"/>
        <v>16806</v>
      </c>
      <c r="CU31" s="96"/>
      <c r="CV31" s="96"/>
      <c r="CW31" s="93">
        <f t="shared" si="151"/>
        <v>0</v>
      </c>
      <c r="CX31" s="8">
        <f t="shared" si="59"/>
        <v>7056</v>
      </c>
      <c r="CY31" s="8">
        <f t="shared" si="60"/>
        <v>9750</v>
      </c>
      <c r="CZ31" s="11">
        <f t="shared" si="128"/>
        <v>16806</v>
      </c>
      <c r="DA31" s="30">
        <f t="shared" si="129"/>
        <v>77.19067935674434</v>
      </c>
      <c r="DB31" s="30">
        <f t="shared" si="130"/>
        <v>84.09522166637916</v>
      </c>
      <c r="DC31" s="30">
        <f t="shared" si="131"/>
        <v>81.05136243067278</v>
      </c>
      <c r="DD31" s="10">
        <v>1979</v>
      </c>
      <c r="DE31" s="10">
        <v>1797</v>
      </c>
      <c r="DF31" s="11">
        <f t="shared" si="61"/>
        <v>3776</v>
      </c>
      <c r="DG31" s="10">
        <v>629</v>
      </c>
      <c r="DH31" s="10">
        <v>648</v>
      </c>
      <c r="DI31" s="11">
        <f t="shared" si="62"/>
        <v>1277</v>
      </c>
      <c r="DJ31" s="96"/>
      <c r="DK31" s="96"/>
      <c r="DL31" s="96">
        <f t="shared" si="152"/>
        <v>0</v>
      </c>
      <c r="DM31" s="8">
        <f t="shared" si="63"/>
        <v>629</v>
      </c>
      <c r="DN31" s="8">
        <f t="shared" si="64"/>
        <v>648</v>
      </c>
      <c r="DO31" s="11">
        <f t="shared" si="132"/>
        <v>1277</v>
      </c>
      <c r="DP31" s="30">
        <f t="shared" si="161"/>
        <v>31.78372915613946</v>
      </c>
      <c r="DQ31" s="30">
        <f t="shared" si="165"/>
        <v>36.060100166944906</v>
      </c>
      <c r="DR31" s="30">
        <f t="shared" si="134"/>
        <v>33.81885593220339</v>
      </c>
      <c r="DS31" s="11">
        <f t="shared" si="65"/>
        <v>11120</v>
      </c>
      <c r="DT31" s="11">
        <f t="shared" si="66"/>
        <v>13391</v>
      </c>
      <c r="DU31" s="11">
        <f t="shared" si="67"/>
        <v>24511</v>
      </c>
      <c r="DV31" s="11">
        <f t="shared" si="68"/>
        <v>7685</v>
      </c>
      <c r="DW31" s="11">
        <f t="shared" si="69"/>
        <v>10398</v>
      </c>
      <c r="DX31" s="11">
        <f t="shared" si="70"/>
        <v>18083</v>
      </c>
      <c r="DY31" s="93">
        <f t="shared" si="158"/>
        <v>0</v>
      </c>
      <c r="DZ31" s="93">
        <f t="shared" si="159"/>
        <v>0</v>
      </c>
      <c r="EA31" s="93">
        <f t="shared" si="71"/>
        <v>0</v>
      </c>
      <c r="EB31" s="8">
        <f t="shared" si="72"/>
        <v>7685</v>
      </c>
      <c r="EC31" s="8">
        <f t="shared" si="73"/>
        <v>10398</v>
      </c>
      <c r="ED31" s="11">
        <f t="shared" si="135"/>
        <v>18083</v>
      </c>
      <c r="EE31" s="30">
        <f t="shared" si="136"/>
        <v>69.10971223021582</v>
      </c>
      <c r="EF31" s="30">
        <f t="shared" si="137"/>
        <v>77.64916735120605</v>
      </c>
      <c r="EG31" s="30">
        <f t="shared" si="138"/>
        <v>73.77503977805883</v>
      </c>
      <c r="EH31" s="10">
        <v>178</v>
      </c>
      <c r="EI31" s="10">
        <v>139</v>
      </c>
      <c r="EJ31" s="11">
        <f t="shared" si="74"/>
        <v>317</v>
      </c>
      <c r="EK31" s="10">
        <v>109</v>
      </c>
      <c r="EL31" s="10">
        <v>99</v>
      </c>
      <c r="EM31" s="11">
        <f t="shared" si="75"/>
        <v>208</v>
      </c>
      <c r="EN31" s="7"/>
      <c r="EO31" s="7"/>
      <c r="EP31" s="11">
        <f t="shared" si="76"/>
        <v>0</v>
      </c>
      <c r="EQ31" s="8">
        <f t="shared" si="77"/>
        <v>109</v>
      </c>
      <c r="ER31" s="8">
        <f t="shared" si="77"/>
        <v>99</v>
      </c>
      <c r="ES31" s="11">
        <f t="shared" si="139"/>
        <v>208</v>
      </c>
      <c r="ET31" s="30">
        <f t="shared" si="140"/>
        <v>61.23595505617978</v>
      </c>
      <c r="EU31" s="30">
        <f t="shared" si="140"/>
        <v>71.22302158273382</v>
      </c>
      <c r="EV31" s="30">
        <f t="shared" si="140"/>
        <v>65.61514195583597</v>
      </c>
      <c r="EW31" s="10"/>
      <c r="EX31" s="10"/>
      <c r="EY31" s="11">
        <f t="shared" si="78"/>
        <v>0</v>
      </c>
      <c r="EZ31" s="10"/>
      <c r="FA31" s="10"/>
      <c r="FB31" s="11">
        <f t="shared" si="79"/>
        <v>0</v>
      </c>
      <c r="FC31" s="7"/>
      <c r="FD31" s="7"/>
      <c r="FE31" s="7">
        <f t="shared" si="141"/>
        <v>0</v>
      </c>
      <c r="FF31" s="8">
        <f t="shared" si="80"/>
        <v>0</v>
      </c>
      <c r="FG31" s="8">
        <f t="shared" si="80"/>
        <v>0</v>
      </c>
      <c r="FH31" s="11">
        <f t="shared" si="142"/>
        <v>0</v>
      </c>
      <c r="FI31" s="30">
        <f t="shared" si="143"/>
      </c>
      <c r="FJ31" s="30">
        <f t="shared" si="143"/>
      </c>
      <c r="FK31" s="30">
        <f t="shared" si="143"/>
      </c>
      <c r="FL31" s="11">
        <f t="shared" si="81"/>
        <v>178</v>
      </c>
      <c r="FM31" s="11">
        <f t="shared" si="81"/>
        <v>139</v>
      </c>
      <c r="FN31" s="11">
        <f t="shared" si="82"/>
        <v>317</v>
      </c>
      <c r="FO31" s="11">
        <f t="shared" si="83"/>
        <v>109</v>
      </c>
      <c r="FP31" s="11">
        <f t="shared" si="83"/>
        <v>99</v>
      </c>
      <c r="FQ31" s="11">
        <f t="shared" si="84"/>
        <v>208</v>
      </c>
      <c r="FR31" s="11">
        <f t="shared" si="144"/>
        <v>0</v>
      </c>
      <c r="FS31" s="11">
        <f t="shared" si="144"/>
        <v>0</v>
      </c>
      <c r="FT31" s="11">
        <f t="shared" si="85"/>
        <v>0</v>
      </c>
      <c r="FU31" s="8">
        <f t="shared" si="86"/>
        <v>109</v>
      </c>
      <c r="FV31" s="8">
        <f t="shared" si="86"/>
        <v>99</v>
      </c>
      <c r="FW31" s="11">
        <f t="shared" si="145"/>
        <v>208</v>
      </c>
      <c r="FX31" s="30">
        <f t="shared" si="146"/>
        <v>61.23595505617978</v>
      </c>
      <c r="FY31" s="30">
        <f t="shared" si="146"/>
        <v>71.22302158273382</v>
      </c>
      <c r="FZ31" s="30">
        <f t="shared" si="146"/>
        <v>65.61514195583597</v>
      </c>
      <c r="GA31" s="21">
        <f t="shared" si="147"/>
        <v>8595</v>
      </c>
      <c r="GB31" s="21">
        <f t="shared" si="148"/>
        <v>11257</v>
      </c>
      <c r="GC31" s="21">
        <f t="shared" si="149"/>
        <v>19852</v>
      </c>
      <c r="GD31" s="47">
        <v>136</v>
      </c>
      <c r="GE31" s="47">
        <v>139</v>
      </c>
      <c r="GF31" s="21">
        <f t="shared" si="87"/>
        <v>275</v>
      </c>
      <c r="GG31" s="21">
        <v>867</v>
      </c>
      <c r="GH31" s="21">
        <v>1585</v>
      </c>
      <c r="GI31" s="21">
        <f t="shared" si="88"/>
        <v>2452</v>
      </c>
      <c r="GJ31" s="57">
        <f t="shared" si="89"/>
        <v>1.5823152995927865</v>
      </c>
      <c r="GK31" s="57">
        <f t="shared" si="90"/>
        <v>1.234787243492938</v>
      </c>
      <c r="GL31" s="57">
        <f t="shared" si="91"/>
        <v>1.385250856336893</v>
      </c>
      <c r="GM31" s="46">
        <f t="shared" si="92"/>
        <v>10.087260034904014</v>
      </c>
      <c r="GN31" s="46">
        <f t="shared" si="93"/>
        <v>14.080127920405083</v>
      </c>
      <c r="GO31" s="46">
        <f t="shared" si="94"/>
        <v>12.35140036268386</v>
      </c>
      <c r="GP31" s="21">
        <f t="shared" si="95"/>
        <v>67</v>
      </c>
      <c r="GQ31" s="21">
        <f t="shared" si="96"/>
        <v>55</v>
      </c>
      <c r="GR31" s="21">
        <f t="shared" si="97"/>
        <v>122</v>
      </c>
      <c r="GS31" s="47">
        <v>1</v>
      </c>
      <c r="GT31" s="47">
        <v>3</v>
      </c>
      <c r="GU31" s="21">
        <f t="shared" si="98"/>
        <v>4</v>
      </c>
      <c r="GV31" s="21">
        <v>5</v>
      </c>
      <c r="GW31" s="21">
        <v>9</v>
      </c>
      <c r="GX31" s="21">
        <f t="shared" si="99"/>
        <v>14</v>
      </c>
      <c r="GY31" s="57">
        <f t="shared" si="100"/>
        <v>1.4925373134328357</v>
      </c>
      <c r="GZ31" s="57">
        <f t="shared" si="101"/>
        <v>5.454545454545454</v>
      </c>
      <c r="HA31" s="57">
        <f t="shared" si="102"/>
        <v>3.278688524590164</v>
      </c>
      <c r="HB31" s="46">
        <f t="shared" si="103"/>
        <v>7.462686567164178</v>
      </c>
      <c r="HC31" s="46">
        <f t="shared" si="104"/>
        <v>16.363636363636363</v>
      </c>
      <c r="HD31" s="46">
        <f t="shared" si="105"/>
        <v>11.475409836065573</v>
      </c>
      <c r="HE31" s="21">
        <f t="shared" si="106"/>
        <v>7685</v>
      </c>
      <c r="HF31" s="21">
        <f>EC31</f>
        <v>10398</v>
      </c>
      <c r="HG31" s="21">
        <f t="shared" si="108"/>
        <v>18083</v>
      </c>
      <c r="HH31" s="47">
        <v>100</v>
      </c>
      <c r="HI31" s="47">
        <v>100</v>
      </c>
      <c r="HJ31" s="21">
        <f t="shared" si="109"/>
        <v>200</v>
      </c>
      <c r="HK31" s="21">
        <v>738</v>
      </c>
      <c r="HL31" s="21">
        <v>1392</v>
      </c>
      <c r="HM31" s="21">
        <f t="shared" si="110"/>
        <v>2130</v>
      </c>
      <c r="HN31" s="57">
        <f t="shared" si="111"/>
        <v>1.3012361743656475</v>
      </c>
      <c r="HO31" s="57">
        <f>HI31/HF31%</f>
        <v>0.9617234083477592</v>
      </c>
      <c r="HP31" s="57">
        <f t="shared" si="112"/>
        <v>1.1060111707128242</v>
      </c>
      <c r="HQ31" s="46">
        <f t="shared" si="113"/>
        <v>9.603122966818479</v>
      </c>
      <c r="HR31" s="46">
        <f>HL31/HF31%</f>
        <v>13.387189844200808</v>
      </c>
      <c r="HS31" s="46">
        <f t="shared" si="114"/>
        <v>11.779018968091577</v>
      </c>
    </row>
    <row r="32" spans="1:227" ht="29.25" customHeight="1">
      <c r="A32" s="4">
        <v>23</v>
      </c>
      <c r="B32" s="6" t="s">
        <v>56</v>
      </c>
      <c r="C32" s="8">
        <v>5179</v>
      </c>
      <c r="D32" s="8">
        <v>5402</v>
      </c>
      <c r="E32" s="17">
        <f t="shared" si="154"/>
        <v>10581</v>
      </c>
      <c r="F32" s="8">
        <v>4060</v>
      </c>
      <c r="G32" s="8">
        <v>4258</v>
      </c>
      <c r="H32" s="9">
        <f t="shared" si="33"/>
        <v>8318</v>
      </c>
      <c r="I32" s="7">
        <v>59</v>
      </c>
      <c r="J32" s="7">
        <v>59</v>
      </c>
      <c r="K32" s="12">
        <f t="shared" si="155"/>
        <v>118</v>
      </c>
      <c r="L32" s="8">
        <f t="shared" si="34"/>
        <v>4119</v>
      </c>
      <c r="M32" s="8">
        <f t="shared" si="34"/>
        <v>4317</v>
      </c>
      <c r="N32" s="8">
        <f t="shared" si="34"/>
        <v>8436</v>
      </c>
      <c r="O32" s="30">
        <f t="shared" si="32"/>
        <v>79.53272832593164</v>
      </c>
      <c r="P32" s="30">
        <f t="shared" si="32"/>
        <v>79.91484635320252</v>
      </c>
      <c r="Q32" s="30">
        <f t="shared" si="32"/>
        <v>79.7278140062376</v>
      </c>
      <c r="R32" s="8">
        <v>255</v>
      </c>
      <c r="S32" s="8">
        <v>204</v>
      </c>
      <c r="T32" s="9">
        <f t="shared" si="115"/>
        <v>459</v>
      </c>
      <c r="U32" s="8">
        <v>97</v>
      </c>
      <c r="V32" s="8">
        <v>94</v>
      </c>
      <c r="W32" s="9">
        <f t="shared" si="35"/>
        <v>191</v>
      </c>
      <c r="X32" s="7">
        <v>6</v>
      </c>
      <c r="Y32" s="7">
        <v>4</v>
      </c>
      <c r="Z32" s="11">
        <f t="shared" si="36"/>
        <v>10</v>
      </c>
      <c r="AA32" s="8">
        <f t="shared" si="172"/>
        <v>103</v>
      </c>
      <c r="AB32" s="8">
        <f t="shared" si="172"/>
        <v>98</v>
      </c>
      <c r="AC32" s="11">
        <f t="shared" si="116"/>
        <v>201</v>
      </c>
      <c r="AD32" s="30">
        <f t="shared" si="117"/>
        <v>40.3921568627451</v>
      </c>
      <c r="AE32" s="30">
        <f t="shared" si="117"/>
        <v>48.03921568627451</v>
      </c>
      <c r="AF32" s="30">
        <f t="shared" si="117"/>
        <v>43.790849673202615</v>
      </c>
      <c r="AG32" s="11">
        <f t="shared" si="38"/>
        <v>5434</v>
      </c>
      <c r="AH32" s="11">
        <f t="shared" si="38"/>
        <v>5606</v>
      </c>
      <c r="AI32" s="11">
        <f t="shared" si="39"/>
        <v>11040</v>
      </c>
      <c r="AJ32" s="11">
        <f t="shared" si="40"/>
        <v>4157</v>
      </c>
      <c r="AK32" s="11">
        <f t="shared" si="40"/>
        <v>4352</v>
      </c>
      <c r="AL32" s="11">
        <f t="shared" si="41"/>
        <v>8509</v>
      </c>
      <c r="AM32" s="11">
        <f t="shared" si="150"/>
        <v>65</v>
      </c>
      <c r="AN32" s="11">
        <f t="shared" si="150"/>
        <v>63</v>
      </c>
      <c r="AO32" s="11">
        <f t="shared" si="42"/>
        <v>128</v>
      </c>
      <c r="AP32" s="8">
        <f t="shared" si="43"/>
        <v>4222</v>
      </c>
      <c r="AQ32" s="8">
        <f t="shared" si="43"/>
        <v>4415</v>
      </c>
      <c r="AR32" s="11">
        <f t="shared" si="118"/>
        <v>8637</v>
      </c>
      <c r="AS32" s="30">
        <f t="shared" si="119"/>
        <v>77.69598822230401</v>
      </c>
      <c r="AT32" s="30">
        <f t="shared" si="119"/>
        <v>78.75490545843739</v>
      </c>
      <c r="AU32" s="30">
        <f t="shared" si="119"/>
        <v>78.23369565217392</v>
      </c>
      <c r="AV32" s="10">
        <v>17</v>
      </c>
      <c r="AW32" s="10">
        <v>9</v>
      </c>
      <c r="AX32" s="11">
        <f t="shared" si="44"/>
        <v>26</v>
      </c>
      <c r="AY32" s="10">
        <v>14</v>
      </c>
      <c r="AZ32" s="10">
        <v>7</v>
      </c>
      <c r="BA32" s="11">
        <f t="shared" si="45"/>
        <v>21</v>
      </c>
      <c r="BB32" s="7">
        <v>0</v>
      </c>
      <c r="BC32" s="7">
        <v>0</v>
      </c>
      <c r="BD32" s="11">
        <f t="shared" si="162"/>
        <v>0</v>
      </c>
      <c r="BE32" s="8">
        <f t="shared" si="46"/>
        <v>14</v>
      </c>
      <c r="BF32" s="8">
        <f t="shared" si="46"/>
        <v>7</v>
      </c>
      <c r="BG32" s="11">
        <f t="shared" si="120"/>
        <v>21</v>
      </c>
      <c r="BH32" s="30">
        <f t="shared" si="121"/>
        <v>82.35294117647058</v>
      </c>
      <c r="BI32" s="30">
        <f t="shared" si="121"/>
        <v>77.77777777777779</v>
      </c>
      <c r="BJ32" s="30">
        <f t="shared" si="121"/>
        <v>80.76923076923077</v>
      </c>
      <c r="BK32" s="10">
        <v>3</v>
      </c>
      <c r="BL32" s="10">
        <v>1</v>
      </c>
      <c r="BM32" s="11">
        <f t="shared" si="47"/>
        <v>4</v>
      </c>
      <c r="BN32" s="10">
        <v>1</v>
      </c>
      <c r="BO32" s="10">
        <v>0</v>
      </c>
      <c r="BP32" s="11">
        <f t="shared" si="48"/>
        <v>1</v>
      </c>
      <c r="BQ32" s="96"/>
      <c r="BR32" s="96"/>
      <c r="BS32" s="93"/>
      <c r="BT32" s="8">
        <f t="shared" si="50"/>
        <v>1</v>
      </c>
      <c r="BU32" s="8">
        <f t="shared" si="50"/>
        <v>0</v>
      </c>
      <c r="BV32" s="11">
        <f t="shared" si="122"/>
        <v>1</v>
      </c>
      <c r="BW32" s="30">
        <f t="shared" si="166"/>
        <v>33.33333333333333</v>
      </c>
      <c r="BX32" s="30">
        <f t="shared" si="166"/>
        <v>0</v>
      </c>
      <c r="BY32" s="30">
        <f t="shared" si="166"/>
        <v>25</v>
      </c>
      <c r="BZ32" s="11">
        <f t="shared" si="51"/>
        <v>20</v>
      </c>
      <c r="CA32" s="11">
        <f t="shared" si="51"/>
        <v>10</v>
      </c>
      <c r="CB32" s="11">
        <f t="shared" si="52"/>
        <v>30</v>
      </c>
      <c r="CC32" s="11">
        <f t="shared" si="53"/>
        <v>15</v>
      </c>
      <c r="CD32" s="11">
        <f t="shared" si="53"/>
        <v>7</v>
      </c>
      <c r="CE32" s="11">
        <f t="shared" si="54"/>
        <v>22</v>
      </c>
      <c r="CF32" s="93"/>
      <c r="CG32" s="93"/>
      <c r="CH32" s="93"/>
      <c r="CI32" s="8">
        <f t="shared" si="56"/>
        <v>15</v>
      </c>
      <c r="CJ32" s="8">
        <f t="shared" si="56"/>
        <v>7</v>
      </c>
      <c r="CK32" s="11">
        <f t="shared" si="126"/>
        <v>22</v>
      </c>
      <c r="CL32" s="30">
        <f t="shared" si="127"/>
        <v>75</v>
      </c>
      <c r="CM32" s="30">
        <f t="shared" si="127"/>
        <v>70</v>
      </c>
      <c r="CN32" s="30">
        <f t="shared" si="127"/>
        <v>73.33333333333333</v>
      </c>
      <c r="CO32" s="10">
        <v>5121</v>
      </c>
      <c r="CP32" s="10">
        <v>5337</v>
      </c>
      <c r="CQ32" s="11">
        <f t="shared" si="171"/>
        <v>10458</v>
      </c>
      <c r="CR32" s="10">
        <v>3993</v>
      </c>
      <c r="CS32" s="10">
        <v>4165</v>
      </c>
      <c r="CT32" s="11">
        <f>CR32+CS32</f>
        <v>8158</v>
      </c>
      <c r="CU32" s="7">
        <v>57</v>
      </c>
      <c r="CV32" s="7">
        <v>59</v>
      </c>
      <c r="CW32" s="11">
        <f t="shared" si="151"/>
        <v>116</v>
      </c>
      <c r="CX32" s="8">
        <f t="shared" si="59"/>
        <v>4050</v>
      </c>
      <c r="CY32" s="8">
        <f t="shared" si="60"/>
        <v>4224</v>
      </c>
      <c r="CZ32" s="11">
        <f t="shared" si="128"/>
        <v>8274</v>
      </c>
      <c r="DA32" s="30">
        <f t="shared" si="129"/>
        <v>79.08611599297012</v>
      </c>
      <c r="DB32" s="30">
        <f t="shared" si="130"/>
        <v>79.14558740865655</v>
      </c>
      <c r="DC32" s="30">
        <f t="shared" si="131"/>
        <v>79.11646586345381</v>
      </c>
      <c r="DD32" s="10">
        <v>247</v>
      </c>
      <c r="DE32" s="10">
        <v>203</v>
      </c>
      <c r="DF32" s="11">
        <f t="shared" si="61"/>
        <v>450</v>
      </c>
      <c r="DG32" s="10">
        <v>98</v>
      </c>
      <c r="DH32" s="10">
        <v>93</v>
      </c>
      <c r="DI32" s="11">
        <f t="shared" si="62"/>
        <v>191</v>
      </c>
      <c r="DJ32" s="7">
        <v>6</v>
      </c>
      <c r="DK32" s="7">
        <v>4</v>
      </c>
      <c r="DL32" s="7">
        <f t="shared" si="152"/>
        <v>10</v>
      </c>
      <c r="DM32" s="8">
        <f t="shared" si="63"/>
        <v>104</v>
      </c>
      <c r="DN32" s="8">
        <f t="shared" si="64"/>
        <v>97</v>
      </c>
      <c r="DO32" s="11">
        <f t="shared" si="132"/>
        <v>201</v>
      </c>
      <c r="DP32" s="30">
        <f t="shared" si="161"/>
        <v>42.10526315789473</v>
      </c>
      <c r="DQ32" s="30">
        <f t="shared" si="165"/>
        <v>47.783251231527096</v>
      </c>
      <c r="DR32" s="30">
        <f t="shared" si="134"/>
        <v>44.666666666666664</v>
      </c>
      <c r="DS32" s="11">
        <f t="shared" si="65"/>
        <v>5368</v>
      </c>
      <c r="DT32" s="11">
        <f t="shared" si="66"/>
        <v>5540</v>
      </c>
      <c r="DU32" s="11">
        <f t="shared" si="67"/>
        <v>10908</v>
      </c>
      <c r="DV32" s="11">
        <f t="shared" si="68"/>
        <v>4091</v>
      </c>
      <c r="DW32" s="11">
        <f t="shared" si="69"/>
        <v>4258</v>
      </c>
      <c r="DX32" s="11">
        <f t="shared" si="70"/>
        <v>8349</v>
      </c>
      <c r="DY32" s="11">
        <f t="shared" si="158"/>
        <v>63</v>
      </c>
      <c r="DZ32" s="11">
        <f t="shared" si="159"/>
        <v>63</v>
      </c>
      <c r="EA32" s="11">
        <f t="shared" si="71"/>
        <v>126</v>
      </c>
      <c r="EB32" s="8">
        <f t="shared" si="72"/>
        <v>4154</v>
      </c>
      <c r="EC32" s="8">
        <f t="shared" si="73"/>
        <v>4321</v>
      </c>
      <c r="ED32" s="11">
        <f t="shared" si="135"/>
        <v>8475</v>
      </c>
      <c r="EE32" s="30">
        <f t="shared" si="136"/>
        <v>77.38450074515649</v>
      </c>
      <c r="EF32" s="30">
        <f t="shared" si="137"/>
        <v>77.99638989169675</v>
      </c>
      <c r="EG32" s="30">
        <f t="shared" si="138"/>
        <v>77.6952695269527</v>
      </c>
      <c r="EH32" s="10">
        <v>3</v>
      </c>
      <c r="EI32" s="10">
        <v>3</v>
      </c>
      <c r="EJ32" s="11">
        <f t="shared" si="74"/>
        <v>6</v>
      </c>
      <c r="EK32" s="10">
        <v>2</v>
      </c>
      <c r="EL32" s="10">
        <v>3</v>
      </c>
      <c r="EM32" s="11">
        <f>EK32+EL32</f>
        <v>5</v>
      </c>
      <c r="EN32" s="7">
        <v>0</v>
      </c>
      <c r="EO32" s="7">
        <v>1</v>
      </c>
      <c r="EP32" s="11">
        <f t="shared" si="76"/>
        <v>1</v>
      </c>
      <c r="EQ32" s="8">
        <f t="shared" si="77"/>
        <v>2</v>
      </c>
      <c r="ER32" s="8">
        <f t="shared" si="77"/>
        <v>4</v>
      </c>
      <c r="ES32" s="11">
        <f t="shared" si="139"/>
        <v>6</v>
      </c>
      <c r="ET32" s="30">
        <f t="shared" si="140"/>
        <v>66.66666666666666</v>
      </c>
      <c r="EU32" s="30">
        <f t="shared" si="140"/>
        <v>133.33333333333331</v>
      </c>
      <c r="EV32" s="30">
        <f t="shared" si="140"/>
        <v>100</v>
      </c>
      <c r="EW32" s="10">
        <v>3</v>
      </c>
      <c r="EX32" s="10">
        <v>1</v>
      </c>
      <c r="EY32" s="11">
        <f t="shared" si="78"/>
        <v>4</v>
      </c>
      <c r="EZ32" s="10">
        <v>1</v>
      </c>
      <c r="FA32" s="10">
        <v>0</v>
      </c>
      <c r="FB32" s="11">
        <f t="shared" si="79"/>
        <v>1</v>
      </c>
      <c r="FC32" s="7"/>
      <c r="FD32" s="7"/>
      <c r="FE32" s="7">
        <f t="shared" si="141"/>
        <v>0</v>
      </c>
      <c r="FF32" s="8">
        <f t="shared" si="80"/>
        <v>1</v>
      </c>
      <c r="FG32" s="8">
        <f t="shared" si="80"/>
        <v>0</v>
      </c>
      <c r="FH32" s="11">
        <f t="shared" si="142"/>
        <v>1</v>
      </c>
      <c r="FI32" s="30">
        <f t="shared" si="143"/>
        <v>33.33333333333333</v>
      </c>
      <c r="FJ32" s="30">
        <f t="shared" si="143"/>
        <v>0</v>
      </c>
      <c r="FK32" s="30">
        <f t="shared" si="143"/>
        <v>25</v>
      </c>
      <c r="FL32" s="11">
        <f t="shared" si="81"/>
        <v>6</v>
      </c>
      <c r="FM32" s="11">
        <f t="shared" si="81"/>
        <v>4</v>
      </c>
      <c r="FN32" s="11">
        <f t="shared" si="82"/>
        <v>10</v>
      </c>
      <c r="FO32" s="11">
        <f t="shared" si="83"/>
        <v>3</v>
      </c>
      <c r="FP32" s="11">
        <f t="shared" si="83"/>
        <v>3</v>
      </c>
      <c r="FQ32" s="11">
        <f t="shared" si="84"/>
        <v>6</v>
      </c>
      <c r="FR32" s="11">
        <f t="shared" si="144"/>
        <v>0</v>
      </c>
      <c r="FS32" s="11">
        <f t="shared" si="144"/>
        <v>1</v>
      </c>
      <c r="FT32" s="11">
        <f t="shared" si="85"/>
        <v>1</v>
      </c>
      <c r="FU32" s="8">
        <f t="shared" si="86"/>
        <v>3</v>
      </c>
      <c r="FV32" s="8">
        <f t="shared" si="86"/>
        <v>4</v>
      </c>
      <c r="FW32" s="11">
        <f t="shared" si="145"/>
        <v>7</v>
      </c>
      <c r="FX32" s="30">
        <f t="shared" si="146"/>
        <v>50</v>
      </c>
      <c r="FY32" s="30">
        <f t="shared" si="146"/>
        <v>100</v>
      </c>
      <c r="FZ32" s="30">
        <f t="shared" si="146"/>
        <v>70</v>
      </c>
      <c r="GA32" s="21">
        <f t="shared" si="147"/>
        <v>4222</v>
      </c>
      <c r="GB32" s="21">
        <f t="shared" si="148"/>
        <v>4415</v>
      </c>
      <c r="GC32" s="21">
        <f t="shared" si="149"/>
        <v>8637</v>
      </c>
      <c r="GD32" s="47">
        <v>83</v>
      </c>
      <c r="GE32" s="47">
        <v>109</v>
      </c>
      <c r="GF32" s="21">
        <f t="shared" si="87"/>
        <v>192</v>
      </c>
      <c r="GG32" s="21">
        <v>721</v>
      </c>
      <c r="GH32" s="21">
        <v>879</v>
      </c>
      <c r="GI32" s="21">
        <f t="shared" si="88"/>
        <v>1600</v>
      </c>
      <c r="GJ32" s="57">
        <f t="shared" si="89"/>
        <v>1.9658929417337756</v>
      </c>
      <c r="GK32" s="57">
        <f t="shared" si="90"/>
        <v>2.4688561721404305</v>
      </c>
      <c r="GL32" s="57">
        <f t="shared" si="91"/>
        <v>2.2229940951719347</v>
      </c>
      <c r="GM32" s="46">
        <f t="shared" si="92"/>
        <v>17.077214590241592</v>
      </c>
      <c r="GN32" s="46">
        <f t="shared" si="93"/>
        <v>19.909399773499434</v>
      </c>
      <c r="GO32" s="46">
        <f t="shared" si="94"/>
        <v>18.524950793099453</v>
      </c>
      <c r="GP32" s="21">
        <f t="shared" si="95"/>
        <v>15</v>
      </c>
      <c r="GQ32" s="21">
        <f t="shared" si="96"/>
        <v>7</v>
      </c>
      <c r="GR32" s="21">
        <f t="shared" si="97"/>
        <v>22</v>
      </c>
      <c r="GS32" s="47">
        <v>0</v>
      </c>
      <c r="GT32" s="47">
        <v>1</v>
      </c>
      <c r="GU32" s="21">
        <f t="shared" si="98"/>
        <v>1</v>
      </c>
      <c r="GV32" s="21">
        <v>0</v>
      </c>
      <c r="GW32" s="21">
        <v>2</v>
      </c>
      <c r="GX32" s="21">
        <f t="shared" si="99"/>
        <v>2</v>
      </c>
      <c r="GY32" s="57">
        <f t="shared" si="100"/>
        <v>0</v>
      </c>
      <c r="GZ32" s="57">
        <f t="shared" si="101"/>
        <v>14.285714285714285</v>
      </c>
      <c r="HA32" s="57">
        <f t="shared" si="102"/>
        <v>4.545454545454546</v>
      </c>
      <c r="HB32" s="46">
        <f t="shared" si="103"/>
        <v>0</v>
      </c>
      <c r="HC32" s="46">
        <f t="shared" si="104"/>
        <v>28.57142857142857</v>
      </c>
      <c r="HD32" s="46">
        <f t="shared" si="105"/>
        <v>9.090909090909092</v>
      </c>
      <c r="HE32" s="21">
        <f t="shared" si="106"/>
        <v>4154</v>
      </c>
      <c r="HF32" s="21">
        <f t="shared" si="107"/>
        <v>4321</v>
      </c>
      <c r="HG32" s="21">
        <f t="shared" si="108"/>
        <v>8475</v>
      </c>
      <c r="HH32" s="47">
        <v>79</v>
      </c>
      <c r="HI32" s="47">
        <v>106</v>
      </c>
      <c r="HJ32" s="21">
        <f t="shared" si="109"/>
        <v>185</v>
      </c>
      <c r="HK32" s="21">
        <v>721</v>
      </c>
      <c r="HL32" s="21">
        <v>865</v>
      </c>
      <c r="HM32" s="21">
        <f t="shared" si="110"/>
        <v>1586</v>
      </c>
      <c r="HN32" s="57">
        <f t="shared" si="111"/>
        <v>1.9017814155031296</v>
      </c>
      <c r="HO32" s="57">
        <f>HI32/HF32%</f>
        <v>2.453135848183291</v>
      </c>
      <c r="HP32" s="57">
        <f t="shared" si="112"/>
        <v>2.1828908554572273</v>
      </c>
      <c r="HQ32" s="46">
        <f t="shared" si="113"/>
        <v>17.356764564275398</v>
      </c>
      <c r="HR32" s="46">
        <f>HL32/HF32%</f>
        <v>20.01851423281648</v>
      </c>
      <c r="HS32" s="46">
        <f t="shared" si="114"/>
        <v>18.71386430678466</v>
      </c>
    </row>
    <row r="33" spans="1:227" ht="29.25" customHeight="1">
      <c r="A33" s="4">
        <v>24</v>
      </c>
      <c r="B33" s="6" t="s">
        <v>57</v>
      </c>
      <c r="C33" s="8">
        <v>5797</v>
      </c>
      <c r="D33" s="8">
        <v>6158</v>
      </c>
      <c r="E33" s="17">
        <f t="shared" si="154"/>
        <v>11955</v>
      </c>
      <c r="F33" s="8">
        <v>4503</v>
      </c>
      <c r="G33" s="8">
        <v>5216</v>
      </c>
      <c r="H33" s="9">
        <f t="shared" si="33"/>
        <v>9719</v>
      </c>
      <c r="I33" s="96"/>
      <c r="J33" s="96"/>
      <c r="K33" s="100">
        <f t="shared" si="155"/>
        <v>0</v>
      </c>
      <c r="L33" s="8">
        <f t="shared" si="34"/>
        <v>4503</v>
      </c>
      <c r="M33" s="8">
        <f t="shared" si="34"/>
        <v>5216</v>
      </c>
      <c r="N33" s="8">
        <f t="shared" si="34"/>
        <v>9719</v>
      </c>
      <c r="O33" s="30">
        <f t="shared" si="32"/>
        <v>77.67810936691392</v>
      </c>
      <c r="P33" s="30">
        <f t="shared" si="32"/>
        <v>84.7028255927249</v>
      </c>
      <c r="Q33" s="30">
        <f t="shared" si="32"/>
        <v>81.2965286491008</v>
      </c>
      <c r="R33" s="8">
        <v>1499</v>
      </c>
      <c r="S33" s="8">
        <v>1054</v>
      </c>
      <c r="T33" s="9">
        <f>R33+S33</f>
        <v>2553</v>
      </c>
      <c r="U33" s="8">
        <v>614</v>
      </c>
      <c r="V33" s="8">
        <v>432</v>
      </c>
      <c r="W33" s="9">
        <f t="shared" si="35"/>
        <v>1046</v>
      </c>
      <c r="X33" s="96"/>
      <c r="Y33" s="96"/>
      <c r="Z33" s="93">
        <f t="shared" si="36"/>
        <v>0</v>
      </c>
      <c r="AA33" s="8">
        <f t="shared" si="172"/>
        <v>614</v>
      </c>
      <c r="AB33" s="8">
        <f t="shared" si="172"/>
        <v>432</v>
      </c>
      <c r="AC33" s="11">
        <f t="shared" si="116"/>
        <v>1046</v>
      </c>
      <c r="AD33" s="30">
        <f t="shared" si="117"/>
        <v>40.9606404269513</v>
      </c>
      <c r="AE33" s="30">
        <f t="shared" si="117"/>
        <v>40.98671726755218</v>
      </c>
      <c r="AF33" s="30">
        <f t="shared" si="117"/>
        <v>40.971406188797495</v>
      </c>
      <c r="AG33" s="11">
        <f t="shared" si="38"/>
        <v>7296</v>
      </c>
      <c r="AH33" s="11">
        <f t="shared" si="38"/>
        <v>7212</v>
      </c>
      <c r="AI33" s="11">
        <f t="shared" si="39"/>
        <v>14508</v>
      </c>
      <c r="AJ33" s="11">
        <f t="shared" si="40"/>
        <v>5117</v>
      </c>
      <c r="AK33" s="11">
        <f t="shared" si="40"/>
        <v>5648</v>
      </c>
      <c r="AL33" s="11">
        <f t="shared" si="41"/>
        <v>10765</v>
      </c>
      <c r="AM33" s="93">
        <f t="shared" si="150"/>
        <v>0</v>
      </c>
      <c r="AN33" s="93">
        <f t="shared" si="150"/>
        <v>0</v>
      </c>
      <c r="AO33" s="93">
        <f t="shared" si="42"/>
        <v>0</v>
      </c>
      <c r="AP33" s="8">
        <f t="shared" si="43"/>
        <v>5117</v>
      </c>
      <c r="AQ33" s="8">
        <f t="shared" si="43"/>
        <v>5648</v>
      </c>
      <c r="AR33" s="11">
        <f t="shared" si="118"/>
        <v>10765</v>
      </c>
      <c r="AS33" s="30">
        <f t="shared" si="119"/>
        <v>70.13432017543859</v>
      </c>
      <c r="AT33" s="30">
        <f t="shared" si="119"/>
        <v>78.31392124237382</v>
      </c>
      <c r="AU33" s="30">
        <f t="shared" si="119"/>
        <v>74.200441135925</v>
      </c>
      <c r="AV33" s="10">
        <v>49</v>
      </c>
      <c r="AW33" s="10">
        <v>52</v>
      </c>
      <c r="AX33" s="11">
        <f t="shared" si="44"/>
        <v>101</v>
      </c>
      <c r="AY33" s="10">
        <v>44</v>
      </c>
      <c r="AZ33" s="10">
        <v>43</v>
      </c>
      <c r="BA33" s="11">
        <f t="shared" si="45"/>
        <v>87</v>
      </c>
      <c r="BB33" s="96"/>
      <c r="BC33" s="96"/>
      <c r="BD33" s="93">
        <f t="shared" si="162"/>
        <v>0</v>
      </c>
      <c r="BE33" s="8">
        <f t="shared" si="46"/>
        <v>44</v>
      </c>
      <c r="BF33" s="8">
        <f t="shared" si="46"/>
        <v>43</v>
      </c>
      <c r="BG33" s="11">
        <f t="shared" si="120"/>
        <v>87</v>
      </c>
      <c r="BH33" s="30">
        <f t="shared" si="121"/>
        <v>89.79591836734694</v>
      </c>
      <c r="BI33" s="30">
        <f t="shared" si="121"/>
        <v>82.6923076923077</v>
      </c>
      <c r="BJ33" s="30">
        <f t="shared" si="121"/>
        <v>86.13861386138613</v>
      </c>
      <c r="BK33" s="10">
        <v>17</v>
      </c>
      <c r="BL33" s="10">
        <v>5</v>
      </c>
      <c r="BM33" s="11">
        <f t="shared" si="47"/>
        <v>22</v>
      </c>
      <c r="BN33" s="10">
        <v>7</v>
      </c>
      <c r="BO33" s="10">
        <v>2</v>
      </c>
      <c r="BP33" s="11">
        <f t="shared" si="48"/>
        <v>9</v>
      </c>
      <c r="BQ33" s="96"/>
      <c r="BR33" s="96"/>
      <c r="BS33" s="93">
        <f t="shared" si="49"/>
        <v>0</v>
      </c>
      <c r="BT33" s="8">
        <f t="shared" si="50"/>
        <v>7</v>
      </c>
      <c r="BU33" s="8">
        <f t="shared" si="50"/>
        <v>2</v>
      </c>
      <c r="BV33" s="11">
        <f t="shared" si="122"/>
        <v>9</v>
      </c>
      <c r="BW33" s="30">
        <f t="shared" si="166"/>
        <v>41.17647058823529</v>
      </c>
      <c r="BX33" s="30">
        <f t="shared" si="166"/>
        <v>40</v>
      </c>
      <c r="BY33" s="30">
        <f t="shared" si="166"/>
        <v>40.909090909090914</v>
      </c>
      <c r="BZ33" s="11">
        <f t="shared" si="51"/>
        <v>66</v>
      </c>
      <c r="CA33" s="11">
        <f t="shared" si="51"/>
        <v>57</v>
      </c>
      <c r="CB33" s="11">
        <f t="shared" si="52"/>
        <v>123</v>
      </c>
      <c r="CC33" s="11">
        <f t="shared" si="53"/>
        <v>51</v>
      </c>
      <c r="CD33" s="11">
        <f t="shared" si="53"/>
        <v>45</v>
      </c>
      <c r="CE33" s="11">
        <f t="shared" si="54"/>
        <v>96</v>
      </c>
      <c r="CF33" s="93">
        <f t="shared" si="153"/>
        <v>0</v>
      </c>
      <c r="CG33" s="93">
        <f t="shared" si="153"/>
        <v>0</v>
      </c>
      <c r="CH33" s="93">
        <f t="shared" si="55"/>
        <v>0</v>
      </c>
      <c r="CI33" s="8">
        <f t="shared" si="56"/>
        <v>51</v>
      </c>
      <c r="CJ33" s="8">
        <f t="shared" si="56"/>
        <v>45</v>
      </c>
      <c r="CK33" s="11">
        <f t="shared" si="126"/>
        <v>96</v>
      </c>
      <c r="CL33" s="30">
        <f t="shared" si="127"/>
        <v>77.27272727272727</v>
      </c>
      <c r="CM33" s="30">
        <f t="shared" si="127"/>
        <v>78.94736842105263</v>
      </c>
      <c r="CN33" s="30">
        <f t="shared" si="127"/>
        <v>78.04878048780488</v>
      </c>
      <c r="CO33" s="10">
        <v>5253</v>
      </c>
      <c r="CP33" s="10">
        <v>5620</v>
      </c>
      <c r="CQ33" s="11">
        <f t="shared" si="171"/>
        <v>10873</v>
      </c>
      <c r="CR33" s="10">
        <v>4063</v>
      </c>
      <c r="CS33" s="10">
        <v>4757</v>
      </c>
      <c r="CT33" s="11">
        <f aca="true" t="shared" si="173" ref="CT33:CT41">CR33+CS33</f>
        <v>8820</v>
      </c>
      <c r="CU33" s="96"/>
      <c r="CV33" s="96"/>
      <c r="CW33" s="93">
        <f t="shared" si="151"/>
        <v>0</v>
      </c>
      <c r="CX33" s="8">
        <f t="shared" si="59"/>
        <v>4063</v>
      </c>
      <c r="CY33" s="8">
        <f t="shared" si="60"/>
        <v>4757</v>
      </c>
      <c r="CZ33" s="11">
        <f t="shared" si="128"/>
        <v>8820</v>
      </c>
      <c r="DA33" s="30">
        <f t="shared" si="129"/>
        <v>77.34627831715211</v>
      </c>
      <c r="DB33" s="30">
        <f t="shared" si="130"/>
        <v>84.644128113879</v>
      </c>
      <c r="DC33" s="30">
        <f t="shared" si="131"/>
        <v>81.11836659615561</v>
      </c>
      <c r="DD33" s="10">
        <v>1380</v>
      </c>
      <c r="DE33" s="10">
        <v>974</v>
      </c>
      <c r="DF33" s="11">
        <f t="shared" si="61"/>
        <v>2354</v>
      </c>
      <c r="DG33" s="10">
        <v>564</v>
      </c>
      <c r="DH33" s="10">
        <v>409</v>
      </c>
      <c r="DI33" s="11">
        <f t="shared" si="62"/>
        <v>973</v>
      </c>
      <c r="DJ33" s="96"/>
      <c r="DK33" s="96"/>
      <c r="DL33" s="96">
        <f t="shared" si="152"/>
        <v>0</v>
      </c>
      <c r="DM33" s="8">
        <f t="shared" si="63"/>
        <v>564</v>
      </c>
      <c r="DN33" s="8">
        <f t="shared" si="64"/>
        <v>409</v>
      </c>
      <c r="DO33" s="11">
        <f t="shared" si="132"/>
        <v>973</v>
      </c>
      <c r="DP33" s="30">
        <f t="shared" si="161"/>
        <v>40.869565217391305</v>
      </c>
      <c r="DQ33" s="30">
        <f t="shared" si="165"/>
        <v>41.9917864476386</v>
      </c>
      <c r="DR33" s="30">
        <f t="shared" si="134"/>
        <v>41.3338997451147</v>
      </c>
      <c r="DS33" s="11">
        <f t="shared" si="65"/>
        <v>6633</v>
      </c>
      <c r="DT33" s="11">
        <f t="shared" si="66"/>
        <v>6594</v>
      </c>
      <c r="DU33" s="11">
        <f t="shared" si="67"/>
        <v>13227</v>
      </c>
      <c r="DV33" s="11">
        <f t="shared" si="68"/>
        <v>4627</v>
      </c>
      <c r="DW33" s="11">
        <f t="shared" si="69"/>
        <v>5166</v>
      </c>
      <c r="DX33" s="11">
        <f t="shared" si="70"/>
        <v>9793</v>
      </c>
      <c r="DY33" s="93">
        <f t="shared" si="158"/>
        <v>0</v>
      </c>
      <c r="DZ33" s="93">
        <f t="shared" si="159"/>
        <v>0</v>
      </c>
      <c r="EA33" s="93">
        <f t="shared" si="71"/>
        <v>0</v>
      </c>
      <c r="EB33" s="8">
        <f t="shared" si="72"/>
        <v>4627</v>
      </c>
      <c r="EC33" s="8">
        <f t="shared" si="73"/>
        <v>5166</v>
      </c>
      <c r="ED33" s="11">
        <f t="shared" si="135"/>
        <v>9793</v>
      </c>
      <c r="EE33" s="30">
        <f t="shared" si="136"/>
        <v>69.75727423488618</v>
      </c>
      <c r="EF33" s="30">
        <f t="shared" si="137"/>
        <v>78.343949044586</v>
      </c>
      <c r="EG33" s="30">
        <f t="shared" si="138"/>
        <v>74.0379526725637</v>
      </c>
      <c r="EH33" s="10"/>
      <c r="EI33" s="10"/>
      <c r="EJ33" s="11">
        <f t="shared" si="74"/>
        <v>0</v>
      </c>
      <c r="EK33" s="10"/>
      <c r="EL33" s="10"/>
      <c r="EM33" s="11">
        <f t="shared" si="75"/>
        <v>0</v>
      </c>
      <c r="EN33" s="7"/>
      <c r="EO33" s="7"/>
      <c r="EP33" s="11">
        <f t="shared" si="76"/>
        <v>0</v>
      </c>
      <c r="EQ33" s="8">
        <f t="shared" si="77"/>
        <v>0</v>
      </c>
      <c r="ER33" s="8">
        <f t="shared" si="77"/>
        <v>0</v>
      </c>
      <c r="ES33" s="11">
        <f t="shared" si="139"/>
        <v>0</v>
      </c>
      <c r="ET33" s="30">
        <f t="shared" si="140"/>
      </c>
      <c r="EU33" s="30">
        <f t="shared" si="140"/>
      </c>
      <c r="EV33" s="30">
        <f t="shared" si="140"/>
      </c>
      <c r="EW33" s="10"/>
      <c r="EX33" s="10"/>
      <c r="EY33" s="11">
        <f t="shared" si="78"/>
        <v>0</v>
      </c>
      <c r="EZ33" s="10"/>
      <c r="FA33" s="10"/>
      <c r="FB33" s="11">
        <f t="shared" si="79"/>
        <v>0</v>
      </c>
      <c r="FC33" s="7"/>
      <c r="FD33" s="7"/>
      <c r="FE33" s="7">
        <f t="shared" si="141"/>
        <v>0</v>
      </c>
      <c r="FF33" s="8">
        <f t="shared" si="80"/>
        <v>0</v>
      </c>
      <c r="FG33" s="8">
        <f t="shared" si="80"/>
        <v>0</v>
      </c>
      <c r="FH33" s="11">
        <f t="shared" si="142"/>
        <v>0</v>
      </c>
      <c r="FI33" s="30">
        <f t="shared" si="143"/>
      </c>
      <c r="FJ33" s="30">
        <f t="shared" si="143"/>
      </c>
      <c r="FK33" s="30">
        <f t="shared" si="143"/>
      </c>
      <c r="FL33" s="11">
        <f t="shared" si="81"/>
        <v>0</v>
      </c>
      <c r="FM33" s="11">
        <f t="shared" si="81"/>
        <v>0</v>
      </c>
      <c r="FN33" s="11">
        <f t="shared" si="82"/>
        <v>0</v>
      </c>
      <c r="FO33" s="11">
        <f t="shared" si="83"/>
        <v>0</v>
      </c>
      <c r="FP33" s="11">
        <f t="shared" si="83"/>
        <v>0</v>
      </c>
      <c r="FQ33" s="11">
        <f t="shared" si="84"/>
        <v>0</v>
      </c>
      <c r="FR33" s="11">
        <f t="shared" si="144"/>
        <v>0</v>
      </c>
      <c r="FS33" s="11">
        <f t="shared" si="144"/>
        <v>0</v>
      </c>
      <c r="FT33" s="11">
        <f t="shared" si="85"/>
        <v>0</v>
      </c>
      <c r="FU33" s="8">
        <f t="shared" si="86"/>
        <v>0</v>
      </c>
      <c r="FV33" s="8">
        <f t="shared" si="86"/>
        <v>0</v>
      </c>
      <c r="FW33" s="11">
        <f t="shared" si="145"/>
        <v>0</v>
      </c>
      <c r="FX33" s="30">
        <f t="shared" si="146"/>
      </c>
      <c r="FY33" s="30">
        <f t="shared" si="146"/>
      </c>
      <c r="FZ33" s="30">
        <f t="shared" si="146"/>
      </c>
      <c r="GA33" s="21">
        <f t="shared" si="147"/>
        <v>5117</v>
      </c>
      <c r="GB33" s="21">
        <f t="shared" si="148"/>
        <v>5648</v>
      </c>
      <c r="GC33" s="21">
        <f t="shared" si="149"/>
        <v>10765</v>
      </c>
      <c r="GD33" s="47">
        <v>169</v>
      </c>
      <c r="GE33" s="47">
        <v>315</v>
      </c>
      <c r="GF33" s="21">
        <f t="shared" si="87"/>
        <v>484</v>
      </c>
      <c r="GG33" s="21">
        <v>1028</v>
      </c>
      <c r="GH33" s="21">
        <v>1530</v>
      </c>
      <c r="GI33" s="21">
        <f t="shared" si="88"/>
        <v>2558</v>
      </c>
      <c r="GJ33" s="57">
        <f t="shared" si="89"/>
        <v>3.302716435411374</v>
      </c>
      <c r="GK33" s="57">
        <f t="shared" si="90"/>
        <v>5.577195467422096</v>
      </c>
      <c r="GL33" s="57">
        <f t="shared" si="91"/>
        <v>4.4960520204366</v>
      </c>
      <c r="GM33" s="46">
        <f t="shared" si="92"/>
        <v>20.089896423685754</v>
      </c>
      <c r="GN33" s="46">
        <f t="shared" si="93"/>
        <v>27.089235127478755</v>
      </c>
      <c r="GO33" s="46">
        <f t="shared" si="94"/>
        <v>23.762192289828146</v>
      </c>
      <c r="GP33" s="21">
        <f t="shared" si="95"/>
        <v>51</v>
      </c>
      <c r="GQ33" s="21">
        <f t="shared" si="96"/>
        <v>45</v>
      </c>
      <c r="GR33" s="21">
        <f t="shared" si="97"/>
        <v>96</v>
      </c>
      <c r="GS33" s="47">
        <v>6</v>
      </c>
      <c r="GT33" s="47">
        <v>3</v>
      </c>
      <c r="GU33" s="21">
        <f t="shared" si="98"/>
        <v>9</v>
      </c>
      <c r="GV33" s="21">
        <v>14</v>
      </c>
      <c r="GW33" s="21">
        <v>14</v>
      </c>
      <c r="GX33" s="21">
        <f t="shared" si="99"/>
        <v>28</v>
      </c>
      <c r="GY33" s="57">
        <f t="shared" si="100"/>
        <v>11.76470588235294</v>
      </c>
      <c r="GZ33" s="57">
        <f t="shared" si="101"/>
        <v>6.666666666666666</v>
      </c>
      <c r="HA33" s="57">
        <f t="shared" si="102"/>
        <v>9.375</v>
      </c>
      <c r="HB33" s="46">
        <f t="shared" si="103"/>
        <v>27.45098039215686</v>
      </c>
      <c r="HC33" s="46">
        <f t="shared" si="104"/>
        <v>31.11111111111111</v>
      </c>
      <c r="HD33" s="46">
        <f t="shared" si="105"/>
        <v>29.166666666666668</v>
      </c>
      <c r="HE33" s="21">
        <f t="shared" si="106"/>
        <v>4627</v>
      </c>
      <c r="HF33" s="21">
        <f t="shared" si="107"/>
        <v>5166</v>
      </c>
      <c r="HG33" s="21">
        <f t="shared" si="108"/>
        <v>9793</v>
      </c>
      <c r="HH33" s="47">
        <v>113</v>
      </c>
      <c r="HI33" s="47">
        <v>245</v>
      </c>
      <c r="HJ33" s="21">
        <f t="shared" si="109"/>
        <v>358</v>
      </c>
      <c r="HK33" s="21">
        <v>876</v>
      </c>
      <c r="HL33" s="21">
        <v>1375</v>
      </c>
      <c r="HM33" s="21">
        <f t="shared" si="110"/>
        <v>2251</v>
      </c>
      <c r="HN33" s="57">
        <f t="shared" si="111"/>
        <v>2.442187162308191</v>
      </c>
      <c r="HO33" s="57">
        <f>HI33/HF33%</f>
        <v>4.742547425474255</v>
      </c>
      <c r="HP33" s="57">
        <f t="shared" si="112"/>
        <v>3.655672419074849</v>
      </c>
      <c r="HQ33" s="46">
        <f t="shared" si="113"/>
        <v>18.932353576831638</v>
      </c>
      <c r="HR33" s="46">
        <f>HL33/HF33%</f>
        <v>26.61633759194735</v>
      </c>
      <c r="HS33" s="46">
        <f t="shared" si="114"/>
        <v>22.985806188093534</v>
      </c>
    </row>
    <row r="34" spans="1:227" ht="29.25" customHeight="1">
      <c r="A34" s="4">
        <v>25</v>
      </c>
      <c r="B34" s="6" t="s">
        <v>58</v>
      </c>
      <c r="C34" s="8">
        <v>191669</v>
      </c>
      <c r="D34" s="8">
        <v>177076</v>
      </c>
      <c r="E34" s="17">
        <f t="shared" si="154"/>
        <v>368745</v>
      </c>
      <c r="F34" s="8">
        <v>132361</v>
      </c>
      <c r="G34" s="8">
        <v>137565</v>
      </c>
      <c r="H34" s="9">
        <f t="shared" si="33"/>
        <v>269926</v>
      </c>
      <c r="I34" s="96"/>
      <c r="J34" s="96"/>
      <c r="K34" s="100"/>
      <c r="L34" s="8">
        <f t="shared" si="34"/>
        <v>132361</v>
      </c>
      <c r="M34" s="8">
        <f t="shared" si="34"/>
        <v>137565</v>
      </c>
      <c r="N34" s="8">
        <f t="shared" si="34"/>
        <v>269926</v>
      </c>
      <c r="O34" s="30">
        <f t="shared" si="32"/>
        <v>69.05707234868446</v>
      </c>
      <c r="P34" s="30">
        <f t="shared" si="32"/>
        <v>77.68698186089588</v>
      </c>
      <c r="Q34" s="30">
        <f t="shared" si="32"/>
        <v>73.20126374594909</v>
      </c>
      <c r="R34" s="94"/>
      <c r="S34" s="94"/>
      <c r="T34" s="98"/>
      <c r="U34" s="94"/>
      <c r="V34" s="94"/>
      <c r="W34" s="98"/>
      <c r="X34" s="96"/>
      <c r="Y34" s="96"/>
      <c r="Z34" s="93"/>
      <c r="AA34" s="94"/>
      <c r="AB34" s="94"/>
      <c r="AC34" s="93"/>
      <c r="AD34" s="95"/>
      <c r="AE34" s="95"/>
      <c r="AF34" s="95"/>
      <c r="AG34" s="11">
        <f t="shared" si="38"/>
        <v>191669</v>
      </c>
      <c r="AH34" s="11">
        <f t="shared" si="38"/>
        <v>177076</v>
      </c>
      <c r="AI34" s="11">
        <f t="shared" si="39"/>
        <v>368745</v>
      </c>
      <c r="AJ34" s="11">
        <f t="shared" si="40"/>
        <v>132361</v>
      </c>
      <c r="AK34" s="11">
        <f t="shared" si="40"/>
        <v>137565</v>
      </c>
      <c r="AL34" s="11">
        <f t="shared" si="41"/>
        <v>269926</v>
      </c>
      <c r="AM34" s="93"/>
      <c r="AN34" s="93"/>
      <c r="AO34" s="93"/>
      <c r="AP34" s="8">
        <f t="shared" si="43"/>
        <v>132361</v>
      </c>
      <c r="AQ34" s="8">
        <f t="shared" si="43"/>
        <v>137565</v>
      </c>
      <c r="AR34" s="11">
        <f t="shared" si="118"/>
        <v>269926</v>
      </c>
      <c r="AS34" s="30">
        <f t="shared" si="119"/>
        <v>69.05707234868446</v>
      </c>
      <c r="AT34" s="30">
        <f t="shared" si="119"/>
        <v>77.68698186089588</v>
      </c>
      <c r="AU34" s="30">
        <f t="shared" si="119"/>
        <v>73.20126374594909</v>
      </c>
      <c r="AV34" s="10">
        <v>29689</v>
      </c>
      <c r="AW34" s="10">
        <v>27221</v>
      </c>
      <c r="AX34" s="11">
        <f>AV34+AW34</f>
        <v>56910</v>
      </c>
      <c r="AY34" s="10">
        <v>18935</v>
      </c>
      <c r="AZ34" s="10">
        <v>19397</v>
      </c>
      <c r="BA34" s="11">
        <f t="shared" si="45"/>
        <v>38332</v>
      </c>
      <c r="BB34" s="96"/>
      <c r="BC34" s="96"/>
      <c r="BD34" s="93"/>
      <c r="BE34" s="8">
        <f t="shared" si="46"/>
        <v>18935</v>
      </c>
      <c r="BF34" s="8">
        <f t="shared" si="46"/>
        <v>19397</v>
      </c>
      <c r="BG34" s="11">
        <f t="shared" si="120"/>
        <v>38332</v>
      </c>
      <c r="BH34" s="30">
        <f t="shared" si="121"/>
        <v>63.77783017279127</v>
      </c>
      <c r="BI34" s="30">
        <f t="shared" si="121"/>
        <v>71.25748502994011</v>
      </c>
      <c r="BJ34" s="30">
        <f t="shared" si="121"/>
        <v>67.35547355473554</v>
      </c>
      <c r="BK34" s="92"/>
      <c r="BL34" s="92"/>
      <c r="BM34" s="93"/>
      <c r="BN34" s="92"/>
      <c r="BO34" s="92"/>
      <c r="BP34" s="93"/>
      <c r="BQ34" s="96"/>
      <c r="BR34" s="96"/>
      <c r="BS34" s="93"/>
      <c r="BT34" s="94"/>
      <c r="BU34" s="94"/>
      <c r="BV34" s="93"/>
      <c r="BW34" s="95"/>
      <c r="BX34" s="95"/>
      <c r="BY34" s="95"/>
      <c r="BZ34" s="11">
        <f t="shared" si="51"/>
        <v>29689</v>
      </c>
      <c r="CA34" s="11">
        <f t="shared" si="51"/>
        <v>27221</v>
      </c>
      <c r="CB34" s="11">
        <f t="shared" si="52"/>
        <v>56910</v>
      </c>
      <c r="CC34" s="11">
        <f t="shared" si="53"/>
        <v>18935</v>
      </c>
      <c r="CD34" s="11">
        <f t="shared" si="53"/>
        <v>19397</v>
      </c>
      <c r="CE34" s="11">
        <f t="shared" si="54"/>
        <v>38332</v>
      </c>
      <c r="CF34" s="93"/>
      <c r="CG34" s="93"/>
      <c r="CH34" s="93"/>
      <c r="CI34" s="8">
        <f t="shared" si="56"/>
        <v>18935</v>
      </c>
      <c r="CJ34" s="8">
        <f t="shared" si="56"/>
        <v>19397</v>
      </c>
      <c r="CK34" s="11">
        <f t="shared" si="126"/>
        <v>38332</v>
      </c>
      <c r="CL34" s="30">
        <f t="shared" si="127"/>
        <v>63.77783017279127</v>
      </c>
      <c r="CM34" s="30">
        <f t="shared" si="127"/>
        <v>71.25748502994011</v>
      </c>
      <c r="CN34" s="30">
        <f t="shared" si="127"/>
        <v>67.35547355473554</v>
      </c>
      <c r="CO34" s="10">
        <v>30945</v>
      </c>
      <c r="CP34" s="10">
        <v>29903</v>
      </c>
      <c r="CQ34" s="11">
        <f t="shared" si="171"/>
        <v>60848</v>
      </c>
      <c r="CR34" s="10">
        <v>18974</v>
      </c>
      <c r="CS34" s="10">
        <v>19980</v>
      </c>
      <c r="CT34" s="11">
        <f t="shared" si="173"/>
        <v>38954</v>
      </c>
      <c r="CU34" s="96"/>
      <c r="CV34" s="96"/>
      <c r="CW34" s="93"/>
      <c r="CX34" s="8">
        <f t="shared" si="59"/>
        <v>18974</v>
      </c>
      <c r="CY34" s="8">
        <f t="shared" si="60"/>
        <v>19980</v>
      </c>
      <c r="CZ34" s="11">
        <f t="shared" si="128"/>
        <v>38954</v>
      </c>
      <c r="DA34" s="30">
        <f t="shared" si="129"/>
        <v>61.31523671029245</v>
      </c>
      <c r="DB34" s="30">
        <f t="shared" si="130"/>
        <v>66.81603852456274</v>
      </c>
      <c r="DC34" s="30">
        <f t="shared" si="131"/>
        <v>64.01853799631868</v>
      </c>
      <c r="DD34" s="92"/>
      <c r="DE34" s="92"/>
      <c r="DF34" s="93"/>
      <c r="DG34" s="92"/>
      <c r="DH34" s="92"/>
      <c r="DI34" s="93"/>
      <c r="DJ34" s="96"/>
      <c r="DK34" s="96"/>
      <c r="DL34" s="96"/>
      <c r="DM34" s="94"/>
      <c r="DN34" s="94"/>
      <c r="DO34" s="93"/>
      <c r="DP34" s="95"/>
      <c r="DQ34" s="95"/>
      <c r="DR34" s="95"/>
      <c r="DS34" s="11">
        <f t="shared" si="65"/>
        <v>30945</v>
      </c>
      <c r="DT34" s="11">
        <f t="shared" si="66"/>
        <v>29903</v>
      </c>
      <c r="DU34" s="11">
        <f t="shared" si="67"/>
        <v>60848</v>
      </c>
      <c r="DV34" s="11">
        <f t="shared" si="68"/>
        <v>18974</v>
      </c>
      <c r="DW34" s="11">
        <f t="shared" si="69"/>
        <v>19980</v>
      </c>
      <c r="DX34" s="11">
        <f t="shared" si="70"/>
        <v>38954</v>
      </c>
      <c r="DY34" s="93"/>
      <c r="DZ34" s="93"/>
      <c r="EA34" s="93"/>
      <c r="EB34" s="8">
        <f t="shared" si="72"/>
        <v>18974</v>
      </c>
      <c r="EC34" s="8">
        <f t="shared" si="73"/>
        <v>19980</v>
      </c>
      <c r="ED34" s="11">
        <f t="shared" si="135"/>
        <v>38954</v>
      </c>
      <c r="EE34" s="30">
        <f t="shared" si="136"/>
        <v>61.31523671029245</v>
      </c>
      <c r="EF34" s="30">
        <f t="shared" si="137"/>
        <v>66.81603852456274</v>
      </c>
      <c r="EG34" s="30">
        <f t="shared" si="138"/>
        <v>64.01853799631868</v>
      </c>
      <c r="EH34" s="10"/>
      <c r="EI34" s="10"/>
      <c r="EJ34" s="11">
        <f t="shared" si="74"/>
        <v>0</v>
      </c>
      <c r="EK34" s="10"/>
      <c r="EL34" s="10"/>
      <c r="EM34" s="11">
        <f t="shared" si="75"/>
        <v>0</v>
      </c>
      <c r="EN34" s="7"/>
      <c r="EO34" s="7"/>
      <c r="EP34" s="11">
        <f t="shared" si="76"/>
        <v>0</v>
      </c>
      <c r="EQ34" s="8">
        <f t="shared" si="77"/>
        <v>0</v>
      </c>
      <c r="ER34" s="8">
        <f t="shared" si="77"/>
        <v>0</v>
      </c>
      <c r="ES34" s="11">
        <f t="shared" si="139"/>
        <v>0</v>
      </c>
      <c r="ET34" s="30">
        <f t="shared" si="140"/>
      </c>
      <c r="EU34" s="30">
        <f t="shared" si="140"/>
      </c>
      <c r="EV34" s="30">
        <f t="shared" si="140"/>
      </c>
      <c r="EW34" s="10"/>
      <c r="EX34" s="10"/>
      <c r="EY34" s="11">
        <f t="shared" si="78"/>
        <v>0</v>
      </c>
      <c r="EZ34" s="10"/>
      <c r="FA34" s="10"/>
      <c r="FB34" s="11">
        <f t="shared" si="79"/>
        <v>0</v>
      </c>
      <c r="FC34" s="7"/>
      <c r="FD34" s="7"/>
      <c r="FE34" s="7">
        <f t="shared" si="141"/>
        <v>0</v>
      </c>
      <c r="FF34" s="8">
        <f t="shared" si="80"/>
        <v>0</v>
      </c>
      <c r="FG34" s="8">
        <f t="shared" si="80"/>
        <v>0</v>
      </c>
      <c r="FH34" s="11">
        <f t="shared" si="142"/>
        <v>0</v>
      </c>
      <c r="FI34" s="30">
        <f t="shared" si="143"/>
      </c>
      <c r="FJ34" s="30">
        <f t="shared" si="143"/>
      </c>
      <c r="FK34" s="30">
        <f t="shared" si="143"/>
      </c>
      <c r="FL34" s="11">
        <f t="shared" si="81"/>
        <v>0</v>
      </c>
      <c r="FM34" s="11">
        <f t="shared" si="81"/>
        <v>0</v>
      </c>
      <c r="FN34" s="11">
        <f t="shared" si="82"/>
        <v>0</v>
      </c>
      <c r="FO34" s="11">
        <f t="shared" si="83"/>
        <v>0</v>
      </c>
      <c r="FP34" s="11">
        <f t="shared" si="83"/>
        <v>0</v>
      </c>
      <c r="FQ34" s="11">
        <f t="shared" si="84"/>
        <v>0</v>
      </c>
      <c r="FR34" s="11">
        <f t="shared" si="144"/>
        <v>0</v>
      </c>
      <c r="FS34" s="11">
        <f t="shared" si="144"/>
        <v>0</v>
      </c>
      <c r="FT34" s="11">
        <f t="shared" si="85"/>
        <v>0</v>
      </c>
      <c r="FU34" s="8">
        <f t="shared" si="86"/>
        <v>0</v>
      </c>
      <c r="FV34" s="8">
        <f t="shared" si="86"/>
        <v>0</v>
      </c>
      <c r="FW34" s="11">
        <f t="shared" si="145"/>
        <v>0</v>
      </c>
      <c r="FX34" s="30">
        <f t="shared" si="146"/>
      </c>
      <c r="FY34" s="30">
        <f t="shared" si="146"/>
      </c>
      <c r="FZ34" s="30">
        <f t="shared" si="146"/>
      </c>
      <c r="GA34" s="21">
        <f t="shared" si="147"/>
        <v>132361</v>
      </c>
      <c r="GB34" s="21">
        <f t="shared" si="148"/>
        <v>137565</v>
      </c>
      <c r="GC34" s="21">
        <f t="shared" si="149"/>
        <v>269926</v>
      </c>
      <c r="GD34" s="47">
        <v>2403</v>
      </c>
      <c r="GE34" s="47">
        <v>1378</v>
      </c>
      <c r="GF34" s="21">
        <f t="shared" si="87"/>
        <v>3781</v>
      </c>
      <c r="GG34" s="21">
        <v>9381</v>
      </c>
      <c r="GH34" s="21">
        <v>7067</v>
      </c>
      <c r="GI34" s="21">
        <f t="shared" si="88"/>
        <v>16448</v>
      </c>
      <c r="GJ34" s="57">
        <f t="shared" si="89"/>
        <v>1.8154894568641822</v>
      </c>
      <c r="GK34" s="57">
        <f t="shared" si="90"/>
        <v>1.0017082833569584</v>
      </c>
      <c r="GL34" s="57">
        <f t="shared" si="91"/>
        <v>1.4007542808028866</v>
      </c>
      <c r="GM34" s="46">
        <f t="shared" si="92"/>
        <v>7.0874351206171005</v>
      </c>
      <c r="GN34" s="46">
        <f t="shared" si="93"/>
        <v>5.137207865372733</v>
      </c>
      <c r="GO34" s="46">
        <f t="shared" si="94"/>
        <v>6.093521928232182</v>
      </c>
      <c r="GP34" s="21">
        <f t="shared" si="95"/>
        <v>18935</v>
      </c>
      <c r="GQ34" s="21">
        <f t="shared" si="96"/>
        <v>19397</v>
      </c>
      <c r="GR34" s="21">
        <f t="shared" si="97"/>
        <v>38332</v>
      </c>
      <c r="GS34" s="47">
        <v>120</v>
      </c>
      <c r="GT34" s="47">
        <v>51</v>
      </c>
      <c r="GU34" s="21">
        <f t="shared" si="98"/>
        <v>171</v>
      </c>
      <c r="GV34" s="21">
        <v>761</v>
      </c>
      <c r="GW34" s="21">
        <v>425</v>
      </c>
      <c r="GX34" s="21">
        <f t="shared" si="99"/>
        <v>1186</v>
      </c>
      <c r="GY34" s="57">
        <f t="shared" si="100"/>
        <v>0.6337470293108001</v>
      </c>
      <c r="GZ34" s="57">
        <f t="shared" si="101"/>
        <v>0.26292725679228746</v>
      </c>
      <c r="HA34" s="57">
        <f t="shared" si="102"/>
        <v>0.4461024731295002</v>
      </c>
      <c r="HB34" s="46">
        <f t="shared" si="103"/>
        <v>4.019012410879324</v>
      </c>
      <c r="HC34" s="46">
        <f t="shared" si="104"/>
        <v>2.1910604732690624</v>
      </c>
      <c r="HD34" s="46">
        <f t="shared" si="105"/>
        <v>3.094020661588229</v>
      </c>
      <c r="HE34" s="21">
        <f t="shared" si="106"/>
        <v>18974</v>
      </c>
      <c r="HF34" s="21">
        <f t="shared" si="107"/>
        <v>19980</v>
      </c>
      <c r="HG34" s="21">
        <f t="shared" si="108"/>
        <v>38954</v>
      </c>
      <c r="HH34" s="47">
        <v>35</v>
      </c>
      <c r="HI34" s="47">
        <v>19</v>
      </c>
      <c r="HJ34" s="21">
        <f t="shared" si="109"/>
        <v>54</v>
      </c>
      <c r="HK34" s="21">
        <v>362</v>
      </c>
      <c r="HL34" s="21">
        <v>303</v>
      </c>
      <c r="HM34" s="21">
        <f t="shared" si="110"/>
        <v>665</v>
      </c>
      <c r="HN34" s="57">
        <f t="shared" si="111"/>
        <v>0.18446294929904078</v>
      </c>
      <c r="HO34" s="57">
        <f>HI34/HF34%</f>
        <v>0.09509509509509509</v>
      </c>
      <c r="HP34" s="57">
        <f t="shared" si="112"/>
        <v>0.13862504492478306</v>
      </c>
      <c r="HQ34" s="46">
        <f t="shared" si="113"/>
        <v>1.9078739327500789</v>
      </c>
      <c r="HR34" s="46">
        <f>HL34/HF34%</f>
        <v>1.5165165165165164</v>
      </c>
      <c r="HS34" s="46">
        <f t="shared" si="114"/>
        <v>1.7071417569440879</v>
      </c>
    </row>
    <row r="35" spans="1:227" ht="29.25" customHeight="1">
      <c r="A35" s="4">
        <v>26</v>
      </c>
      <c r="B35" s="6" t="s">
        <v>59</v>
      </c>
      <c r="C35" s="8">
        <v>179039</v>
      </c>
      <c r="D35" s="8">
        <v>139414</v>
      </c>
      <c r="E35" s="17">
        <f t="shared" si="154"/>
        <v>318453</v>
      </c>
      <c r="F35" s="8">
        <v>127340</v>
      </c>
      <c r="G35" s="8">
        <v>117147</v>
      </c>
      <c r="H35" s="9">
        <f t="shared" si="33"/>
        <v>244487</v>
      </c>
      <c r="I35" s="92"/>
      <c r="J35" s="92"/>
      <c r="K35" s="100"/>
      <c r="L35" s="8">
        <f t="shared" si="34"/>
        <v>127340</v>
      </c>
      <c r="M35" s="8">
        <f t="shared" si="34"/>
        <v>117147</v>
      </c>
      <c r="N35" s="8">
        <f t="shared" si="34"/>
        <v>244487</v>
      </c>
      <c r="O35" s="30">
        <f t="shared" si="32"/>
        <v>71.12416847725915</v>
      </c>
      <c r="P35" s="30">
        <f t="shared" si="32"/>
        <v>84.0281463841508</v>
      </c>
      <c r="Q35" s="30">
        <f t="shared" si="32"/>
        <v>76.7733386088371</v>
      </c>
      <c r="R35" s="94"/>
      <c r="S35" s="94"/>
      <c r="T35" s="98"/>
      <c r="U35" s="94"/>
      <c r="V35" s="94"/>
      <c r="W35" s="98"/>
      <c r="X35" s="92"/>
      <c r="Y35" s="92"/>
      <c r="Z35" s="93"/>
      <c r="AA35" s="94"/>
      <c r="AB35" s="94"/>
      <c r="AC35" s="93"/>
      <c r="AD35" s="95"/>
      <c r="AE35" s="95"/>
      <c r="AF35" s="95"/>
      <c r="AG35" s="11">
        <f t="shared" si="38"/>
        <v>179039</v>
      </c>
      <c r="AH35" s="11">
        <f t="shared" si="38"/>
        <v>139414</v>
      </c>
      <c r="AI35" s="11">
        <f t="shared" si="39"/>
        <v>318453</v>
      </c>
      <c r="AJ35" s="11">
        <f t="shared" si="40"/>
        <v>127340</v>
      </c>
      <c r="AK35" s="11">
        <f t="shared" si="40"/>
        <v>117147</v>
      </c>
      <c r="AL35" s="11">
        <f>AJ35+AK35</f>
        <v>244487</v>
      </c>
      <c r="AM35" s="93"/>
      <c r="AN35" s="93"/>
      <c r="AO35" s="93"/>
      <c r="AP35" s="8">
        <f t="shared" si="43"/>
        <v>127340</v>
      </c>
      <c r="AQ35" s="8">
        <f t="shared" si="43"/>
        <v>117147</v>
      </c>
      <c r="AR35" s="11">
        <f t="shared" si="118"/>
        <v>244487</v>
      </c>
      <c r="AS35" s="30">
        <f t="shared" si="119"/>
        <v>71.12416847725915</v>
      </c>
      <c r="AT35" s="30">
        <f t="shared" si="119"/>
        <v>84.0281463841508</v>
      </c>
      <c r="AU35" s="30">
        <f t="shared" si="119"/>
        <v>76.7733386088371</v>
      </c>
      <c r="AV35" s="10">
        <v>52631</v>
      </c>
      <c r="AW35" s="10">
        <v>48295</v>
      </c>
      <c r="AX35" s="11">
        <f t="shared" si="44"/>
        <v>100926</v>
      </c>
      <c r="AY35" s="10">
        <v>34632</v>
      </c>
      <c r="AZ35" s="10">
        <v>38080</v>
      </c>
      <c r="BA35" s="11">
        <f t="shared" si="45"/>
        <v>72712</v>
      </c>
      <c r="BB35" s="92"/>
      <c r="BC35" s="92"/>
      <c r="BD35" s="93"/>
      <c r="BE35" s="8">
        <f t="shared" si="46"/>
        <v>34632</v>
      </c>
      <c r="BF35" s="8">
        <f t="shared" si="46"/>
        <v>38080</v>
      </c>
      <c r="BG35" s="11">
        <f t="shared" si="120"/>
        <v>72712</v>
      </c>
      <c r="BH35" s="30">
        <f t="shared" si="121"/>
        <v>65.80152381676199</v>
      </c>
      <c r="BI35" s="30">
        <f t="shared" si="121"/>
        <v>78.84874210580806</v>
      </c>
      <c r="BJ35" s="30">
        <f t="shared" si="121"/>
        <v>72.04486455422784</v>
      </c>
      <c r="BK35" s="92"/>
      <c r="BL35" s="92"/>
      <c r="BM35" s="93"/>
      <c r="BN35" s="92"/>
      <c r="BO35" s="92"/>
      <c r="BP35" s="93"/>
      <c r="BQ35" s="92"/>
      <c r="BR35" s="92"/>
      <c r="BS35" s="93"/>
      <c r="BT35" s="94"/>
      <c r="BU35" s="94"/>
      <c r="BV35" s="93"/>
      <c r="BW35" s="95"/>
      <c r="BX35" s="95"/>
      <c r="BY35" s="95"/>
      <c r="BZ35" s="11">
        <f t="shared" si="51"/>
        <v>52631</v>
      </c>
      <c r="CA35" s="11">
        <f t="shared" si="51"/>
        <v>48295</v>
      </c>
      <c r="CB35" s="11">
        <f t="shared" si="52"/>
        <v>100926</v>
      </c>
      <c r="CC35" s="11">
        <f t="shared" si="53"/>
        <v>34632</v>
      </c>
      <c r="CD35" s="11">
        <f t="shared" si="53"/>
        <v>38080</v>
      </c>
      <c r="CE35" s="11">
        <f t="shared" si="54"/>
        <v>72712</v>
      </c>
      <c r="CF35" s="93"/>
      <c r="CG35" s="93"/>
      <c r="CH35" s="93"/>
      <c r="CI35" s="8">
        <f t="shared" si="56"/>
        <v>34632</v>
      </c>
      <c r="CJ35" s="8">
        <f t="shared" si="56"/>
        <v>38080</v>
      </c>
      <c r="CK35" s="11">
        <f t="shared" si="126"/>
        <v>72712</v>
      </c>
      <c r="CL35" s="30">
        <f t="shared" si="127"/>
        <v>65.80152381676199</v>
      </c>
      <c r="CM35" s="30">
        <f t="shared" si="127"/>
        <v>78.84874210580806</v>
      </c>
      <c r="CN35" s="30">
        <f t="shared" si="127"/>
        <v>72.04486455422784</v>
      </c>
      <c r="CO35" s="10">
        <v>57</v>
      </c>
      <c r="CP35" s="10">
        <v>34</v>
      </c>
      <c r="CQ35" s="11">
        <f t="shared" si="171"/>
        <v>91</v>
      </c>
      <c r="CR35" s="10">
        <v>39</v>
      </c>
      <c r="CS35" s="10">
        <v>29</v>
      </c>
      <c r="CT35" s="11">
        <f t="shared" si="173"/>
        <v>68</v>
      </c>
      <c r="CU35" s="92"/>
      <c r="CV35" s="92"/>
      <c r="CW35" s="93"/>
      <c r="CX35" s="8">
        <f t="shared" si="59"/>
        <v>39</v>
      </c>
      <c r="CY35" s="8">
        <f t="shared" si="60"/>
        <v>29</v>
      </c>
      <c r="CZ35" s="11">
        <f t="shared" si="128"/>
        <v>68</v>
      </c>
      <c r="DA35" s="30">
        <f t="shared" si="129"/>
        <v>68.42105263157895</v>
      </c>
      <c r="DB35" s="30">
        <f t="shared" si="130"/>
        <v>85.29411764705883</v>
      </c>
      <c r="DC35" s="30">
        <f t="shared" si="131"/>
        <v>74.72527472527473</v>
      </c>
      <c r="DD35" s="92"/>
      <c r="DE35" s="92"/>
      <c r="DF35" s="93"/>
      <c r="DG35" s="92"/>
      <c r="DH35" s="92"/>
      <c r="DI35" s="93"/>
      <c r="DJ35" s="92"/>
      <c r="DK35" s="92"/>
      <c r="DL35" s="96"/>
      <c r="DM35" s="96"/>
      <c r="DN35" s="96"/>
      <c r="DO35" s="96"/>
      <c r="DP35" s="95"/>
      <c r="DQ35" s="95"/>
      <c r="DR35" s="95"/>
      <c r="DS35" s="11">
        <f t="shared" si="65"/>
        <v>57</v>
      </c>
      <c r="DT35" s="11">
        <f t="shared" si="66"/>
        <v>34</v>
      </c>
      <c r="DU35" s="11">
        <f t="shared" si="67"/>
        <v>91</v>
      </c>
      <c r="DV35" s="11">
        <f t="shared" si="68"/>
        <v>39</v>
      </c>
      <c r="DW35" s="11">
        <f t="shared" si="69"/>
        <v>29</v>
      </c>
      <c r="DX35" s="11">
        <f t="shared" si="70"/>
        <v>68</v>
      </c>
      <c r="DY35" s="93"/>
      <c r="DZ35" s="93"/>
      <c r="EA35" s="93"/>
      <c r="EB35" s="8">
        <f t="shared" si="72"/>
        <v>39</v>
      </c>
      <c r="EC35" s="8">
        <f t="shared" si="73"/>
        <v>29</v>
      </c>
      <c r="ED35" s="11">
        <f t="shared" si="135"/>
        <v>68</v>
      </c>
      <c r="EE35" s="30">
        <f t="shared" si="136"/>
        <v>68.42105263157895</v>
      </c>
      <c r="EF35" s="30">
        <f t="shared" si="137"/>
        <v>85.29411764705883</v>
      </c>
      <c r="EG35" s="30">
        <f t="shared" si="138"/>
        <v>74.72527472527473</v>
      </c>
      <c r="EH35" s="10">
        <v>10166</v>
      </c>
      <c r="EI35" s="10">
        <v>10024</v>
      </c>
      <c r="EJ35" s="11">
        <f t="shared" si="74"/>
        <v>20190</v>
      </c>
      <c r="EK35" s="10">
        <v>7034</v>
      </c>
      <c r="EL35" s="10">
        <v>8159</v>
      </c>
      <c r="EM35" s="11">
        <f t="shared" si="75"/>
        <v>15193</v>
      </c>
      <c r="EN35" s="10">
        <v>1805</v>
      </c>
      <c r="EO35" s="10">
        <v>1563</v>
      </c>
      <c r="EP35" s="11">
        <f t="shared" si="76"/>
        <v>3368</v>
      </c>
      <c r="EQ35" s="8">
        <f t="shared" si="77"/>
        <v>8839</v>
      </c>
      <c r="ER35" s="8">
        <f t="shared" si="77"/>
        <v>9722</v>
      </c>
      <c r="ES35" s="11">
        <f t="shared" si="139"/>
        <v>18561</v>
      </c>
      <c r="ET35" s="30">
        <f t="shared" si="140"/>
        <v>86.94668502852646</v>
      </c>
      <c r="EU35" s="30">
        <f t="shared" si="140"/>
        <v>96.98723064644852</v>
      </c>
      <c r="EV35" s="30">
        <f t="shared" si="140"/>
        <v>91.93164933135215</v>
      </c>
      <c r="EW35" s="10"/>
      <c r="EX35" s="10"/>
      <c r="EY35" s="11">
        <f t="shared" si="78"/>
        <v>0</v>
      </c>
      <c r="EZ35" s="10"/>
      <c r="FA35" s="10"/>
      <c r="FB35" s="11">
        <f t="shared" si="79"/>
        <v>0</v>
      </c>
      <c r="FC35" s="10"/>
      <c r="FD35" s="10"/>
      <c r="FE35" s="7">
        <f t="shared" si="141"/>
        <v>0</v>
      </c>
      <c r="FF35" s="8">
        <f t="shared" si="80"/>
        <v>0</v>
      </c>
      <c r="FG35" s="8">
        <f t="shared" si="80"/>
        <v>0</v>
      </c>
      <c r="FH35" s="11">
        <f t="shared" si="142"/>
        <v>0</v>
      </c>
      <c r="FI35" s="30">
        <f t="shared" si="143"/>
      </c>
      <c r="FJ35" s="30">
        <f t="shared" si="143"/>
      </c>
      <c r="FK35" s="30">
        <f t="shared" si="143"/>
      </c>
      <c r="FL35" s="11">
        <f t="shared" si="81"/>
        <v>10166</v>
      </c>
      <c r="FM35" s="11">
        <f t="shared" si="81"/>
        <v>10024</v>
      </c>
      <c r="FN35" s="11">
        <f t="shared" si="82"/>
        <v>20190</v>
      </c>
      <c r="FO35" s="11">
        <f t="shared" si="83"/>
        <v>7034</v>
      </c>
      <c r="FP35" s="11">
        <f t="shared" si="83"/>
        <v>8159</v>
      </c>
      <c r="FQ35" s="11">
        <f t="shared" si="84"/>
        <v>15193</v>
      </c>
      <c r="FR35" s="11">
        <f t="shared" si="144"/>
        <v>1805</v>
      </c>
      <c r="FS35" s="11">
        <f t="shared" si="144"/>
        <v>1563</v>
      </c>
      <c r="FT35" s="11">
        <f t="shared" si="85"/>
        <v>3368</v>
      </c>
      <c r="FU35" s="8">
        <f t="shared" si="86"/>
        <v>8839</v>
      </c>
      <c r="FV35" s="8">
        <f t="shared" si="86"/>
        <v>9722</v>
      </c>
      <c r="FW35" s="11">
        <f t="shared" si="145"/>
        <v>18561</v>
      </c>
      <c r="FX35" s="30">
        <f t="shared" si="146"/>
        <v>86.94668502852646</v>
      </c>
      <c r="FY35" s="30">
        <f t="shared" si="146"/>
        <v>96.98723064644852</v>
      </c>
      <c r="FZ35" s="30">
        <f t="shared" si="146"/>
        <v>91.93164933135215</v>
      </c>
      <c r="GA35" s="21">
        <f t="shared" si="147"/>
        <v>127340</v>
      </c>
      <c r="GB35" s="21">
        <f t="shared" si="148"/>
        <v>117147</v>
      </c>
      <c r="GC35" s="21">
        <f t="shared" si="149"/>
        <v>244487</v>
      </c>
      <c r="GD35" s="98"/>
      <c r="GE35" s="98"/>
      <c r="GF35" s="98"/>
      <c r="GG35" s="98"/>
      <c r="GH35" s="98"/>
      <c r="GI35" s="98"/>
      <c r="GJ35" s="95"/>
      <c r="GK35" s="95"/>
      <c r="GL35" s="95"/>
      <c r="GM35" s="103"/>
      <c r="GN35" s="103"/>
      <c r="GO35" s="46">
        <f t="shared" si="94"/>
        <v>0</v>
      </c>
      <c r="GP35" s="21">
        <f t="shared" si="95"/>
        <v>34632</v>
      </c>
      <c r="GQ35" s="21">
        <f t="shared" si="96"/>
        <v>38080</v>
      </c>
      <c r="GR35" s="21">
        <f t="shared" si="97"/>
        <v>72712</v>
      </c>
      <c r="GS35" s="98"/>
      <c r="GT35" s="98"/>
      <c r="GU35" s="98"/>
      <c r="GV35" s="98"/>
      <c r="GW35" s="98"/>
      <c r="GX35" s="98"/>
      <c r="GY35" s="95"/>
      <c r="GZ35" s="95"/>
      <c r="HA35" s="95"/>
      <c r="HB35" s="103"/>
      <c r="HC35" s="103"/>
      <c r="HD35" s="103"/>
      <c r="HE35" s="21">
        <f t="shared" si="106"/>
        <v>39</v>
      </c>
      <c r="HF35" s="21">
        <f t="shared" si="107"/>
        <v>29</v>
      </c>
      <c r="HG35" s="21">
        <f t="shared" si="108"/>
        <v>68</v>
      </c>
      <c r="HH35" s="98"/>
      <c r="HI35" s="98"/>
      <c r="HJ35" s="98"/>
      <c r="HK35" s="98"/>
      <c r="HL35" s="98"/>
      <c r="HM35" s="98"/>
      <c r="HN35" s="95"/>
      <c r="HO35" s="95"/>
      <c r="HP35" s="95"/>
      <c r="HQ35" s="103"/>
      <c r="HR35" s="103"/>
      <c r="HS35" s="103"/>
    </row>
    <row r="36" spans="1:227" ht="29.25" customHeight="1">
      <c r="A36" s="4">
        <v>27</v>
      </c>
      <c r="B36" s="80" t="s">
        <v>92</v>
      </c>
      <c r="C36" s="8">
        <v>480493</v>
      </c>
      <c r="D36" s="8">
        <v>306533</v>
      </c>
      <c r="E36" s="17">
        <f t="shared" si="154"/>
        <v>787026</v>
      </c>
      <c r="F36" s="8">
        <v>407842</v>
      </c>
      <c r="G36" s="8">
        <v>277812</v>
      </c>
      <c r="H36" s="9">
        <f t="shared" si="33"/>
        <v>685654</v>
      </c>
      <c r="I36" s="16">
        <v>11641</v>
      </c>
      <c r="J36" s="16">
        <v>6969</v>
      </c>
      <c r="K36" s="12">
        <f t="shared" si="155"/>
        <v>18610</v>
      </c>
      <c r="L36" s="8">
        <f>SUM(F36,I36)</f>
        <v>419483</v>
      </c>
      <c r="M36" s="8">
        <f>SUM(G36,J36)</f>
        <v>284781</v>
      </c>
      <c r="N36" s="8">
        <f>SUM(H36,K36)</f>
        <v>704264</v>
      </c>
      <c r="O36" s="30">
        <f>L36/C36*100</f>
        <v>87.30262459598787</v>
      </c>
      <c r="P36" s="30">
        <f>M36/D36*100</f>
        <v>92.90386353182201</v>
      </c>
      <c r="Q36" s="30">
        <f t="shared" si="32"/>
        <v>89.48421017857098</v>
      </c>
      <c r="R36" s="8">
        <v>11328</v>
      </c>
      <c r="S36" s="8">
        <v>7925</v>
      </c>
      <c r="T36" s="9">
        <f>R36+S36</f>
        <v>19253</v>
      </c>
      <c r="U36" s="8">
        <v>2650</v>
      </c>
      <c r="V36" s="8">
        <v>2128</v>
      </c>
      <c r="W36" s="9">
        <f>U36+V36</f>
        <v>4778</v>
      </c>
      <c r="X36" s="10">
        <v>582</v>
      </c>
      <c r="Y36" s="10">
        <v>640</v>
      </c>
      <c r="Z36" s="11">
        <f t="shared" si="36"/>
        <v>1222</v>
      </c>
      <c r="AA36" s="8">
        <f aca="true" t="shared" si="174" ref="AA36:AB39">SUM(U36,X36)</f>
        <v>3232</v>
      </c>
      <c r="AB36" s="8">
        <f t="shared" si="174"/>
        <v>2768</v>
      </c>
      <c r="AC36" s="11">
        <f>SUM(AA36,AB36)</f>
        <v>6000</v>
      </c>
      <c r="AD36" s="30">
        <f>IF(R36=0,"",AA36/R36*100)</f>
        <v>28.53107344632768</v>
      </c>
      <c r="AE36" s="30">
        <f>IF(S36=0,"",AB36/S36*100)</f>
        <v>34.927444794952685</v>
      </c>
      <c r="AF36" s="30">
        <f>IF(T36=0,"",AC36/T36*100)</f>
        <v>31.163974445540955</v>
      </c>
      <c r="AG36" s="11">
        <f t="shared" si="38"/>
        <v>491821</v>
      </c>
      <c r="AH36" s="11">
        <f t="shared" si="38"/>
        <v>314458</v>
      </c>
      <c r="AI36" s="11">
        <f t="shared" si="39"/>
        <v>806279</v>
      </c>
      <c r="AJ36" s="11">
        <f t="shared" si="40"/>
        <v>410492</v>
      </c>
      <c r="AK36" s="11">
        <f t="shared" si="40"/>
        <v>279940</v>
      </c>
      <c r="AL36" s="11">
        <f t="shared" si="41"/>
        <v>690432</v>
      </c>
      <c r="AM36" s="11">
        <f>I36+X36</f>
        <v>12223</v>
      </c>
      <c r="AN36" s="11">
        <f>J36+Y36</f>
        <v>7609</v>
      </c>
      <c r="AO36" s="11">
        <f>AM36+AN36</f>
        <v>19832</v>
      </c>
      <c r="AP36" s="8">
        <f>SUM(AJ36,AM36)</f>
        <v>422715</v>
      </c>
      <c r="AQ36" s="8">
        <f>SUM(AK36,AN36)</f>
        <v>287549</v>
      </c>
      <c r="AR36" s="11">
        <f>SUM(AP36,AQ36)</f>
        <v>710264</v>
      </c>
      <c r="AS36" s="30">
        <f>IF(AG36=0,"",AP36/AG36*100)</f>
        <v>85.94895297272788</v>
      </c>
      <c r="AT36" s="30">
        <f>IF(AH36=0,"",AQ36/AH36*100)</f>
        <v>91.44273639086937</v>
      </c>
      <c r="AU36" s="30">
        <f>IF(AI36=0,"",AR36/AI36*100)</f>
        <v>88.09159112416421</v>
      </c>
      <c r="AV36" s="10">
        <v>81612</v>
      </c>
      <c r="AW36" s="10">
        <v>49184</v>
      </c>
      <c r="AX36" s="11">
        <f t="shared" si="44"/>
        <v>130796</v>
      </c>
      <c r="AY36" s="10">
        <v>68188</v>
      </c>
      <c r="AZ36" s="10">
        <v>43794</v>
      </c>
      <c r="BA36" s="11">
        <f t="shared" si="45"/>
        <v>111982</v>
      </c>
      <c r="BB36" s="7">
        <v>2165</v>
      </c>
      <c r="BC36" s="7">
        <v>1372</v>
      </c>
      <c r="BD36" s="11">
        <f t="shared" si="162"/>
        <v>3537</v>
      </c>
      <c r="BE36" s="8">
        <f>SUM(AY36,BB36)</f>
        <v>70353</v>
      </c>
      <c r="BF36" s="8">
        <f>SUM(AZ36,BC36)</f>
        <v>45166</v>
      </c>
      <c r="BG36" s="11">
        <f>SUM(BE36,BF36)</f>
        <v>115519</v>
      </c>
      <c r="BH36" s="30">
        <f>IF(AV36=0,"",BE36/AV36*100)</f>
        <v>86.20423467137186</v>
      </c>
      <c r="BI36" s="30">
        <f>IF(AW36=0,"",BF36/AW36*100)</f>
        <v>91.83067664281067</v>
      </c>
      <c r="BJ36" s="30">
        <f>IF(AX36=0,"",BG36/AX36*100)</f>
        <v>88.31997920425701</v>
      </c>
      <c r="BK36" s="10">
        <v>1932</v>
      </c>
      <c r="BL36" s="10">
        <v>1340</v>
      </c>
      <c r="BM36" s="11">
        <f>BK36+BL36</f>
        <v>3272</v>
      </c>
      <c r="BN36" s="10">
        <v>388</v>
      </c>
      <c r="BO36" s="10">
        <v>298</v>
      </c>
      <c r="BP36" s="11">
        <f>BN36+BO36</f>
        <v>686</v>
      </c>
      <c r="BQ36" s="10">
        <v>104</v>
      </c>
      <c r="BR36" s="10">
        <v>106</v>
      </c>
      <c r="BS36" s="11">
        <f t="shared" si="49"/>
        <v>210</v>
      </c>
      <c r="BT36" s="8">
        <f>SUM(BN36,BQ36)</f>
        <v>492</v>
      </c>
      <c r="BU36" s="8">
        <f>SUM(BO36,BR36)</f>
        <v>404</v>
      </c>
      <c r="BV36" s="11">
        <f>SUM(BT36,BU36)</f>
        <v>896</v>
      </c>
      <c r="BW36" s="30">
        <f>IF(BK36=0,"",BT36/BK36*100)</f>
        <v>25.465838509316768</v>
      </c>
      <c r="BX36" s="30">
        <f>IF(BL36=0,"",BU36/BL36*100)</f>
        <v>30.149253731343283</v>
      </c>
      <c r="BY36" s="30">
        <f>IF(BM36=0,"",BV36/BM36*100)</f>
        <v>27.383863080684595</v>
      </c>
      <c r="BZ36" s="11">
        <f t="shared" si="51"/>
        <v>83544</v>
      </c>
      <c r="CA36" s="11">
        <f t="shared" si="51"/>
        <v>50524</v>
      </c>
      <c r="CB36" s="11">
        <f t="shared" si="52"/>
        <v>134068</v>
      </c>
      <c r="CC36" s="11">
        <f t="shared" si="53"/>
        <v>68576</v>
      </c>
      <c r="CD36" s="11">
        <f t="shared" si="53"/>
        <v>44092</v>
      </c>
      <c r="CE36" s="11">
        <f t="shared" si="54"/>
        <v>112668</v>
      </c>
      <c r="CF36" s="11">
        <f>BB36+BQ36</f>
        <v>2269</v>
      </c>
      <c r="CG36" s="11">
        <f>BC36+BR36</f>
        <v>1478</v>
      </c>
      <c r="CH36" s="11">
        <f>CF36+CG36</f>
        <v>3747</v>
      </c>
      <c r="CI36" s="8">
        <f>SUM(CC36,CF36)</f>
        <v>70845</v>
      </c>
      <c r="CJ36" s="8">
        <f>SUM(CD36,CG36)</f>
        <v>45570</v>
      </c>
      <c r="CK36" s="11">
        <f>SUM(CI36,CJ36)</f>
        <v>116415</v>
      </c>
      <c r="CL36" s="30">
        <f>IF(BZ36=0,"",CI36/BZ36*100)</f>
        <v>84.79962654409653</v>
      </c>
      <c r="CM36" s="30">
        <f>IF(CA36=0,"",CJ36/CA36*100)</f>
        <v>90.19475892645079</v>
      </c>
      <c r="CN36" s="30">
        <f>IF(CB36=0,"",CK36/CB36*100)</f>
        <v>86.83280126502969</v>
      </c>
      <c r="CO36" s="10">
        <v>59120</v>
      </c>
      <c r="CP36" s="10">
        <v>40331</v>
      </c>
      <c r="CQ36" s="11">
        <f t="shared" si="171"/>
        <v>99451</v>
      </c>
      <c r="CR36" s="10">
        <v>47472</v>
      </c>
      <c r="CS36" s="10">
        <v>33623</v>
      </c>
      <c r="CT36" s="11">
        <f t="shared" si="173"/>
        <v>81095</v>
      </c>
      <c r="CU36" s="7">
        <v>1877</v>
      </c>
      <c r="CV36" s="7">
        <v>1326</v>
      </c>
      <c r="CW36" s="11">
        <f t="shared" si="151"/>
        <v>3203</v>
      </c>
      <c r="CX36" s="8">
        <f t="shared" si="59"/>
        <v>49349</v>
      </c>
      <c r="CY36" s="8">
        <f t="shared" si="60"/>
        <v>34949</v>
      </c>
      <c r="CZ36" s="11">
        <f t="shared" si="128"/>
        <v>84298</v>
      </c>
      <c r="DA36" s="30">
        <f t="shared" si="129"/>
        <v>83.47259810554803</v>
      </c>
      <c r="DB36" s="30">
        <f t="shared" si="130"/>
        <v>86.65542634697874</v>
      </c>
      <c r="DC36" s="30">
        <f t="shared" si="131"/>
        <v>84.76335079586931</v>
      </c>
      <c r="DD36" s="10">
        <v>639</v>
      </c>
      <c r="DE36" s="10">
        <v>362</v>
      </c>
      <c r="DF36" s="11">
        <f>DD36+DE36</f>
        <v>1001</v>
      </c>
      <c r="DG36" s="10">
        <v>132</v>
      </c>
      <c r="DH36" s="10">
        <v>48</v>
      </c>
      <c r="DI36" s="11">
        <f>DG36+DH36</f>
        <v>180</v>
      </c>
      <c r="DJ36" s="10">
        <v>41</v>
      </c>
      <c r="DK36" s="10">
        <v>21</v>
      </c>
      <c r="DL36" s="7">
        <f t="shared" si="152"/>
        <v>62</v>
      </c>
      <c r="DM36" s="8">
        <f>SUM(DG36,DJ36)</f>
        <v>173</v>
      </c>
      <c r="DN36" s="8">
        <f>SUM(DH36,DK36)</f>
        <v>69</v>
      </c>
      <c r="DO36" s="11">
        <f>SUM(DM36,DN36)</f>
        <v>242</v>
      </c>
      <c r="DP36" s="30">
        <f>IF(DD36=0,"",DM36/DD36*100)</f>
        <v>27.073552425665103</v>
      </c>
      <c r="DQ36" s="30">
        <f>IF(DE36=0,"",DN36/DE36*100)</f>
        <v>19.060773480662984</v>
      </c>
      <c r="DR36" s="30">
        <f>IF(DF36=0,"",DO36/DF36*100)</f>
        <v>24.175824175824175</v>
      </c>
      <c r="DS36" s="11">
        <f t="shared" si="65"/>
        <v>59759</v>
      </c>
      <c r="DT36" s="11">
        <f t="shared" si="66"/>
        <v>40693</v>
      </c>
      <c r="DU36" s="11">
        <f t="shared" si="67"/>
        <v>100452</v>
      </c>
      <c r="DV36" s="11">
        <f t="shared" si="68"/>
        <v>47604</v>
      </c>
      <c r="DW36" s="11">
        <f t="shared" si="69"/>
        <v>33671</v>
      </c>
      <c r="DX36" s="11">
        <f t="shared" si="70"/>
        <v>81275</v>
      </c>
      <c r="DY36" s="11">
        <f>CU36+DJ36</f>
        <v>1918</v>
      </c>
      <c r="DZ36" s="11">
        <f>CV36+DK36</f>
        <v>1347</v>
      </c>
      <c r="EA36" s="11">
        <f>DY36+DZ36</f>
        <v>3265</v>
      </c>
      <c r="EB36" s="8">
        <f>SUM(DV36,DY36)</f>
        <v>49522</v>
      </c>
      <c r="EC36" s="8">
        <f>SUM(DW36,DZ36)</f>
        <v>35018</v>
      </c>
      <c r="ED36" s="11">
        <f>SUM(EB36,EC36)</f>
        <v>84540</v>
      </c>
      <c r="EE36" s="30">
        <f>IF(DS36=0,"",EB36/DS36*100)</f>
        <v>82.86952592914875</v>
      </c>
      <c r="EF36" s="30">
        <f>IF(DT36=0,"",EC36/DT36*100)</f>
        <v>86.05411250092153</v>
      </c>
      <c r="EG36" s="30">
        <f>IF(DU36=0,"",ED36/DU36*100)</f>
        <v>84.15959861426353</v>
      </c>
      <c r="EH36" s="10"/>
      <c r="EI36" s="10"/>
      <c r="EJ36" s="11"/>
      <c r="EK36" s="10"/>
      <c r="EL36" s="10"/>
      <c r="EM36" s="11"/>
      <c r="EN36" s="7"/>
      <c r="EO36" s="7"/>
      <c r="EP36" s="11"/>
      <c r="EQ36" s="8"/>
      <c r="ER36" s="8"/>
      <c r="ES36" s="11"/>
      <c r="ET36" s="30"/>
      <c r="EU36" s="30"/>
      <c r="EV36" s="30"/>
      <c r="EW36" s="10"/>
      <c r="EX36" s="10"/>
      <c r="EY36" s="11"/>
      <c r="EZ36" s="10"/>
      <c r="FA36" s="10"/>
      <c r="FB36" s="11"/>
      <c r="FC36" s="10"/>
      <c r="FD36" s="10"/>
      <c r="FE36" s="7"/>
      <c r="FF36" s="8"/>
      <c r="FG36" s="8"/>
      <c r="FH36" s="11"/>
      <c r="FI36" s="30"/>
      <c r="FJ36" s="30"/>
      <c r="FK36" s="30"/>
      <c r="FL36" s="11"/>
      <c r="FM36" s="11"/>
      <c r="FN36" s="11"/>
      <c r="FO36" s="11"/>
      <c r="FP36" s="11"/>
      <c r="FQ36" s="11"/>
      <c r="FR36" s="11"/>
      <c r="FS36" s="11"/>
      <c r="FT36" s="11"/>
      <c r="FU36" s="8"/>
      <c r="FV36" s="8"/>
      <c r="FW36" s="11"/>
      <c r="FX36" s="30"/>
      <c r="FY36" s="30"/>
      <c r="FZ36" s="30"/>
      <c r="GA36" s="21">
        <f>AP36</f>
        <v>422715</v>
      </c>
      <c r="GB36" s="21">
        <f>AQ36</f>
        <v>287549</v>
      </c>
      <c r="GC36" s="21">
        <f>AR36</f>
        <v>710264</v>
      </c>
      <c r="GD36" s="47">
        <v>33202</v>
      </c>
      <c r="GE36" s="47">
        <v>34131</v>
      </c>
      <c r="GF36" s="21">
        <f t="shared" si="87"/>
        <v>67333</v>
      </c>
      <c r="GG36" s="21">
        <v>168710</v>
      </c>
      <c r="GH36" s="21">
        <v>134582</v>
      </c>
      <c r="GI36" s="21">
        <f t="shared" si="88"/>
        <v>303292</v>
      </c>
      <c r="GJ36" s="57">
        <f>GD36/GA36%</f>
        <v>7.8544645919827785</v>
      </c>
      <c r="GK36" s="57">
        <f>GE36/GB36%</f>
        <v>11.869629176244745</v>
      </c>
      <c r="GL36" s="57">
        <f>GF36/GC36%</f>
        <v>9.479996170438033</v>
      </c>
      <c r="GM36" s="46">
        <f>GG36/GA36%</f>
        <v>39.9110511810558</v>
      </c>
      <c r="GN36" s="46">
        <f>GH36/GB36%</f>
        <v>46.803153549482005</v>
      </c>
      <c r="GO36" s="46">
        <f>GI36/GC36%</f>
        <v>42.7013054300936</v>
      </c>
      <c r="GP36" s="21">
        <f>CI36</f>
        <v>70845</v>
      </c>
      <c r="GQ36" s="21">
        <f>CJ36</f>
        <v>45570</v>
      </c>
      <c r="GR36" s="21">
        <f>CK36</f>
        <v>116415</v>
      </c>
      <c r="GS36" s="47">
        <v>3529</v>
      </c>
      <c r="GT36" s="47">
        <v>3122</v>
      </c>
      <c r="GU36" s="21">
        <f t="shared" si="98"/>
        <v>6651</v>
      </c>
      <c r="GV36" s="21">
        <v>25922</v>
      </c>
      <c r="GW36" s="21">
        <v>19990</v>
      </c>
      <c r="GX36" s="21">
        <f t="shared" si="99"/>
        <v>45912</v>
      </c>
      <c r="GY36" s="57">
        <f>GS36/GP36%</f>
        <v>4.981297198108546</v>
      </c>
      <c r="GZ36" s="57">
        <f>GT36/GQ36%</f>
        <v>6.85099846390169</v>
      </c>
      <c r="HA36" s="57">
        <f>GU36/GR36%</f>
        <v>5.713181291070738</v>
      </c>
      <c r="HB36" s="46">
        <f>GV36/GP36%</f>
        <v>36.589738160773514</v>
      </c>
      <c r="HC36" s="46">
        <f>GW36/GQ36%</f>
        <v>43.866578889620364</v>
      </c>
      <c r="HD36" s="46">
        <f>GX36/GR36%</f>
        <v>39.43821672464888</v>
      </c>
      <c r="HE36" s="21">
        <f>EB36</f>
        <v>49522</v>
      </c>
      <c r="HF36" s="21">
        <f>EC36</f>
        <v>35018</v>
      </c>
      <c r="HG36" s="21">
        <f>ED36</f>
        <v>84540</v>
      </c>
      <c r="HH36" s="47">
        <v>1862</v>
      </c>
      <c r="HI36" s="47">
        <v>1528</v>
      </c>
      <c r="HJ36" s="21">
        <f t="shared" si="109"/>
        <v>3390</v>
      </c>
      <c r="HK36" s="21">
        <v>15001</v>
      </c>
      <c r="HL36" s="21">
        <v>11486</v>
      </c>
      <c r="HM36" s="21">
        <f t="shared" si="110"/>
        <v>26487</v>
      </c>
      <c r="HN36" s="57">
        <f>HH36/HE36%</f>
        <v>3.7599450749161987</v>
      </c>
      <c r="HO36" s="57">
        <f>HI36/HF36%</f>
        <v>4.363470215317837</v>
      </c>
      <c r="HP36" s="57">
        <f>HJ36/HG36%</f>
        <v>4.009936124911285</v>
      </c>
      <c r="HQ36" s="46">
        <f>HK36/HE36%</f>
        <v>30.2915875772384</v>
      </c>
      <c r="HR36" s="46">
        <f>HL36/HF36%</f>
        <v>32.80027414472557</v>
      </c>
      <c r="HS36" s="46">
        <f>HM36/HG36%</f>
        <v>31.330731014904188</v>
      </c>
    </row>
    <row r="37" spans="1:227" ht="29.25" customHeight="1">
      <c r="A37" s="4">
        <v>28</v>
      </c>
      <c r="B37" s="6" t="s">
        <v>60</v>
      </c>
      <c r="C37" s="8">
        <v>388935</v>
      </c>
      <c r="D37" s="8">
        <v>444747</v>
      </c>
      <c r="E37" s="17">
        <f t="shared" si="154"/>
        <v>833682</v>
      </c>
      <c r="F37" s="8">
        <v>341931</v>
      </c>
      <c r="G37" s="8">
        <v>419794</v>
      </c>
      <c r="H37" s="9">
        <f t="shared" si="33"/>
        <v>761725</v>
      </c>
      <c r="I37" s="92"/>
      <c r="J37" s="92"/>
      <c r="K37" s="100">
        <f t="shared" si="155"/>
        <v>0</v>
      </c>
      <c r="L37" s="8">
        <f t="shared" si="34"/>
        <v>341931</v>
      </c>
      <c r="M37" s="8">
        <f t="shared" si="34"/>
        <v>419794</v>
      </c>
      <c r="N37" s="8">
        <f t="shared" si="34"/>
        <v>761725</v>
      </c>
      <c r="O37" s="30">
        <f t="shared" si="32"/>
        <v>87.9146901153149</v>
      </c>
      <c r="P37" s="30">
        <f t="shared" si="32"/>
        <v>94.38939441974875</v>
      </c>
      <c r="Q37" s="30">
        <f t="shared" si="32"/>
        <v>91.36877130608553</v>
      </c>
      <c r="R37" s="8">
        <v>27116</v>
      </c>
      <c r="S37" s="8">
        <v>15328</v>
      </c>
      <c r="T37" s="9">
        <f>R37+S37</f>
        <v>42444</v>
      </c>
      <c r="U37" s="8">
        <v>4567</v>
      </c>
      <c r="V37" s="8">
        <v>4685</v>
      </c>
      <c r="W37" s="9">
        <f t="shared" si="35"/>
        <v>9252</v>
      </c>
      <c r="X37" s="10">
        <v>3771</v>
      </c>
      <c r="Y37" s="10">
        <v>2603</v>
      </c>
      <c r="Z37" s="11">
        <f t="shared" si="36"/>
        <v>6374</v>
      </c>
      <c r="AA37" s="8">
        <f t="shared" si="174"/>
        <v>8338</v>
      </c>
      <c r="AB37" s="8">
        <f t="shared" si="174"/>
        <v>7288</v>
      </c>
      <c r="AC37" s="11">
        <f t="shared" si="116"/>
        <v>15626</v>
      </c>
      <c r="AD37" s="30">
        <f t="shared" si="117"/>
        <v>30.749373063873726</v>
      </c>
      <c r="AE37" s="30">
        <f t="shared" si="117"/>
        <v>47.54697286012526</v>
      </c>
      <c r="AF37" s="30">
        <f t="shared" si="117"/>
        <v>36.815568749410986</v>
      </c>
      <c r="AG37" s="11">
        <f t="shared" si="38"/>
        <v>416051</v>
      </c>
      <c r="AH37" s="11">
        <f t="shared" si="38"/>
        <v>460075</v>
      </c>
      <c r="AI37" s="11">
        <f t="shared" si="39"/>
        <v>876126</v>
      </c>
      <c r="AJ37" s="11">
        <f t="shared" si="40"/>
        <v>346498</v>
      </c>
      <c r="AK37" s="11">
        <f t="shared" si="40"/>
        <v>424479</v>
      </c>
      <c r="AL37" s="11">
        <f t="shared" si="41"/>
        <v>770977</v>
      </c>
      <c r="AM37" s="11">
        <f t="shared" si="150"/>
        <v>3771</v>
      </c>
      <c r="AN37" s="11">
        <f t="shared" si="150"/>
        <v>2603</v>
      </c>
      <c r="AO37" s="11">
        <f t="shared" si="42"/>
        <v>6374</v>
      </c>
      <c r="AP37" s="8">
        <f t="shared" si="43"/>
        <v>350269</v>
      </c>
      <c r="AQ37" s="8">
        <f t="shared" si="43"/>
        <v>427082</v>
      </c>
      <c r="AR37" s="11">
        <f t="shared" si="118"/>
        <v>777351</v>
      </c>
      <c r="AS37" s="30">
        <f t="shared" si="119"/>
        <v>84.18895760375531</v>
      </c>
      <c r="AT37" s="30">
        <f t="shared" si="119"/>
        <v>92.82877791664403</v>
      </c>
      <c r="AU37" s="30">
        <f t="shared" si="119"/>
        <v>88.7259366803405</v>
      </c>
      <c r="AV37" s="10">
        <v>87116</v>
      </c>
      <c r="AW37" s="10">
        <v>105032</v>
      </c>
      <c r="AX37" s="11">
        <f t="shared" si="44"/>
        <v>192148</v>
      </c>
      <c r="AY37" s="10">
        <v>70251</v>
      </c>
      <c r="AZ37" s="10">
        <v>94664</v>
      </c>
      <c r="BA37" s="11">
        <f t="shared" si="45"/>
        <v>164915</v>
      </c>
      <c r="BB37" s="92"/>
      <c r="BC37" s="92"/>
      <c r="BD37" s="93">
        <f t="shared" si="162"/>
        <v>0</v>
      </c>
      <c r="BE37" s="8">
        <f t="shared" si="46"/>
        <v>70251</v>
      </c>
      <c r="BF37" s="8">
        <f t="shared" si="46"/>
        <v>94664</v>
      </c>
      <c r="BG37" s="11">
        <f t="shared" si="120"/>
        <v>164915</v>
      </c>
      <c r="BH37" s="30">
        <f t="shared" si="121"/>
        <v>80.64075485559485</v>
      </c>
      <c r="BI37" s="30">
        <f t="shared" si="121"/>
        <v>90.1287226749943</v>
      </c>
      <c r="BJ37" s="30">
        <f t="shared" si="121"/>
        <v>85.82707079959198</v>
      </c>
      <c r="BK37" s="10">
        <v>9054</v>
      </c>
      <c r="BL37" s="10">
        <v>4734</v>
      </c>
      <c r="BM37" s="11">
        <f t="shared" si="47"/>
        <v>13788</v>
      </c>
      <c r="BN37" s="10">
        <v>1253</v>
      </c>
      <c r="BO37" s="10">
        <v>1130</v>
      </c>
      <c r="BP37" s="11">
        <f t="shared" si="48"/>
        <v>2383</v>
      </c>
      <c r="BQ37" s="10">
        <v>1137</v>
      </c>
      <c r="BR37" s="10">
        <v>798</v>
      </c>
      <c r="BS37" s="11">
        <f t="shared" si="49"/>
        <v>1935</v>
      </c>
      <c r="BT37" s="8">
        <f t="shared" si="50"/>
        <v>2390</v>
      </c>
      <c r="BU37" s="8">
        <f t="shared" si="50"/>
        <v>1928</v>
      </c>
      <c r="BV37" s="11">
        <f t="shared" si="122"/>
        <v>4318</v>
      </c>
      <c r="BW37" s="30">
        <f t="shared" si="166"/>
        <v>26.39717252043296</v>
      </c>
      <c r="BX37" s="30">
        <f t="shared" si="166"/>
        <v>40.72665821715251</v>
      </c>
      <c r="BY37" s="30">
        <f t="shared" si="166"/>
        <v>31.317087322309256</v>
      </c>
      <c r="BZ37" s="11">
        <f t="shared" si="51"/>
        <v>96170</v>
      </c>
      <c r="CA37" s="11">
        <f t="shared" si="51"/>
        <v>109766</v>
      </c>
      <c r="CB37" s="11">
        <f t="shared" si="52"/>
        <v>205936</v>
      </c>
      <c r="CC37" s="11">
        <f t="shared" si="53"/>
        <v>71504</v>
      </c>
      <c r="CD37" s="11">
        <f t="shared" si="53"/>
        <v>95794</v>
      </c>
      <c r="CE37" s="11">
        <f t="shared" si="54"/>
        <v>167298</v>
      </c>
      <c r="CF37" s="11">
        <f t="shared" si="153"/>
        <v>1137</v>
      </c>
      <c r="CG37" s="11">
        <f t="shared" si="153"/>
        <v>798</v>
      </c>
      <c r="CH37" s="11">
        <f t="shared" si="55"/>
        <v>1935</v>
      </c>
      <c r="CI37" s="8">
        <f t="shared" si="56"/>
        <v>72641</v>
      </c>
      <c r="CJ37" s="8">
        <f t="shared" si="56"/>
        <v>96592</v>
      </c>
      <c r="CK37" s="11">
        <f t="shared" si="126"/>
        <v>169233</v>
      </c>
      <c r="CL37" s="30">
        <f t="shared" si="127"/>
        <v>75.53395029635021</v>
      </c>
      <c r="CM37" s="30">
        <f t="shared" si="127"/>
        <v>87.99810505985461</v>
      </c>
      <c r="CN37" s="30">
        <f t="shared" si="127"/>
        <v>82.1774726128506</v>
      </c>
      <c r="CO37" s="10">
        <v>3331</v>
      </c>
      <c r="CP37" s="10">
        <v>3257</v>
      </c>
      <c r="CQ37" s="11">
        <f t="shared" si="171"/>
        <v>6588</v>
      </c>
      <c r="CR37" s="10">
        <v>2823</v>
      </c>
      <c r="CS37" s="10">
        <v>2895</v>
      </c>
      <c r="CT37" s="11">
        <f t="shared" si="173"/>
        <v>5718</v>
      </c>
      <c r="CU37" s="92"/>
      <c r="CV37" s="92"/>
      <c r="CW37" s="93">
        <f>CU37+CV37</f>
        <v>0</v>
      </c>
      <c r="CX37" s="8">
        <f t="shared" si="59"/>
        <v>2823</v>
      </c>
      <c r="CY37" s="8">
        <f t="shared" si="60"/>
        <v>2895</v>
      </c>
      <c r="CZ37" s="11">
        <f t="shared" si="128"/>
        <v>5718</v>
      </c>
      <c r="DA37" s="30">
        <f t="shared" si="129"/>
        <v>84.74932452716902</v>
      </c>
      <c r="DB37" s="30">
        <f t="shared" si="130"/>
        <v>88.88547743322076</v>
      </c>
      <c r="DC37" s="30">
        <f t="shared" si="131"/>
        <v>86.79417122040073</v>
      </c>
      <c r="DD37" s="10">
        <v>214</v>
      </c>
      <c r="DE37" s="10">
        <v>106</v>
      </c>
      <c r="DF37" s="11">
        <f t="shared" si="61"/>
        <v>320</v>
      </c>
      <c r="DG37" s="10">
        <v>36</v>
      </c>
      <c r="DH37" s="10">
        <v>22</v>
      </c>
      <c r="DI37" s="11">
        <f t="shared" si="62"/>
        <v>58</v>
      </c>
      <c r="DJ37" s="10">
        <v>21</v>
      </c>
      <c r="DK37" s="10">
        <v>20</v>
      </c>
      <c r="DL37" s="7">
        <f t="shared" si="152"/>
        <v>41</v>
      </c>
      <c r="DM37" s="8">
        <f t="shared" si="63"/>
        <v>57</v>
      </c>
      <c r="DN37" s="8">
        <f t="shared" si="64"/>
        <v>42</v>
      </c>
      <c r="DO37" s="11">
        <f t="shared" si="132"/>
        <v>99</v>
      </c>
      <c r="DP37" s="30">
        <f t="shared" si="161"/>
        <v>26.635514018691588</v>
      </c>
      <c r="DQ37" s="30">
        <f t="shared" si="165"/>
        <v>39.62264150943396</v>
      </c>
      <c r="DR37" s="30">
        <f t="shared" si="134"/>
        <v>30.9375</v>
      </c>
      <c r="DS37" s="11">
        <f t="shared" si="65"/>
        <v>3545</v>
      </c>
      <c r="DT37" s="11">
        <f t="shared" si="66"/>
        <v>3363</v>
      </c>
      <c r="DU37" s="11">
        <f t="shared" si="67"/>
        <v>6908</v>
      </c>
      <c r="DV37" s="11">
        <f t="shared" si="68"/>
        <v>2859</v>
      </c>
      <c r="DW37" s="11">
        <f t="shared" si="69"/>
        <v>2917</v>
      </c>
      <c r="DX37" s="11">
        <f t="shared" si="70"/>
        <v>5776</v>
      </c>
      <c r="DY37" s="11">
        <f t="shared" si="158"/>
        <v>21</v>
      </c>
      <c r="DZ37" s="11">
        <f t="shared" si="159"/>
        <v>20</v>
      </c>
      <c r="EA37" s="11">
        <f t="shared" si="71"/>
        <v>41</v>
      </c>
      <c r="EB37" s="8">
        <f t="shared" si="72"/>
        <v>2880</v>
      </c>
      <c r="EC37" s="8">
        <f t="shared" si="73"/>
        <v>2937</v>
      </c>
      <c r="ED37" s="11">
        <f t="shared" si="135"/>
        <v>5817</v>
      </c>
      <c r="EE37" s="30">
        <f t="shared" si="136"/>
        <v>81.24118476727786</v>
      </c>
      <c r="EF37" s="30">
        <f t="shared" si="137"/>
        <v>87.33273862622659</v>
      </c>
      <c r="EG37" s="30">
        <f t="shared" si="138"/>
        <v>84.20671685002895</v>
      </c>
      <c r="EH37" s="10">
        <v>270626</v>
      </c>
      <c r="EI37" s="10">
        <v>311107</v>
      </c>
      <c r="EJ37" s="11">
        <f t="shared" si="74"/>
        <v>581733</v>
      </c>
      <c r="EK37" s="10">
        <v>232370</v>
      </c>
      <c r="EL37" s="10">
        <v>285623</v>
      </c>
      <c r="EM37" s="11">
        <f t="shared" si="75"/>
        <v>517993</v>
      </c>
      <c r="EN37" s="10"/>
      <c r="EO37" s="10"/>
      <c r="EP37" s="11">
        <f>EN37+EO37</f>
        <v>0</v>
      </c>
      <c r="EQ37" s="8">
        <f t="shared" si="77"/>
        <v>232370</v>
      </c>
      <c r="ER37" s="8">
        <f t="shared" si="77"/>
        <v>285623</v>
      </c>
      <c r="ES37" s="11">
        <f t="shared" si="139"/>
        <v>517993</v>
      </c>
      <c r="ET37" s="30">
        <f t="shared" si="140"/>
        <v>85.86388595330826</v>
      </c>
      <c r="EU37" s="30">
        <f t="shared" si="140"/>
        <v>91.80860604229413</v>
      </c>
      <c r="EV37" s="30">
        <f t="shared" si="140"/>
        <v>89.0430833389201</v>
      </c>
      <c r="EW37" s="10">
        <v>21339</v>
      </c>
      <c r="EX37" s="10">
        <v>14499</v>
      </c>
      <c r="EY37" s="11">
        <f t="shared" si="78"/>
        <v>35838</v>
      </c>
      <c r="EZ37" s="10">
        <v>5986</v>
      </c>
      <c r="FA37" s="10">
        <v>6016</v>
      </c>
      <c r="FB37" s="11">
        <f t="shared" si="79"/>
        <v>12002</v>
      </c>
      <c r="FC37" s="10">
        <v>8725</v>
      </c>
      <c r="FD37" s="10">
        <v>6577</v>
      </c>
      <c r="FE37" s="7">
        <f t="shared" si="141"/>
        <v>15302</v>
      </c>
      <c r="FF37" s="8">
        <f t="shared" si="80"/>
        <v>14711</v>
      </c>
      <c r="FG37" s="8">
        <f t="shared" si="80"/>
        <v>12593</v>
      </c>
      <c r="FH37" s="11">
        <f t="shared" si="142"/>
        <v>27304</v>
      </c>
      <c r="FI37" s="30">
        <f t="shared" si="143"/>
        <v>68.93950044519424</v>
      </c>
      <c r="FJ37" s="30">
        <f t="shared" si="143"/>
        <v>86.85426581143527</v>
      </c>
      <c r="FK37" s="30">
        <f t="shared" si="143"/>
        <v>76.18728723701099</v>
      </c>
      <c r="FL37" s="11">
        <f t="shared" si="81"/>
        <v>291965</v>
      </c>
      <c r="FM37" s="11">
        <f t="shared" si="81"/>
        <v>325606</v>
      </c>
      <c r="FN37" s="11">
        <f t="shared" si="82"/>
        <v>617571</v>
      </c>
      <c r="FO37" s="11">
        <f t="shared" si="83"/>
        <v>238356</v>
      </c>
      <c r="FP37" s="11">
        <f t="shared" si="83"/>
        <v>291639</v>
      </c>
      <c r="FQ37" s="11">
        <f t="shared" si="84"/>
        <v>529995</v>
      </c>
      <c r="FR37" s="11">
        <f t="shared" si="144"/>
        <v>8725</v>
      </c>
      <c r="FS37" s="11">
        <f t="shared" si="144"/>
        <v>6577</v>
      </c>
      <c r="FT37" s="11">
        <f t="shared" si="85"/>
        <v>15302</v>
      </c>
      <c r="FU37" s="8">
        <f t="shared" si="86"/>
        <v>247081</v>
      </c>
      <c r="FV37" s="8">
        <f t="shared" si="86"/>
        <v>298216</v>
      </c>
      <c r="FW37" s="11">
        <f t="shared" si="145"/>
        <v>545297</v>
      </c>
      <c r="FX37" s="30">
        <f t="shared" si="146"/>
        <v>84.62692446012365</v>
      </c>
      <c r="FY37" s="30">
        <f t="shared" si="146"/>
        <v>91.58799285025461</v>
      </c>
      <c r="FZ37" s="30">
        <f t="shared" si="146"/>
        <v>88.2970541039006</v>
      </c>
      <c r="GA37" s="21">
        <f t="shared" si="147"/>
        <v>350269</v>
      </c>
      <c r="GB37" s="21">
        <f t="shared" si="148"/>
        <v>427082</v>
      </c>
      <c r="GC37" s="21">
        <f t="shared" si="149"/>
        <v>777351</v>
      </c>
      <c r="GD37" s="47">
        <v>84231</v>
      </c>
      <c r="GE37" s="98"/>
      <c r="GF37" s="21">
        <f t="shared" si="87"/>
        <v>84231</v>
      </c>
      <c r="GG37" s="21">
        <v>123803</v>
      </c>
      <c r="GH37" s="21">
        <v>158515</v>
      </c>
      <c r="GI37" s="21">
        <f t="shared" si="88"/>
        <v>282318</v>
      </c>
      <c r="GJ37" s="57">
        <f t="shared" si="89"/>
        <v>24.04751776491782</v>
      </c>
      <c r="GK37" s="57">
        <f t="shared" si="90"/>
        <v>0</v>
      </c>
      <c r="GL37" s="57">
        <f t="shared" si="91"/>
        <v>10.835645673576028</v>
      </c>
      <c r="GM37" s="46">
        <f t="shared" si="92"/>
        <v>35.34512046455724</v>
      </c>
      <c r="GN37" s="46">
        <f t="shared" si="93"/>
        <v>37.11582319086265</v>
      </c>
      <c r="GO37" s="46">
        <f t="shared" si="94"/>
        <v>36.317956753126964</v>
      </c>
      <c r="GP37" s="21">
        <f t="shared" si="95"/>
        <v>72641</v>
      </c>
      <c r="GQ37" s="21">
        <f t="shared" si="96"/>
        <v>96592</v>
      </c>
      <c r="GR37" s="21">
        <f t="shared" si="97"/>
        <v>169233</v>
      </c>
      <c r="GS37" s="47">
        <v>8522</v>
      </c>
      <c r="GT37" s="47">
        <v>15141</v>
      </c>
      <c r="GU37" s="21">
        <f t="shared" si="98"/>
        <v>23663</v>
      </c>
      <c r="GV37" s="21">
        <v>23276</v>
      </c>
      <c r="GW37" s="21">
        <v>35545</v>
      </c>
      <c r="GX37" s="21">
        <f t="shared" si="99"/>
        <v>58821</v>
      </c>
      <c r="GY37" s="57">
        <f t="shared" si="100"/>
        <v>11.73166668961055</v>
      </c>
      <c r="GZ37" s="57">
        <f t="shared" si="101"/>
        <v>15.67521119761471</v>
      </c>
      <c r="HA37" s="57">
        <f t="shared" si="102"/>
        <v>13.982497503442001</v>
      </c>
      <c r="HB37" s="46">
        <f t="shared" si="103"/>
        <v>32.04251042799521</v>
      </c>
      <c r="HC37" s="46">
        <f t="shared" si="104"/>
        <v>36.799113798244164</v>
      </c>
      <c r="HD37" s="46">
        <f t="shared" si="105"/>
        <v>34.75740547056425</v>
      </c>
      <c r="HE37" s="21">
        <f t="shared" si="106"/>
        <v>2880</v>
      </c>
      <c r="HF37" s="21">
        <f t="shared" si="107"/>
        <v>2937</v>
      </c>
      <c r="HG37" s="21">
        <f t="shared" si="108"/>
        <v>5817</v>
      </c>
      <c r="HH37" s="47">
        <v>314</v>
      </c>
      <c r="HI37" s="47">
        <v>346</v>
      </c>
      <c r="HJ37" s="21">
        <f t="shared" si="109"/>
        <v>660</v>
      </c>
      <c r="HK37" s="21">
        <v>895</v>
      </c>
      <c r="HL37" s="21">
        <v>913</v>
      </c>
      <c r="HM37" s="21">
        <f t="shared" si="110"/>
        <v>1808</v>
      </c>
      <c r="HN37" s="57">
        <f t="shared" si="111"/>
        <v>10.902777777777777</v>
      </c>
      <c r="HO37" s="57">
        <f>HI37/HF37%</f>
        <v>11.780728634661218</v>
      </c>
      <c r="HP37" s="57">
        <f t="shared" si="112"/>
        <v>11.346054667354306</v>
      </c>
      <c r="HQ37" s="46">
        <f t="shared" si="113"/>
        <v>31.07638888888889</v>
      </c>
      <c r="HR37" s="46">
        <f>HL37/HF37%</f>
        <v>31.086142322097377</v>
      </c>
      <c r="HS37" s="46">
        <f t="shared" si="114"/>
        <v>31.081313391782704</v>
      </c>
    </row>
    <row r="38" spans="1:227" ht="29.25" customHeight="1">
      <c r="A38" s="4">
        <v>29</v>
      </c>
      <c r="B38" s="6" t="s">
        <v>61</v>
      </c>
      <c r="C38" s="8">
        <v>11199</v>
      </c>
      <c r="D38" s="8">
        <v>9761</v>
      </c>
      <c r="E38" s="17">
        <f t="shared" si="154"/>
        <v>20960</v>
      </c>
      <c r="F38" s="8">
        <v>8356</v>
      </c>
      <c r="G38" s="8">
        <v>7547</v>
      </c>
      <c r="H38" s="9">
        <f>F38+G38</f>
        <v>15903</v>
      </c>
      <c r="I38" s="7">
        <v>34</v>
      </c>
      <c r="J38" s="7">
        <v>52</v>
      </c>
      <c r="K38" s="12">
        <f t="shared" si="155"/>
        <v>86</v>
      </c>
      <c r="L38" s="8">
        <f t="shared" si="34"/>
        <v>8390</v>
      </c>
      <c r="M38" s="8">
        <f t="shared" si="34"/>
        <v>7599</v>
      </c>
      <c r="N38" s="8">
        <f t="shared" si="34"/>
        <v>15989</v>
      </c>
      <c r="O38" s="30">
        <f t="shared" si="32"/>
        <v>74.91740333958388</v>
      </c>
      <c r="P38" s="30">
        <f t="shared" si="32"/>
        <v>77.85063005839565</v>
      </c>
      <c r="Q38" s="30">
        <f t="shared" si="32"/>
        <v>76.28339694656489</v>
      </c>
      <c r="R38" s="7">
        <v>368</v>
      </c>
      <c r="S38" s="7">
        <v>267</v>
      </c>
      <c r="T38" s="9">
        <f>R38+S38</f>
        <v>635</v>
      </c>
      <c r="U38" s="7">
        <v>151</v>
      </c>
      <c r="V38" s="7">
        <v>169</v>
      </c>
      <c r="W38" s="9">
        <f t="shared" si="35"/>
        <v>320</v>
      </c>
      <c r="X38" s="7">
        <v>2</v>
      </c>
      <c r="Y38" s="7">
        <v>2</v>
      </c>
      <c r="Z38" s="11">
        <f t="shared" si="36"/>
        <v>4</v>
      </c>
      <c r="AA38" s="8">
        <f t="shared" si="174"/>
        <v>153</v>
      </c>
      <c r="AB38" s="8">
        <f t="shared" si="174"/>
        <v>171</v>
      </c>
      <c r="AC38" s="11">
        <f t="shared" si="116"/>
        <v>324</v>
      </c>
      <c r="AD38" s="30">
        <f t="shared" si="117"/>
        <v>41.57608695652174</v>
      </c>
      <c r="AE38" s="30">
        <f t="shared" si="117"/>
        <v>64.04494382022472</v>
      </c>
      <c r="AF38" s="30">
        <f t="shared" si="117"/>
        <v>51.023622047244096</v>
      </c>
      <c r="AG38" s="11">
        <f t="shared" si="38"/>
        <v>11567</v>
      </c>
      <c r="AH38" s="11">
        <f t="shared" si="38"/>
        <v>10028</v>
      </c>
      <c r="AI38" s="11">
        <f t="shared" si="39"/>
        <v>21595</v>
      </c>
      <c r="AJ38" s="11">
        <f t="shared" si="40"/>
        <v>8507</v>
      </c>
      <c r="AK38" s="11">
        <f t="shared" si="40"/>
        <v>7716</v>
      </c>
      <c r="AL38" s="11">
        <f t="shared" si="41"/>
        <v>16223</v>
      </c>
      <c r="AM38" s="11">
        <f t="shared" si="150"/>
        <v>36</v>
      </c>
      <c r="AN38" s="11">
        <f t="shared" si="150"/>
        <v>54</v>
      </c>
      <c r="AO38" s="11">
        <f t="shared" si="42"/>
        <v>90</v>
      </c>
      <c r="AP38" s="8">
        <f t="shared" si="43"/>
        <v>8543</v>
      </c>
      <c r="AQ38" s="8">
        <f t="shared" si="43"/>
        <v>7770</v>
      </c>
      <c r="AR38" s="11">
        <f t="shared" si="118"/>
        <v>16313</v>
      </c>
      <c r="AS38" s="30">
        <f t="shared" si="119"/>
        <v>73.85666119132014</v>
      </c>
      <c r="AT38" s="30">
        <f t="shared" si="119"/>
        <v>77.48304746709213</v>
      </c>
      <c r="AU38" s="30">
        <f t="shared" si="119"/>
        <v>75.54063440611253</v>
      </c>
      <c r="AV38" s="10">
        <v>2358</v>
      </c>
      <c r="AW38" s="10">
        <v>2014</v>
      </c>
      <c r="AX38" s="11">
        <f t="shared" si="44"/>
        <v>4372</v>
      </c>
      <c r="AY38" s="10">
        <v>1779</v>
      </c>
      <c r="AZ38" s="10">
        <v>1627</v>
      </c>
      <c r="BA38" s="11">
        <f t="shared" si="45"/>
        <v>3406</v>
      </c>
      <c r="BB38" s="7">
        <v>9</v>
      </c>
      <c r="BC38" s="7">
        <v>9</v>
      </c>
      <c r="BD38" s="11">
        <f t="shared" si="162"/>
        <v>18</v>
      </c>
      <c r="BE38" s="8">
        <f t="shared" si="46"/>
        <v>1788</v>
      </c>
      <c r="BF38" s="8">
        <f t="shared" si="46"/>
        <v>1636</v>
      </c>
      <c r="BG38" s="11">
        <f t="shared" si="120"/>
        <v>3424</v>
      </c>
      <c r="BH38" s="30">
        <f t="shared" si="121"/>
        <v>75.82697201017811</v>
      </c>
      <c r="BI38" s="30">
        <f t="shared" si="121"/>
        <v>81.23138033763655</v>
      </c>
      <c r="BJ38" s="30">
        <f t="shared" si="121"/>
        <v>78.31655992680695</v>
      </c>
      <c r="BK38" s="10">
        <v>79</v>
      </c>
      <c r="BL38" s="10">
        <v>60</v>
      </c>
      <c r="BM38" s="11">
        <f t="shared" si="47"/>
        <v>139</v>
      </c>
      <c r="BN38" s="10">
        <v>38</v>
      </c>
      <c r="BO38" s="10">
        <v>38</v>
      </c>
      <c r="BP38" s="11">
        <f t="shared" si="48"/>
        <v>76</v>
      </c>
      <c r="BQ38" s="7">
        <v>1</v>
      </c>
      <c r="BR38" s="7">
        <v>1</v>
      </c>
      <c r="BS38" s="11">
        <f t="shared" si="49"/>
        <v>2</v>
      </c>
      <c r="BT38" s="8">
        <f t="shared" si="50"/>
        <v>39</v>
      </c>
      <c r="BU38" s="8">
        <f t="shared" si="50"/>
        <v>39</v>
      </c>
      <c r="BV38" s="11">
        <f t="shared" si="122"/>
        <v>78</v>
      </c>
      <c r="BW38" s="30">
        <f t="shared" si="166"/>
        <v>49.36708860759494</v>
      </c>
      <c r="BX38" s="30">
        <f t="shared" si="166"/>
        <v>65</v>
      </c>
      <c r="BY38" s="30">
        <f t="shared" si="166"/>
        <v>56.11510791366906</v>
      </c>
      <c r="BZ38" s="11">
        <f t="shared" si="51"/>
        <v>2437</v>
      </c>
      <c r="CA38" s="11">
        <f t="shared" si="51"/>
        <v>2074</v>
      </c>
      <c r="CB38" s="11">
        <f t="shared" si="52"/>
        <v>4511</v>
      </c>
      <c r="CC38" s="11">
        <f t="shared" si="53"/>
        <v>1817</v>
      </c>
      <c r="CD38" s="11">
        <f t="shared" si="53"/>
        <v>1665</v>
      </c>
      <c r="CE38" s="11">
        <f t="shared" si="54"/>
        <v>3482</v>
      </c>
      <c r="CF38" s="11">
        <f t="shared" si="153"/>
        <v>10</v>
      </c>
      <c r="CG38" s="11">
        <f t="shared" si="153"/>
        <v>10</v>
      </c>
      <c r="CH38" s="11">
        <f t="shared" si="55"/>
        <v>20</v>
      </c>
      <c r="CI38" s="8">
        <f t="shared" si="56"/>
        <v>1827</v>
      </c>
      <c r="CJ38" s="8">
        <f t="shared" si="56"/>
        <v>1675</v>
      </c>
      <c r="CK38" s="11">
        <f t="shared" si="126"/>
        <v>3502</v>
      </c>
      <c r="CL38" s="30">
        <f t="shared" si="127"/>
        <v>74.96922445629873</v>
      </c>
      <c r="CM38" s="30">
        <f t="shared" si="127"/>
        <v>80.76181292189007</v>
      </c>
      <c r="CN38" s="30">
        <f t="shared" si="127"/>
        <v>77.63245400133009</v>
      </c>
      <c r="CO38" s="10">
        <v>2658</v>
      </c>
      <c r="CP38" s="10">
        <v>2185</v>
      </c>
      <c r="CQ38" s="11">
        <f t="shared" si="171"/>
        <v>4843</v>
      </c>
      <c r="CR38" s="10">
        <v>1583</v>
      </c>
      <c r="CS38" s="10">
        <v>1273</v>
      </c>
      <c r="CT38" s="11">
        <f t="shared" si="173"/>
        <v>2856</v>
      </c>
      <c r="CU38" s="7">
        <v>9</v>
      </c>
      <c r="CV38" s="7">
        <v>13</v>
      </c>
      <c r="CW38" s="11">
        <f>CU38+CV38</f>
        <v>22</v>
      </c>
      <c r="CX38" s="8">
        <f t="shared" si="59"/>
        <v>1592</v>
      </c>
      <c r="CY38" s="8">
        <f t="shared" si="60"/>
        <v>1286</v>
      </c>
      <c r="CZ38" s="11">
        <f t="shared" si="128"/>
        <v>2878</v>
      </c>
      <c r="DA38" s="30">
        <f t="shared" si="129"/>
        <v>59.89465763732129</v>
      </c>
      <c r="DB38" s="30">
        <f t="shared" si="130"/>
        <v>58.8558352402746</v>
      </c>
      <c r="DC38" s="30">
        <f t="shared" si="131"/>
        <v>59.425975634937025</v>
      </c>
      <c r="DD38" s="10">
        <v>73</v>
      </c>
      <c r="DE38" s="10">
        <v>64</v>
      </c>
      <c r="DF38" s="11">
        <f t="shared" si="61"/>
        <v>137</v>
      </c>
      <c r="DG38" s="10">
        <v>26</v>
      </c>
      <c r="DH38" s="10">
        <v>31</v>
      </c>
      <c r="DI38" s="11">
        <f t="shared" si="62"/>
        <v>57</v>
      </c>
      <c r="DJ38" s="7">
        <v>1</v>
      </c>
      <c r="DK38" s="7">
        <v>0</v>
      </c>
      <c r="DL38" s="7">
        <f t="shared" si="152"/>
        <v>1</v>
      </c>
      <c r="DM38" s="8">
        <f t="shared" si="63"/>
        <v>27</v>
      </c>
      <c r="DN38" s="8">
        <f t="shared" si="64"/>
        <v>31</v>
      </c>
      <c r="DO38" s="11">
        <f t="shared" si="132"/>
        <v>58</v>
      </c>
      <c r="DP38" s="30">
        <f t="shared" si="161"/>
        <v>36.986301369863014</v>
      </c>
      <c r="DQ38" s="30">
        <f t="shared" si="165"/>
        <v>48.4375</v>
      </c>
      <c r="DR38" s="30">
        <f t="shared" si="134"/>
        <v>42.33576642335766</v>
      </c>
      <c r="DS38" s="11">
        <f t="shared" si="65"/>
        <v>2731</v>
      </c>
      <c r="DT38" s="11">
        <f t="shared" si="66"/>
        <v>2249</v>
      </c>
      <c r="DU38" s="11">
        <f t="shared" si="67"/>
        <v>4980</v>
      </c>
      <c r="DV38" s="11">
        <f t="shared" si="68"/>
        <v>1609</v>
      </c>
      <c r="DW38" s="11">
        <f t="shared" si="69"/>
        <v>1304</v>
      </c>
      <c r="DX38" s="11">
        <f t="shared" si="70"/>
        <v>2913</v>
      </c>
      <c r="DY38" s="11">
        <f t="shared" si="158"/>
        <v>10</v>
      </c>
      <c r="DZ38" s="11">
        <f t="shared" si="159"/>
        <v>13</v>
      </c>
      <c r="EA38" s="11">
        <f t="shared" si="71"/>
        <v>23</v>
      </c>
      <c r="EB38" s="8">
        <f t="shared" si="72"/>
        <v>1619</v>
      </c>
      <c r="EC38" s="8">
        <f t="shared" si="73"/>
        <v>1317</v>
      </c>
      <c r="ED38" s="11">
        <f t="shared" si="135"/>
        <v>2936</v>
      </c>
      <c r="EE38" s="30">
        <f t="shared" si="136"/>
        <v>59.28231417063346</v>
      </c>
      <c r="EF38" s="30">
        <f t="shared" si="137"/>
        <v>58.55935971542908</v>
      </c>
      <c r="EG38" s="30">
        <f t="shared" si="138"/>
        <v>58.95582329317269</v>
      </c>
      <c r="EH38" s="10"/>
      <c r="EI38" s="10"/>
      <c r="EJ38" s="11">
        <f t="shared" si="74"/>
        <v>0</v>
      </c>
      <c r="EK38" s="10"/>
      <c r="EL38" s="10"/>
      <c r="EM38" s="11">
        <f t="shared" si="75"/>
        <v>0</v>
      </c>
      <c r="EN38" s="7"/>
      <c r="EO38" s="7"/>
      <c r="EP38" s="11">
        <f>EN38+EO38</f>
        <v>0</v>
      </c>
      <c r="EQ38" s="8">
        <f t="shared" si="77"/>
        <v>0</v>
      </c>
      <c r="ER38" s="8">
        <f t="shared" si="77"/>
        <v>0</v>
      </c>
      <c r="ES38" s="11">
        <f t="shared" si="139"/>
        <v>0</v>
      </c>
      <c r="ET38" s="30">
        <f t="shared" si="140"/>
      </c>
      <c r="EU38" s="30">
        <f t="shared" si="140"/>
      </c>
      <c r="EV38" s="30">
        <f t="shared" si="140"/>
      </c>
      <c r="EW38" s="10"/>
      <c r="EX38" s="10"/>
      <c r="EY38" s="11">
        <f t="shared" si="78"/>
        <v>0</v>
      </c>
      <c r="EZ38" s="10"/>
      <c r="FA38" s="10"/>
      <c r="FB38" s="11">
        <f t="shared" si="79"/>
        <v>0</v>
      </c>
      <c r="FC38" s="7"/>
      <c r="FD38" s="7"/>
      <c r="FE38" s="7">
        <f t="shared" si="141"/>
        <v>0</v>
      </c>
      <c r="FF38" s="8">
        <f t="shared" si="80"/>
        <v>0</v>
      </c>
      <c r="FG38" s="8">
        <f t="shared" si="80"/>
        <v>0</v>
      </c>
      <c r="FH38" s="11">
        <f t="shared" si="142"/>
        <v>0</v>
      </c>
      <c r="FI38" s="30">
        <f t="shared" si="143"/>
      </c>
      <c r="FJ38" s="30">
        <f t="shared" si="143"/>
      </c>
      <c r="FK38" s="30">
        <f t="shared" si="143"/>
      </c>
      <c r="FL38" s="11">
        <f t="shared" si="81"/>
        <v>0</v>
      </c>
      <c r="FM38" s="11">
        <f t="shared" si="81"/>
        <v>0</v>
      </c>
      <c r="FN38" s="11">
        <f t="shared" si="82"/>
        <v>0</v>
      </c>
      <c r="FO38" s="11">
        <f t="shared" si="83"/>
        <v>0</v>
      </c>
      <c r="FP38" s="11">
        <f t="shared" si="83"/>
        <v>0</v>
      </c>
      <c r="FQ38" s="11">
        <f t="shared" si="84"/>
        <v>0</v>
      </c>
      <c r="FR38" s="11">
        <f t="shared" si="144"/>
        <v>0</v>
      </c>
      <c r="FS38" s="11">
        <f t="shared" si="144"/>
        <v>0</v>
      </c>
      <c r="FT38" s="11">
        <f t="shared" si="85"/>
        <v>0</v>
      </c>
      <c r="FU38" s="8">
        <f t="shared" si="86"/>
        <v>0</v>
      </c>
      <c r="FV38" s="8">
        <f t="shared" si="86"/>
        <v>0</v>
      </c>
      <c r="FW38" s="11">
        <f t="shared" si="145"/>
        <v>0</v>
      </c>
      <c r="FX38" s="30">
        <f t="shared" si="146"/>
      </c>
      <c r="FY38" s="30">
        <f t="shared" si="146"/>
      </c>
      <c r="FZ38" s="30">
        <f t="shared" si="146"/>
      </c>
      <c r="GA38" s="21">
        <f t="shared" si="147"/>
        <v>8543</v>
      </c>
      <c r="GB38" s="21">
        <f t="shared" si="148"/>
        <v>7770</v>
      </c>
      <c r="GC38" s="21">
        <f t="shared" si="149"/>
        <v>16313</v>
      </c>
      <c r="GD38" s="98"/>
      <c r="GE38" s="98"/>
      <c r="GF38" s="98"/>
      <c r="GG38" s="98"/>
      <c r="GH38" s="98"/>
      <c r="GI38" s="98"/>
      <c r="GJ38" s="95"/>
      <c r="GK38" s="95"/>
      <c r="GL38" s="95"/>
      <c r="GM38" s="103"/>
      <c r="GN38" s="103"/>
      <c r="GO38" s="103"/>
      <c r="GP38" s="21">
        <f t="shared" si="95"/>
        <v>1827</v>
      </c>
      <c r="GQ38" s="21">
        <f t="shared" si="96"/>
        <v>1675</v>
      </c>
      <c r="GR38" s="21">
        <f t="shared" si="97"/>
        <v>3502</v>
      </c>
      <c r="GS38" s="98"/>
      <c r="GT38" s="98"/>
      <c r="GU38" s="98"/>
      <c r="GV38" s="98"/>
      <c r="GW38" s="98"/>
      <c r="GX38" s="98"/>
      <c r="GY38" s="95"/>
      <c r="GZ38" s="95"/>
      <c r="HA38" s="95"/>
      <c r="HB38" s="103"/>
      <c r="HC38" s="103"/>
      <c r="HD38" s="103"/>
      <c r="HE38" s="21">
        <f t="shared" si="106"/>
        <v>1619</v>
      </c>
      <c r="HF38" s="21">
        <f t="shared" si="107"/>
        <v>1317</v>
      </c>
      <c r="HG38" s="21">
        <f t="shared" si="108"/>
        <v>2936</v>
      </c>
      <c r="HH38" s="98"/>
      <c r="HI38" s="98"/>
      <c r="HJ38" s="98"/>
      <c r="HK38" s="98"/>
      <c r="HL38" s="98"/>
      <c r="HM38" s="98"/>
      <c r="HN38" s="95"/>
      <c r="HO38" s="95"/>
      <c r="HP38" s="95"/>
      <c r="HQ38" s="103"/>
      <c r="HR38" s="103"/>
      <c r="HS38" s="103"/>
    </row>
    <row r="39" spans="1:227" ht="29.25" customHeight="1">
      <c r="A39" s="4">
        <v>30</v>
      </c>
      <c r="B39" s="6" t="s">
        <v>62</v>
      </c>
      <c r="C39" s="14">
        <v>1523310</v>
      </c>
      <c r="D39" s="10">
        <v>1246376</v>
      </c>
      <c r="E39" s="17">
        <f t="shared" si="154"/>
        <v>2769686</v>
      </c>
      <c r="F39" s="15">
        <v>1287147</v>
      </c>
      <c r="G39" s="10">
        <v>1152949</v>
      </c>
      <c r="H39" s="9">
        <f>F39+G39</f>
        <v>2440096</v>
      </c>
      <c r="I39" s="96"/>
      <c r="J39" s="96"/>
      <c r="K39" s="100"/>
      <c r="L39" s="8">
        <f t="shared" si="34"/>
        <v>1287147</v>
      </c>
      <c r="M39" s="8">
        <f t="shared" si="34"/>
        <v>1152949</v>
      </c>
      <c r="N39" s="8">
        <f t="shared" si="34"/>
        <v>2440096</v>
      </c>
      <c r="O39" s="30">
        <f t="shared" si="32"/>
        <v>84.4967209563385</v>
      </c>
      <c r="P39" s="30">
        <f t="shared" si="32"/>
        <v>92.50410790965167</v>
      </c>
      <c r="Q39" s="30">
        <f t="shared" si="32"/>
        <v>88.10009510103312</v>
      </c>
      <c r="R39" s="14">
        <v>53960</v>
      </c>
      <c r="S39" s="10">
        <v>13962</v>
      </c>
      <c r="T39" s="9">
        <f>R39+S39</f>
        <v>67922</v>
      </c>
      <c r="U39" s="15">
        <v>41440</v>
      </c>
      <c r="V39" s="10">
        <v>11588</v>
      </c>
      <c r="W39" s="9">
        <f t="shared" si="35"/>
        <v>53028</v>
      </c>
      <c r="X39" s="96"/>
      <c r="Y39" s="96"/>
      <c r="Z39" s="93"/>
      <c r="AA39" s="8">
        <f t="shared" si="174"/>
        <v>41440</v>
      </c>
      <c r="AB39" s="8">
        <f t="shared" si="174"/>
        <v>11588</v>
      </c>
      <c r="AC39" s="11">
        <f t="shared" si="116"/>
        <v>53028</v>
      </c>
      <c r="AD39" s="30">
        <f t="shared" si="117"/>
        <v>76.79762787249814</v>
      </c>
      <c r="AE39" s="30">
        <f t="shared" si="117"/>
        <v>82.99670534307407</v>
      </c>
      <c r="AF39" s="30">
        <f t="shared" si="117"/>
        <v>78.07190600983482</v>
      </c>
      <c r="AG39" s="11">
        <f t="shared" si="38"/>
        <v>1577270</v>
      </c>
      <c r="AH39" s="11">
        <f t="shared" si="38"/>
        <v>1260338</v>
      </c>
      <c r="AI39" s="11">
        <f t="shared" si="39"/>
        <v>2837608</v>
      </c>
      <c r="AJ39" s="11">
        <f t="shared" si="40"/>
        <v>1328587</v>
      </c>
      <c r="AK39" s="11">
        <f t="shared" si="40"/>
        <v>1164537</v>
      </c>
      <c r="AL39" s="11">
        <f t="shared" si="41"/>
        <v>2493124</v>
      </c>
      <c r="AM39" s="93"/>
      <c r="AN39" s="93"/>
      <c r="AO39" s="93"/>
      <c r="AP39" s="8">
        <f t="shared" si="43"/>
        <v>1328587</v>
      </c>
      <c r="AQ39" s="8">
        <f t="shared" si="43"/>
        <v>1164537</v>
      </c>
      <c r="AR39" s="11">
        <f t="shared" si="118"/>
        <v>2493124</v>
      </c>
      <c r="AS39" s="30">
        <f t="shared" si="119"/>
        <v>84.23332720460036</v>
      </c>
      <c r="AT39" s="30">
        <f t="shared" si="119"/>
        <v>92.39878508780977</v>
      </c>
      <c r="AU39" s="30">
        <f t="shared" si="119"/>
        <v>87.8600567802177</v>
      </c>
      <c r="AV39" s="10">
        <v>297177</v>
      </c>
      <c r="AW39" s="10">
        <v>239806</v>
      </c>
      <c r="AX39" s="11">
        <f t="shared" si="44"/>
        <v>536983</v>
      </c>
      <c r="AY39" s="10">
        <v>245744</v>
      </c>
      <c r="AZ39" s="10">
        <v>217246</v>
      </c>
      <c r="BA39" s="11">
        <f t="shared" si="45"/>
        <v>462990</v>
      </c>
      <c r="BB39" s="96"/>
      <c r="BC39" s="96"/>
      <c r="BD39" s="93"/>
      <c r="BE39" s="8">
        <f t="shared" si="46"/>
        <v>245744</v>
      </c>
      <c r="BF39" s="8">
        <f t="shared" si="46"/>
        <v>217246</v>
      </c>
      <c r="BG39" s="11">
        <f t="shared" si="120"/>
        <v>462990</v>
      </c>
      <c r="BH39" s="30">
        <f t="shared" si="121"/>
        <v>82.69280597085239</v>
      </c>
      <c r="BI39" s="30">
        <f t="shared" si="121"/>
        <v>90.59239551971177</v>
      </c>
      <c r="BJ39" s="30">
        <f t="shared" si="121"/>
        <v>86.2206066113825</v>
      </c>
      <c r="BK39" s="10">
        <v>9984</v>
      </c>
      <c r="BL39" s="10">
        <v>2924</v>
      </c>
      <c r="BM39" s="11">
        <f t="shared" si="47"/>
        <v>12908</v>
      </c>
      <c r="BN39" s="10">
        <v>7707</v>
      </c>
      <c r="BO39" s="10">
        <v>2400</v>
      </c>
      <c r="BP39" s="11">
        <f t="shared" si="48"/>
        <v>10107</v>
      </c>
      <c r="BQ39" s="96"/>
      <c r="BR39" s="96"/>
      <c r="BS39" s="93"/>
      <c r="BT39" s="8">
        <f t="shared" si="50"/>
        <v>7707</v>
      </c>
      <c r="BU39" s="8">
        <f t="shared" si="50"/>
        <v>2400</v>
      </c>
      <c r="BV39" s="11">
        <f t="shared" si="122"/>
        <v>10107</v>
      </c>
      <c r="BW39" s="30">
        <f t="shared" si="166"/>
        <v>77.19350961538461</v>
      </c>
      <c r="BX39" s="30">
        <f t="shared" si="166"/>
        <v>82.07934336525308</v>
      </c>
      <c r="BY39" s="30">
        <f t="shared" si="166"/>
        <v>78.30027889680818</v>
      </c>
      <c r="BZ39" s="11">
        <f t="shared" si="51"/>
        <v>307161</v>
      </c>
      <c r="CA39" s="11">
        <f t="shared" si="51"/>
        <v>242730</v>
      </c>
      <c r="CB39" s="11">
        <f t="shared" si="52"/>
        <v>549891</v>
      </c>
      <c r="CC39" s="11">
        <f t="shared" si="53"/>
        <v>253451</v>
      </c>
      <c r="CD39" s="11">
        <f t="shared" si="53"/>
        <v>219646</v>
      </c>
      <c r="CE39" s="11">
        <f t="shared" si="54"/>
        <v>473097</v>
      </c>
      <c r="CF39" s="93"/>
      <c r="CG39" s="93"/>
      <c r="CH39" s="93"/>
      <c r="CI39" s="8">
        <f t="shared" si="56"/>
        <v>253451</v>
      </c>
      <c r="CJ39" s="8">
        <f t="shared" si="56"/>
        <v>219646</v>
      </c>
      <c r="CK39" s="11">
        <f t="shared" si="126"/>
        <v>473097</v>
      </c>
      <c r="CL39" s="30">
        <f t="shared" si="127"/>
        <v>82.51405614645088</v>
      </c>
      <c r="CM39" s="30">
        <f t="shared" si="127"/>
        <v>90.48984468339307</v>
      </c>
      <c r="CN39" s="30">
        <f t="shared" si="127"/>
        <v>86.03468687430782</v>
      </c>
      <c r="CO39" s="10">
        <v>11060</v>
      </c>
      <c r="CP39" s="10">
        <v>7961</v>
      </c>
      <c r="CQ39" s="11">
        <f t="shared" si="171"/>
        <v>19021</v>
      </c>
      <c r="CR39" s="10">
        <v>8798</v>
      </c>
      <c r="CS39" s="10">
        <v>7039</v>
      </c>
      <c r="CT39" s="11">
        <f t="shared" si="173"/>
        <v>15837</v>
      </c>
      <c r="CU39" s="96"/>
      <c r="CV39" s="96"/>
      <c r="CW39" s="93"/>
      <c r="CX39" s="8">
        <f t="shared" si="59"/>
        <v>8798</v>
      </c>
      <c r="CY39" s="8">
        <f t="shared" si="60"/>
        <v>7039</v>
      </c>
      <c r="CZ39" s="11">
        <f t="shared" si="128"/>
        <v>15837</v>
      </c>
      <c r="DA39" s="30">
        <f t="shared" si="129"/>
        <v>79.54792043399638</v>
      </c>
      <c r="DB39" s="30">
        <f t="shared" si="130"/>
        <v>88.41854038437383</v>
      </c>
      <c r="DC39" s="30">
        <f t="shared" si="131"/>
        <v>83.26060669786027</v>
      </c>
      <c r="DD39" s="10">
        <v>446</v>
      </c>
      <c r="DE39" s="10">
        <v>153</v>
      </c>
      <c r="DF39" s="11">
        <f t="shared" si="61"/>
        <v>599</v>
      </c>
      <c r="DG39" s="10">
        <v>306</v>
      </c>
      <c r="DH39" s="10">
        <v>120</v>
      </c>
      <c r="DI39" s="11">
        <f t="shared" si="62"/>
        <v>426</v>
      </c>
      <c r="DJ39" s="96"/>
      <c r="DK39" s="96"/>
      <c r="DL39" s="96"/>
      <c r="DM39" s="8">
        <f t="shared" si="63"/>
        <v>306</v>
      </c>
      <c r="DN39" s="8">
        <f t="shared" si="64"/>
        <v>120</v>
      </c>
      <c r="DO39" s="11">
        <f t="shared" si="132"/>
        <v>426</v>
      </c>
      <c r="DP39" s="30">
        <f t="shared" si="161"/>
        <v>68.60986547085201</v>
      </c>
      <c r="DQ39" s="30">
        <f t="shared" si="165"/>
        <v>78.43137254901961</v>
      </c>
      <c r="DR39" s="30">
        <f t="shared" si="134"/>
        <v>71.11853088480802</v>
      </c>
      <c r="DS39" s="11">
        <f>CO39+DD39</f>
        <v>11506</v>
      </c>
      <c r="DT39" s="11">
        <f>CP39+DE39</f>
        <v>8114</v>
      </c>
      <c r="DU39" s="11">
        <f>DS39+DT39</f>
        <v>19620</v>
      </c>
      <c r="DV39" s="11">
        <f>CR39+DG39</f>
        <v>9104</v>
      </c>
      <c r="DW39" s="11">
        <f>CS39+DH39</f>
        <v>7159</v>
      </c>
      <c r="DX39" s="11">
        <f>DV39+DW39</f>
        <v>16263</v>
      </c>
      <c r="DY39" s="93"/>
      <c r="DZ39" s="93"/>
      <c r="EA39" s="93"/>
      <c r="EB39" s="8">
        <f>SUM(DV39,DY39)</f>
        <v>9104</v>
      </c>
      <c r="EC39" s="8">
        <f>SUM(DW39,DZ39)</f>
        <v>7159</v>
      </c>
      <c r="ED39" s="11">
        <f>SUM(EB39,EC39)</f>
        <v>16263</v>
      </c>
      <c r="EE39" s="30">
        <f>IF(DS39=0,"",EB39/DS39*100)</f>
        <v>79.12393533808448</v>
      </c>
      <c r="EF39" s="30">
        <f>IF(DT39=0,"",EC39/DT39*100)</f>
        <v>88.23021937392161</v>
      </c>
      <c r="EG39" s="30">
        <f>IF(DU39=0,"",ED39/DU39*100)</f>
        <v>82.88990825688073</v>
      </c>
      <c r="EH39" s="10"/>
      <c r="EI39" s="10"/>
      <c r="EJ39" s="11">
        <f t="shared" si="74"/>
        <v>0</v>
      </c>
      <c r="EK39" s="10"/>
      <c r="EL39" s="10"/>
      <c r="EM39" s="11">
        <f t="shared" si="75"/>
        <v>0</v>
      </c>
      <c r="EN39" s="7"/>
      <c r="EO39" s="7"/>
      <c r="EP39" s="11">
        <f>EN39+EO39</f>
        <v>0</v>
      </c>
      <c r="EQ39" s="8">
        <f t="shared" si="77"/>
        <v>0</v>
      </c>
      <c r="ER39" s="8">
        <f t="shared" si="77"/>
        <v>0</v>
      </c>
      <c r="ES39" s="11">
        <f t="shared" si="139"/>
        <v>0</v>
      </c>
      <c r="ET39" s="30">
        <f t="shared" si="140"/>
      </c>
      <c r="EU39" s="30">
        <f t="shared" si="140"/>
      </c>
      <c r="EV39" s="30">
        <f t="shared" si="140"/>
      </c>
      <c r="EW39" s="10"/>
      <c r="EX39" s="10"/>
      <c r="EY39" s="11">
        <f t="shared" si="78"/>
        <v>0</v>
      </c>
      <c r="EZ39" s="10"/>
      <c r="FA39" s="10"/>
      <c r="FB39" s="11">
        <f t="shared" si="79"/>
        <v>0</v>
      </c>
      <c r="FC39" s="7"/>
      <c r="FD39" s="7"/>
      <c r="FE39" s="7">
        <f t="shared" si="141"/>
        <v>0</v>
      </c>
      <c r="FF39" s="8">
        <f t="shared" si="80"/>
        <v>0</v>
      </c>
      <c r="FG39" s="8">
        <f t="shared" si="80"/>
        <v>0</v>
      </c>
      <c r="FH39" s="11">
        <f t="shared" si="142"/>
        <v>0</v>
      </c>
      <c r="FI39" s="30">
        <f t="shared" si="143"/>
      </c>
      <c r="FJ39" s="30">
        <f t="shared" si="143"/>
      </c>
      <c r="FK39" s="30">
        <f t="shared" si="143"/>
      </c>
      <c r="FL39" s="11">
        <f t="shared" si="81"/>
        <v>0</v>
      </c>
      <c r="FM39" s="11">
        <f t="shared" si="81"/>
        <v>0</v>
      </c>
      <c r="FN39" s="11">
        <f t="shared" si="82"/>
        <v>0</v>
      </c>
      <c r="FO39" s="11">
        <f t="shared" si="83"/>
        <v>0</v>
      </c>
      <c r="FP39" s="11">
        <f t="shared" si="83"/>
        <v>0</v>
      </c>
      <c r="FQ39" s="11">
        <f t="shared" si="84"/>
        <v>0</v>
      </c>
      <c r="FR39" s="11">
        <f t="shared" si="144"/>
        <v>0</v>
      </c>
      <c r="FS39" s="11">
        <f t="shared" si="144"/>
        <v>0</v>
      </c>
      <c r="FT39" s="11">
        <f t="shared" si="85"/>
        <v>0</v>
      </c>
      <c r="FU39" s="8">
        <f t="shared" si="86"/>
        <v>0</v>
      </c>
      <c r="FV39" s="8">
        <f t="shared" si="86"/>
        <v>0</v>
      </c>
      <c r="FW39" s="11">
        <f t="shared" si="145"/>
        <v>0</v>
      </c>
      <c r="FX39" s="30">
        <f t="shared" si="146"/>
      </c>
      <c r="FY39" s="30">
        <f t="shared" si="146"/>
      </c>
      <c r="FZ39" s="30">
        <f t="shared" si="146"/>
      </c>
      <c r="GA39" s="21">
        <f t="shared" si="147"/>
        <v>1328587</v>
      </c>
      <c r="GB39" s="21">
        <f t="shared" si="148"/>
        <v>1164537</v>
      </c>
      <c r="GC39" s="21">
        <f t="shared" si="149"/>
        <v>2493124</v>
      </c>
      <c r="GD39" s="47">
        <v>237322</v>
      </c>
      <c r="GE39" s="47">
        <v>230697</v>
      </c>
      <c r="GF39" s="21">
        <f t="shared" si="87"/>
        <v>468019</v>
      </c>
      <c r="GG39" s="21">
        <v>560634</v>
      </c>
      <c r="GH39" s="21">
        <v>525546</v>
      </c>
      <c r="GI39" s="21">
        <f t="shared" si="88"/>
        <v>1086180</v>
      </c>
      <c r="GJ39" s="57">
        <f t="shared" si="89"/>
        <v>17.862736877600035</v>
      </c>
      <c r="GK39" s="57">
        <f t="shared" si="90"/>
        <v>19.810190659463803</v>
      </c>
      <c r="GL39" s="57">
        <f t="shared" si="91"/>
        <v>18.772391585817633</v>
      </c>
      <c r="GM39" s="46">
        <f t="shared" si="92"/>
        <v>42.19776348857847</v>
      </c>
      <c r="GN39" s="46">
        <f t="shared" si="93"/>
        <v>45.1291800947501</v>
      </c>
      <c r="GO39" s="46">
        <f t="shared" si="94"/>
        <v>43.567026750374225</v>
      </c>
      <c r="GP39" s="21">
        <f t="shared" si="95"/>
        <v>253451</v>
      </c>
      <c r="GQ39" s="21">
        <f t="shared" si="96"/>
        <v>219646</v>
      </c>
      <c r="GR39" s="21">
        <f t="shared" si="97"/>
        <v>473097</v>
      </c>
      <c r="GS39" s="47">
        <v>32920</v>
      </c>
      <c r="GT39" s="47">
        <v>27889</v>
      </c>
      <c r="GU39" s="21">
        <f t="shared" si="98"/>
        <v>60809</v>
      </c>
      <c r="GV39" s="21">
        <v>101873</v>
      </c>
      <c r="GW39" s="21">
        <v>92879</v>
      </c>
      <c r="GX39" s="21">
        <f t="shared" si="99"/>
        <v>194752</v>
      </c>
      <c r="GY39" s="57">
        <f t="shared" si="100"/>
        <v>12.98870393093734</v>
      </c>
      <c r="GZ39" s="57">
        <f t="shared" si="101"/>
        <v>12.697249210092604</v>
      </c>
      <c r="HA39" s="57">
        <f t="shared" si="102"/>
        <v>12.853389474040206</v>
      </c>
      <c r="HB39" s="46">
        <f t="shared" si="103"/>
        <v>40.194357094665236</v>
      </c>
      <c r="HC39" s="46">
        <f t="shared" si="104"/>
        <v>42.28576891907888</v>
      </c>
      <c r="HD39" s="46">
        <f t="shared" si="105"/>
        <v>41.16534241392357</v>
      </c>
      <c r="HE39" s="21">
        <f>EB39</f>
        <v>9104</v>
      </c>
      <c r="HF39" s="21">
        <f>EC39</f>
        <v>7159</v>
      </c>
      <c r="HG39" s="21">
        <f>ED39</f>
        <v>16263</v>
      </c>
      <c r="HH39" s="47">
        <v>1565</v>
      </c>
      <c r="HI39" s="47">
        <v>1139</v>
      </c>
      <c r="HJ39" s="21">
        <f t="shared" si="109"/>
        <v>2704</v>
      </c>
      <c r="HK39" s="21">
        <v>3837</v>
      </c>
      <c r="HL39" s="21">
        <v>3037</v>
      </c>
      <c r="HM39" s="21">
        <f t="shared" si="110"/>
        <v>6874</v>
      </c>
      <c r="HN39" s="57">
        <f t="shared" si="111"/>
        <v>17.1902460456942</v>
      </c>
      <c r="HO39" s="57">
        <f>HI39/HF39%</f>
        <v>15.910043302137169</v>
      </c>
      <c r="HP39" s="57">
        <f t="shared" si="112"/>
        <v>16.62669864108713</v>
      </c>
      <c r="HQ39" s="46">
        <f t="shared" si="113"/>
        <v>42.14630931458699</v>
      </c>
      <c r="HR39" s="46">
        <f>HL39/HF39%</f>
        <v>42.42212599525073</v>
      </c>
      <c r="HS39" s="46">
        <f t="shared" si="114"/>
        <v>42.26772428211277</v>
      </c>
    </row>
    <row r="40" spans="1:227" ht="29.25" customHeight="1">
      <c r="A40" s="4">
        <v>31</v>
      </c>
      <c r="B40" s="6" t="s">
        <v>63</v>
      </c>
      <c r="C40" s="8">
        <v>59837</v>
      </c>
      <c r="D40" s="8">
        <v>63299</v>
      </c>
      <c r="E40" s="17">
        <f t="shared" si="154"/>
        <v>123136</v>
      </c>
      <c r="F40" s="8">
        <v>45484</v>
      </c>
      <c r="G40" s="8">
        <v>53466</v>
      </c>
      <c r="H40" s="9">
        <f>F40+G40</f>
        <v>98950</v>
      </c>
      <c r="I40" s="96"/>
      <c r="J40" s="96"/>
      <c r="K40" s="100"/>
      <c r="L40" s="8">
        <f t="shared" si="34"/>
        <v>45484</v>
      </c>
      <c r="M40" s="8">
        <f t="shared" si="34"/>
        <v>53466</v>
      </c>
      <c r="N40" s="8">
        <f t="shared" si="34"/>
        <v>98950</v>
      </c>
      <c r="O40" s="30">
        <f t="shared" si="32"/>
        <v>76.01316910941391</v>
      </c>
      <c r="P40" s="30">
        <f t="shared" si="32"/>
        <v>84.46578934896286</v>
      </c>
      <c r="Q40" s="30">
        <f t="shared" si="32"/>
        <v>80.35830301455302</v>
      </c>
      <c r="R40" s="8">
        <v>5765</v>
      </c>
      <c r="S40" s="8">
        <v>4163</v>
      </c>
      <c r="T40" s="9">
        <f t="shared" si="115"/>
        <v>9928</v>
      </c>
      <c r="U40" s="8">
        <v>2770</v>
      </c>
      <c r="V40" s="8">
        <v>2626</v>
      </c>
      <c r="W40" s="9">
        <f t="shared" si="35"/>
        <v>5396</v>
      </c>
      <c r="X40" s="96"/>
      <c r="Y40" s="96"/>
      <c r="Z40" s="93"/>
      <c r="AA40" s="8">
        <f>SUM(U40,X40)</f>
        <v>2770</v>
      </c>
      <c r="AB40" s="8">
        <f>SUM(V40,Y40)</f>
        <v>2626</v>
      </c>
      <c r="AC40" s="11">
        <f t="shared" si="116"/>
        <v>5396</v>
      </c>
      <c r="AD40" s="30">
        <f t="shared" si="117"/>
        <v>48.04856895056375</v>
      </c>
      <c r="AE40" s="30">
        <f t="shared" si="117"/>
        <v>63.07950996877252</v>
      </c>
      <c r="AF40" s="30">
        <f t="shared" si="117"/>
        <v>54.35132957292505</v>
      </c>
      <c r="AG40" s="11">
        <f t="shared" si="38"/>
        <v>65602</v>
      </c>
      <c r="AH40" s="11">
        <f t="shared" si="38"/>
        <v>67462</v>
      </c>
      <c r="AI40" s="11">
        <f t="shared" si="39"/>
        <v>133064</v>
      </c>
      <c r="AJ40" s="11">
        <f t="shared" si="40"/>
        <v>48254</v>
      </c>
      <c r="AK40" s="11">
        <f t="shared" si="40"/>
        <v>56092</v>
      </c>
      <c r="AL40" s="11">
        <f t="shared" si="41"/>
        <v>104346</v>
      </c>
      <c r="AM40" s="93"/>
      <c r="AN40" s="93"/>
      <c r="AO40" s="93"/>
      <c r="AP40" s="8">
        <f t="shared" si="43"/>
        <v>48254</v>
      </c>
      <c r="AQ40" s="8">
        <f t="shared" si="43"/>
        <v>56092</v>
      </c>
      <c r="AR40" s="11">
        <f t="shared" si="118"/>
        <v>104346</v>
      </c>
      <c r="AS40" s="30">
        <f t="shared" si="119"/>
        <v>73.55568427791836</v>
      </c>
      <c r="AT40" s="30">
        <f t="shared" si="119"/>
        <v>83.14606741573034</v>
      </c>
      <c r="AU40" s="30">
        <f t="shared" si="119"/>
        <v>78.41790416641616</v>
      </c>
      <c r="AV40" s="10">
        <v>14357</v>
      </c>
      <c r="AW40" s="10">
        <v>14781</v>
      </c>
      <c r="AX40" s="11">
        <f t="shared" si="44"/>
        <v>29138</v>
      </c>
      <c r="AY40" s="10">
        <v>10409</v>
      </c>
      <c r="AZ40" s="10">
        <v>11972</v>
      </c>
      <c r="BA40" s="11">
        <f t="shared" si="45"/>
        <v>22381</v>
      </c>
      <c r="BB40" s="96"/>
      <c r="BC40" s="96"/>
      <c r="BD40" s="93"/>
      <c r="BE40" s="8">
        <f t="shared" si="46"/>
        <v>10409</v>
      </c>
      <c r="BF40" s="8">
        <f t="shared" si="46"/>
        <v>11972</v>
      </c>
      <c r="BG40" s="11">
        <f t="shared" si="120"/>
        <v>22381</v>
      </c>
      <c r="BH40" s="30">
        <f t="shared" si="121"/>
        <v>72.50121891760118</v>
      </c>
      <c r="BI40" s="30">
        <f t="shared" si="121"/>
        <v>80.9958730803058</v>
      </c>
      <c r="BJ40" s="30">
        <f t="shared" si="121"/>
        <v>76.81035074473198</v>
      </c>
      <c r="BK40" s="10">
        <v>1938</v>
      </c>
      <c r="BL40" s="10">
        <v>1177</v>
      </c>
      <c r="BM40" s="11">
        <f t="shared" si="47"/>
        <v>3115</v>
      </c>
      <c r="BN40" s="10">
        <v>888</v>
      </c>
      <c r="BO40" s="10">
        <v>697</v>
      </c>
      <c r="BP40" s="11">
        <f t="shared" si="48"/>
        <v>1585</v>
      </c>
      <c r="BQ40" s="96"/>
      <c r="BR40" s="96"/>
      <c r="BS40" s="93"/>
      <c r="BT40" s="8">
        <f t="shared" si="50"/>
        <v>888</v>
      </c>
      <c r="BU40" s="8">
        <f t="shared" si="50"/>
        <v>697</v>
      </c>
      <c r="BV40" s="11">
        <f t="shared" si="122"/>
        <v>1585</v>
      </c>
      <c r="BW40" s="30">
        <f t="shared" si="166"/>
        <v>45.82043343653251</v>
      </c>
      <c r="BX40" s="30">
        <f t="shared" si="166"/>
        <v>59.218351741716226</v>
      </c>
      <c r="BY40" s="30">
        <f t="shared" si="166"/>
        <v>50.88282504012841</v>
      </c>
      <c r="BZ40" s="11">
        <f t="shared" si="51"/>
        <v>16295</v>
      </c>
      <c r="CA40" s="11">
        <f t="shared" si="51"/>
        <v>15958</v>
      </c>
      <c r="CB40" s="11">
        <f t="shared" si="52"/>
        <v>32253</v>
      </c>
      <c r="CC40" s="11">
        <f t="shared" si="53"/>
        <v>11297</v>
      </c>
      <c r="CD40" s="11">
        <f t="shared" si="53"/>
        <v>12669</v>
      </c>
      <c r="CE40" s="11">
        <f t="shared" si="54"/>
        <v>23966</v>
      </c>
      <c r="CF40" s="93"/>
      <c r="CG40" s="93"/>
      <c r="CH40" s="93"/>
      <c r="CI40" s="8">
        <f t="shared" si="56"/>
        <v>11297</v>
      </c>
      <c r="CJ40" s="8">
        <f t="shared" si="56"/>
        <v>12669</v>
      </c>
      <c r="CK40" s="11">
        <f t="shared" si="126"/>
        <v>23966</v>
      </c>
      <c r="CL40" s="30">
        <f t="shared" si="127"/>
        <v>69.32801472844432</v>
      </c>
      <c r="CM40" s="30">
        <f t="shared" si="127"/>
        <v>79.38964782554204</v>
      </c>
      <c r="CN40" s="30">
        <f t="shared" si="127"/>
        <v>74.30626608377516</v>
      </c>
      <c r="CO40" s="10">
        <v>2586</v>
      </c>
      <c r="CP40" s="10">
        <v>2914</v>
      </c>
      <c r="CQ40" s="11">
        <f t="shared" si="171"/>
        <v>5500</v>
      </c>
      <c r="CR40" s="10">
        <v>1935</v>
      </c>
      <c r="CS40" s="10">
        <v>3399</v>
      </c>
      <c r="CT40" s="11">
        <f t="shared" si="173"/>
        <v>5334</v>
      </c>
      <c r="CU40" s="7"/>
      <c r="CV40" s="7"/>
      <c r="CW40" s="11">
        <f>CU40+CV40</f>
        <v>0</v>
      </c>
      <c r="CX40" s="8">
        <f t="shared" si="59"/>
        <v>1935</v>
      </c>
      <c r="CY40" s="8">
        <f t="shared" si="60"/>
        <v>3399</v>
      </c>
      <c r="CZ40" s="11">
        <f t="shared" si="128"/>
        <v>5334</v>
      </c>
      <c r="DA40" s="30">
        <f t="shared" si="129"/>
        <v>74.8259860788863</v>
      </c>
      <c r="DB40" s="30">
        <f t="shared" si="130"/>
        <v>116.64378860672615</v>
      </c>
      <c r="DC40" s="30">
        <f t="shared" si="131"/>
        <v>96.98181818181818</v>
      </c>
      <c r="DD40" s="10">
        <v>163</v>
      </c>
      <c r="DE40" s="10">
        <v>143</v>
      </c>
      <c r="DF40" s="11">
        <f t="shared" si="61"/>
        <v>306</v>
      </c>
      <c r="DG40" s="10">
        <v>85</v>
      </c>
      <c r="DH40" s="10">
        <v>90</v>
      </c>
      <c r="DI40" s="11">
        <f t="shared" si="62"/>
        <v>175</v>
      </c>
      <c r="DJ40" s="7"/>
      <c r="DK40" s="7"/>
      <c r="DL40" s="7">
        <f t="shared" si="152"/>
        <v>0</v>
      </c>
      <c r="DM40" s="8">
        <f t="shared" si="63"/>
        <v>85</v>
      </c>
      <c r="DN40" s="8">
        <f t="shared" si="64"/>
        <v>90</v>
      </c>
      <c r="DO40" s="11">
        <f t="shared" si="132"/>
        <v>175</v>
      </c>
      <c r="DP40" s="30">
        <f t="shared" si="161"/>
        <v>52.14723926380368</v>
      </c>
      <c r="DQ40" s="30">
        <f t="shared" si="165"/>
        <v>62.93706293706294</v>
      </c>
      <c r="DR40" s="30">
        <f t="shared" si="134"/>
        <v>57.18954248366013</v>
      </c>
      <c r="DS40" s="11">
        <f t="shared" si="65"/>
        <v>2749</v>
      </c>
      <c r="DT40" s="11">
        <f t="shared" si="66"/>
        <v>3057</v>
      </c>
      <c r="DU40" s="11">
        <f t="shared" si="67"/>
        <v>5806</v>
      </c>
      <c r="DV40" s="11">
        <f t="shared" si="68"/>
        <v>2020</v>
      </c>
      <c r="DW40" s="11">
        <f t="shared" si="69"/>
        <v>3489</v>
      </c>
      <c r="DX40" s="11">
        <f t="shared" si="70"/>
        <v>5509</v>
      </c>
      <c r="DY40" s="93"/>
      <c r="DZ40" s="93"/>
      <c r="EA40" s="93"/>
      <c r="EB40" s="8">
        <f t="shared" si="72"/>
        <v>2020</v>
      </c>
      <c r="EC40" s="8">
        <f t="shared" si="73"/>
        <v>3489</v>
      </c>
      <c r="ED40" s="11">
        <f t="shared" si="135"/>
        <v>5509</v>
      </c>
      <c r="EE40" s="30">
        <f t="shared" si="136"/>
        <v>73.48126591487814</v>
      </c>
      <c r="EF40" s="30">
        <f t="shared" si="137"/>
        <v>114.13150147203139</v>
      </c>
      <c r="EG40" s="30">
        <f t="shared" si="138"/>
        <v>94.88460213572166</v>
      </c>
      <c r="EH40" s="10"/>
      <c r="EI40" s="10"/>
      <c r="EJ40" s="11">
        <f t="shared" si="74"/>
        <v>0</v>
      </c>
      <c r="EK40" s="10"/>
      <c r="EL40" s="10"/>
      <c r="EM40" s="11">
        <f t="shared" si="75"/>
        <v>0</v>
      </c>
      <c r="EN40" s="7"/>
      <c r="EO40" s="7"/>
      <c r="EP40" s="11">
        <f>EN40+EO40</f>
        <v>0</v>
      </c>
      <c r="EQ40" s="8">
        <f t="shared" si="77"/>
        <v>0</v>
      </c>
      <c r="ER40" s="8">
        <f t="shared" si="77"/>
        <v>0</v>
      </c>
      <c r="ES40" s="11">
        <f t="shared" si="139"/>
        <v>0</v>
      </c>
      <c r="ET40" s="30">
        <f t="shared" si="140"/>
      </c>
      <c r="EU40" s="30">
        <f t="shared" si="140"/>
      </c>
      <c r="EV40" s="30">
        <f t="shared" si="140"/>
      </c>
      <c r="EW40" s="10"/>
      <c r="EX40" s="10"/>
      <c r="EY40" s="11">
        <f t="shared" si="78"/>
        <v>0</v>
      </c>
      <c r="EZ40" s="10"/>
      <c r="FA40" s="10"/>
      <c r="FB40" s="11">
        <f t="shared" si="79"/>
        <v>0</v>
      </c>
      <c r="FC40" s="7"/>
      <c r="FD40" s="7"/>
      <c r="FE40" s="7">
        <f t="shared" si="141"/>
        <v>0</v>
      </c>
      <c r="FF40" s="8">
        <f t="shared" si="80"/>
        <v>0</v>
      </c>
      <c r="FG40" s="8">
        <f t="shared" si="80"/>
        <v>0</v>
      </c>
      <c r="FH40" s="11">
        <f t="shared" si="142"/>
        <v>0</v>
      </c>
      <c r="FI40" s="30">
        <f t="shared" si="143"/>
      </c>
      <c r="FJ40" s="30">
        <f t="shared" si="143"/>
      </c>
      <c r="FK40" s="30">
        <f t="shared" si="143"/>
      </c>
      <c r="FL40" s="11">
        <f t="shared" si="81"/>
        <v>0</v>
      </c>
      <c r="FM40" s="11">
        <f t="shared" si="81"/>
        <v>0</v>
      </c>
      <c r="FN40" s="11">
        <f t="shared" si="82"/>
        <v>0</v>
      </c>
      <c r="FO40" s="11">
        <f t="shared" si="83"/>
        <v>0</v>
      </c>
      <c r="FP40" s="11">
        <f t="shared" si="83"/>
        <v>0</v>
      </c>
      <c r="FQ40" s="11">
        <f t="shared" si="84"/>
        <v>0</v>
      </c>
      <c r="FR40" s="11">
        <f t="shared" si="144"/>
        <v>0</v>
      </c>
      <c r="FS40" s="11">
        <f t="shared" si="144"/>
        <v>0</v>
      </c>
      <c r="FT40" s="11">
        <f t="shared" si="85"/>
        <v>0</v>
      </c>
      <c r="FU40" s="8">
        <f t="shared" si="86"/>
        <v>0</v>
      </c>
      <c r="FV40" s="8">
        <f t="shared" si="86"/>
        <v>0</v>
      </c>
      <c r="FW40" s="11">
        <f t="shared" si="145"/>
        <v>0</v>
      </c>
      <c r="FX40" s="30">
        <f t="shared" si="146"/>
      </c>
      <c r="FY40" s="30">
        <f t="shared" si="146"/>
      </c>
      <c r="FZ40" s="30">
        <f t="shared" si="146"/>
      </c>
      <c r="GA40" s="21">
        <f t="shared" si="147"/>
        <v>48254</v>
      </c>
      <c r="GB40" s="21">
        <f t="shared" si="148"/>
        <v>56092</v>
      </c>
      <c r="GC40" s="21">
        <f t="shared" si="149"/>
        <v>104346</v>
      </c>
      <c r="GD40" s="47">
        <v>963</v>
      </c>
      <c r="GE40" s="47">
        <v>1133</v>
      </c>
      <c r="GF40" s="21">
        <f t="shared" si="87"/>
        <v>2096</v>
      </c>
      <c r="GG40" s="21">
        <v>7967</v>
      </c>
      <c r="GH40" s="21">
        <v>13180</v>
      </c>
      <c r="GI40" s="21">
        <f t="shared" si="88"/>
        <v>21147</v>
      </c>
      <c r="GJ40" s="57">
        <f t="shared" si="89"/>
        <v>1.9956894765200812</v>
      </c>
      <c r="GK40" s="57">
        <f t="shared" si="90"/>
        <v>2.0198958853312416</v>
      </c>
      <c r="GL40" s="57">
        <f t="shared" si="91"/>
        <v>2.008701818948498</v>
      </c>
      <c r="GM40" s="46">
        <f t="shared" si="92"/>
        <v>16.510548348323454</v>
      </c>
      <c r="GN40" s="46">
        <f t="shared" si="93"/>
        <v>23.497111887613208</v>
      </c>
      <c r="GO40" s="46">
        <f t="shared" si="94"/>
        <v>20.266229659019032</v>
      </c>
      <c r="GP40" s="21">
        <f t="shared" si="95"/>
        <v>11297</v>
      </c>
      <c r="GQ40" s="21">
        <f t="shared" si="96"/>
        <v>12669</v>
      </c>
      <c r="GR40" s="21">
        <f t="shared" si="97"/>
        <v>23966</v>
      </c>
      <c r="GS40" s="47">
        <v>97</v>
      </c>
      <c r="GT40" s="47">
        <v>105</v>
      </c>
      <c r="GU40" s="21">
        <f t="shared" si="98"/>
        <v>202</v>
      </c>
      <c r="GV40" s="21">
        <v>1356</v>
      </c>
      <c r="GW40" s="21">
        <v>2163</v>
      </c>
      <c r="GX40" s="21">
        <f t="shared" si="99"/>
        <v>3519</v>
      </c>
      <c r="GY40" s="140">
        <f t="shared" si="100"/>
        <v>0.8586350358502257</v>
      </c>
      <c r="GZ40" s="140">
        <f t="shared" si="101"/>
        <v>0.8287946957139475</v>
      </c>
      <c r="HA40" s="140">
        <f t="shared" si="102"/>
        <v>0.8428607193524159</v>
      </c>
      <c r="HB40" s="138">
        <f t="shared" si="103"/>
        <v>12.00318668673099</v>
      </c>
      <c r="HC40" s="138">
        <f t="shared" si="104"/>
        <v>17.073170731707318</v>
      </c>
      <c r="HD40" s="138">
        <f t="shared" si="105"/>
        <v>14.683301343570058</v>
      </c>
      <c r="HE40" s="21">
        <f t="shared" si="106"/>
        <v>2020</v>
      </c>
      <c r="HF40" s="21">
        <f t="shared" si="107"/>
        <v>3489</v>
      </c>
      <c r="HG40" s="21">
        <f t="shared" si="108"/>
        <v>5509</v>
      </c>
      <c r="HH40" s="47">
        <v>22</v>
      </c>
      <c r="HI40" s="47">
        <v>21</v>
      </c>
      <c r="HJ40" s="21">
        <f t="shared" si="109"/>
        <v>43</v>
      </c>
      <c r="HK40" s="21">
        <v>236</v>
      </c>
      <c r="HL40" s="21">
        <v>427</v>
      </c>
      <c r="HM40" s="21">
        <f t="shared" si="110"/>
        <v>663</v>
      </c>
      <c r="HN40" s="57">
        <f t="shared" si="111"/>
        <v>1.0891089108910892</v>
      </c>
      <c r="HO40" s="57">
        <f>HI40/HF40%</f>
        <v>0.6018916595012898</v>
      </c>
      <c r="HP40" s="57">
        <f t="shared" si="112"/>
        <v>0.7805409330186966</v>
      </c>
      <c r="HQ40" s="46">
        <f t="shared" si="113"/>
        <v>11.683168316831683</v>
      </c>
      <c r="HR40" s="46">
        <f>HL40/HF40%</f>
        <v>12.238463743192892</v>
      </c>
      <c r="HS40" s="46">
        <f t="shared" si="114"/>
        <v>12.03485206026502</v>
      </c>
    </row>
    <row r="41" spans="1:227" ht="29.25" customHeight="1">
      <c r="A41" s="4">
        <v>32</v>
      </c>
      <c r="B41" s="6" t="s">
        <v>64</v>
      </c>
      <c r="C41" s="8">
        <v>338047</v>
      </c>
      <c r="D41" s="8">
        <v>352721</v>
      </c>
      <c r="E41" s="17">
        <f t="shared" si="154"/>
        <v>690768</v>
      </c>
      <c r="F41" s="8">
        <v>287721</v>
      </c>
      <c r="G41" s="8">
        <v>290137</v>
      </c>
      <c r="H41" s="9">
        <f t="shared" si="33"/>
        <v>577858</v>
      </c>
      <c r="I41" s="7">
        <v>28262</v>
      </c>
      <c r="J41" s="7">
        <v>27810</v>
      </c>
      <c r="K41" s="12">
        <f t="shared" si="155"/>
        <v>56072</v>
      </c>
      <c r="L41" s="8">
        <f t="shared" si="34"/>
        <v>315983</v>
      </c>
      <c r="M41" s="8">
        <f t="shared" si="34"/>
        <v>317947</v>
      </c>
      <c r="N41" s="8">
        <f t="shared" si="34"/>
        <v>633930</v>
      </c>
      <c r="O41" s="30">
        <f t="shared" si="32"/>
        <v>93.47309693622485</v>
      </c>
      <c r="P41" s="30">
        <f t="shared" si="32"/>
        <v>90.14121642884886</v>
      </c>
      <c r="Q41" s="30">
        <f t="shared" si="32"/>
        <v>91.77176707664513</v>
      </c>
      <c r="R41" s="94"/>
      <c r="S41" s="94"/>
      <c r="T41" s="98"/>
      <c r="U41" s="94"/>
      <c r="V41" s="94"/>
      <c r="W41" s="98"/>
      <c r="X41" s="96"/>
      <c r="Y41" s="96"/>
      <c r="Z41" s="93"/>
      <c r="AA41" s="94"/>
      <c r="AB41" s="94"/>
      <c r="AC41" s="93"/>
      <c r="AD41" s="95"/>
      <c r="AE41" s="95"/>
      <c r="AF41" s="95"/>
      <c r="AG41" s="11">
        <f t="shared" si="38"/>
        <v>338047</v>
      </c>
      <c r="AH41" s="11">
        <f t="shared" si="38"/>
        <v>352721</v>
      </c>
      <c r="AI41" s="11">
        <f t="shared" si="39"/>
        <v>690768</v>
      </c>
      <c r="AJ41" s="11">
        <f t="shared" si="40"/>
        <v>287721</v>
      </c>
      <c r="AK41" s="11">
        <f t="shared" si="40"/>
        <v>290137</v>
      </c>
      <c r="AL41" s="11">
        <f t="shared" si="41"/>
        <v>577858</v>
      </c>
      <c r="AM41" s="11">
        <f t="shared" si="150"/>
        <v>28262</v>
      </c>
      <c r="AN41" s="11">
        <f t="shared" si="150"/>
        <v>27810</v>
      </c>
      <c r="AO41" s="11">
        <f t="shared" si="42"/>
        <v>56072</v>
      </c>
      <c r="AP41" s="8">
        <f t="shared" si="43"/>
        <v>315983</v>
      </c>
      <c r="AQ41" s="8">
        <f t="shared" si="43"/>
        <v>317947</v>
      </c>
      <c r="AR41" s="11">
        <f t="shared" si="118"/>
        <v>633930</v>
      </c>
      <c r="AS41" s="30">
        <f t="shared" si="119"/>
        <v>93.47309693622485</v>
      </c>
      <c r="AT41" s="30">
        <f t="shared" si="119"/>
        <v>90.14121642884886</v>
      </c>
      <c r="AU41" s="30">
        <f t="shared" si="119"/>
        <v>91.77176707664513</v>
      </c>
      <c r="AV41" s="7">
        <v>92322</v>
      </c>
      <c r="AW41" s="7">
        <v>86124</v>
      </c>
      <c r="AX41" s="11">
        <f t="shared" si="44"/>
        <v>178446</v>
      </c>
      <c r="AY41" s="7">
        <v>75818</v>
      </c>
      <c r="AZ41" s="7">
        <v>67403</v>
      </c>
      <c r="BA41" s="12">
        <f>AY41+AZ41</f>
        <v>143221</v>
      </c>
      <c r="BB41" s="7">
        <v>8880</v>
      </c>
      <c r="BC41" s="7">
        <v>8157</v>
      </c>
      <c r="BD41" s="11">
        <f t="shared" si="162"/>
        <v>17037</v>
      </c>
      <c r="BE41" s="8">
        <f t="shared" si="46"/>
        <v>84698</v>
      </c>
      <c r="BF41" s="8">
        <f t="shared" si="46"/>
        <v>75560</v>
      </c>
      <c r="BG41" s="11">
        <f t="shared" si="120"/>
        <v>160258</v>
      </c>
      <c r="BH41" s="30">
        <f t="shared" si="121"/>
        <v>91.74194666493361</v>
      </c>
      <c r="BI41" s="30">
        <f t="shared" si="121"/>
        <v>87.73396498072546</v>
      </c>
      <c r="BJ41" s="30">
        <f t="shared" si="121"/>
        <v>89.80756083072751</v>
      </c>
      <c r="BK41" s="92"/>
      <c r="BL41" s="92"/>
      <c r="BM41" s="93"/>
      <c r="BN41" s="92"/>
      <c r="BO41" s="92"/>
      <c r="BP41" s="93"/>
      <c r="BQ41" s="96"/>
      <c r="BR41" s="96"/>
      <c r="BS41" s="93"/>
      <c r="BT41" s="94"/>
      <c r="BU41" s="94"/>
      <c r="BV41" s="93"/>
      <c r="BW41" s="95"/>
      <c r="BX41" s="95"/>
      <c r="BY41" s="95"/>
      <c r="BZ41" s="11">
        <f t="shared" si="51"/>
        <v>92322</v>
      </c>
      <c r="CA41" s="11">
        <f t="shared" si="51"/>
        <v>86124</v>
      </c>
      <c r="CB41" s="11">
        <f t="shared" si="52"/>
        <v>178446</v>
      </c>
      <c r="CC41" s="11">
        <f t="shared" si="53"/>
        <v>75818</v>
      </c>
      <c r="CD41" s="11">
        <f t="shared" si="53"/>
        <v>67403</v>
      </c>
      <c r="CE41" s="11">
        <f t="shared" si="54"/>
        <v>143221</v>
      </c>
      <c r="CF41" s="11">
        <f t="shared" si="153"/>
        <v>8880</v>
      </c>
      <c r="CG41" s="11">
        <f t="shared" si="153"/>
        <v>8157</v>
      </c>
      <c r="CH41" s="11">
        <f t="shared" si="55"/>
        <v>17037</v>
      </c>
      <c r="CI41" s="8">
        <f t="shared" si="56"/>
        <v>84698</v>
      </c>
      <c r="CJ41" s="8">
        <f t="shared" si="56"/>
        <v>75560</v>
      </c>
      <c r="CK41" s="11">
        <f t="shared" si="126"/>
        <v>160258</v>
      </c>
      <c r="CL41" s="30">
        <f t="shared" si="127"/>
        <v>91.74194666493361</v>
      </c>
      <c r="CM41" s="30">
        <f t="shared" si="127"/>
        <v>87.73396498072546</v>
      </c>
      <c r="CN41" s="30">
        <f t="shared" si="127"/>
        <v>89.80756083072751</v>
      </c>
      <c r="CO41" s="10">
        <v>16004</v>
      </c>
      <c r="CP41" s="10">
        <v>15248</v>
      </c>
      <c r="CQ41" s="11">
        <f t="shared" si="171"/>
        <v>31252</v>
      </c>
      <c r="CR41" s="10">
        <v>11683</v>
      </c>
      <c r="CS41" s="10">
        <v>10578</v>
      </c>
      <c r="CT41" s="11">
        <f t="shared" si="173"/>
        <v>22261</v>
      </c>
      <c r="CU41" s="7">
        <v>2552</v>
      </c>
      <c r="CV41" s="7">
        <v>2495</v>
      </c>
      <c r="CW41" s="11">
        <f>CU41+CV41</f>
        <v>5047</v>
      </c>
      <c r="CX41" s="8">
        <f t="shared" si="59"/>
        <v>14235</v>
      </c>
      <c r="CY41" s="8">
        <f t="shared" si="60"/>
        <v>13073</v>
      </c>
      <c r="CZ41" s="11">
        <f t="shared" si="128"/>
        <v>27308</v>
      </c>
      <c r="DA41" s="30">
        <f t="shared" si="129"/>
        <v>88.94651337165709</v>
      </c>
      <c r="DB41" s="30">
        <f t="shared" si="130"/>
        <v>85.73583420776495</v>
      </c>
      <c r="DC41" s="30">
        <f t="shared" si="131"/>
        <v>87.38000767950851</v>
      </c>
      <c r="DD41" s="92"/>
      <c r="DE41" s="92"/>
      <c r="DF41" s="93"/>
      <c r="DG41" s="92"/>
      <c r="DH41" s="92"/>
      <c r="DI41" s="93"/>
      <c r="DJ41" s="96"/>
      <c r="DK41" s="96"/>
      <c r="DL41" s="96"/>
      <c r="DM41" s="94"/>
      <c r="DN41" s="94"/>
      <c r="DO41" s="93"/>
      <c r="DP41" s="95"/>
      <c r="DQ41" s="95"/>
      <c r="DR41" s="95"/>
      <c r="DS41" s="11">
        <f t="shared" si="65"/>
        <v>16004</v>
      </c>
      <c r="DT41" s="11">
        <f t="shared" si="66"/>
        <v>15248</v>
      </c>
      <c r="DU41" s="11">
        <f t="shared" si="67"/>
        <v>31252</v>
      </c>
      <c r="DV41" s="11">
        <f t="shared" si="68"/>
        <v>11683</v>
      </c>
      <c r="DW41" s="11">
        <f t="shared" si="69"/>
        <v>10578</v>
      </c>
      <c r="DX41" s="11">
        <f t="shared" si="70"/>
        <v>22261</v>
      </c>
      <c r="DY41" s="11">
        <f t="shared" si="158"/>
        <v>2552</v>
      </c>
      <c r="DZ41" s="11">
        <f t="shared" si="159"/>
        <v>2495</v>
      </c>
      <c r="EA41" s="11">
        <f t="shared" si="71"/>
        <v>5047</v>
      </c>
      <c r="EB41" s="8">
        <f t="shared" si="72"/>
        <v>14235</v>
      </c>
      <c r="EC41" s="8">
        <f t="shared" si="73"/>
        <v>13073</v>
      </c>
      <c r="ED41" s="11">
        <f t="shared" si="135"/>
        <v>27308</v>
      </c>
      <c r="EE41" s="30">
        <f t="shared" si="136"/>
        <v>88.94651337165709</v>
      </c>
      <c r="EF41" s="30">
        <f t="shared" si="137"/>
        <v>85.73583420776495</v>
      </c>
      <c r="EG41" s="30">
        <f t="shared" si="138"/>
        <v>87.38000767950851</v>
      </c>
      <c r="EH41" s="10">
        <f>27475+1199</f>
        <v>28674</v>
      </c>
      <c r="EI41" s="10">
        <f>22148+676</f>
        <v>22824</v>
      </c>
      <c r="EJ41" s="11">
        <f t="shared" si="74"/>
        <v>51498</v>
      </c>
      <c r="EK41" s="10">
        <f>21877+682</f>
        <v>22559</v>
      </c>
      <c r="EL41" s="10">
        <f>17065+273</f>
        <v>17338</v>
      </c>
      <c r="EM41" s="11">
        <f t="shared" si="75"/>
        <v>39897</v>
      </c>
      <c r="EN41" s="7"/>
      <c r="EO41" s="7"/>
      <c r="EP41" s="11">
        <f>EN41+EO41</f>
        <v>0</v>
      </c>
      <c r="EQ41" s="8">
        <f t="shared" si="77"/>
        <v>22559</v>
      </c>
      <c r="ER41" s="8">
        <f t="shared" si="77"/>
        <v>17338</v>
      </c>
      <c r="ES41" s="11">
        <f t="shared" si="139"/>
        <v>39897</v>
      </c>
      <c r="ET41" s="30">
        <f t="shared" si="140"/>
        <v>78.6740601241543</v>
      </c>
      <c r="EU41" s="30">
        <f t="shared" si="140"/>
        <v>75.96389765159482</v>
      </c>
      <c r="EV41" s="30">
        <f t="shared" si="140"/>
        <v>77.47291156938132</v>
      </c>
      <c r="EW41" s="10"/>
      <c r="EX41" s="10"/>
      <c r="EY41" s="11">
        <f t="shared" si="78"/>
        <v>0</v>
      </c>
      <c r="EZ41" s="10"/>
      <c r="FA41" s="10"/>
      <c r="FB41" s="11">
        <f t="shared" si="79"/>
        <v>0</v>
      </c>
      <c r="FC41" s="7"/>
      <c r="FD41" s="7"/>
      <c r="FE41" s="7">
        <f t="shared" si="141"/>
        <v>0</v>
      </c>
      <c r="FF41" s="8">
        <f t="shared" si="80"/>
        <v>0</v>
      </c>
      <c r="FG41" s="8">
        <f t="shared" si="80"/>
        <v>0</v>
      </c>
      <c r="FH41" s="11">
        <f t="shared" si="142"/>
        <v>0</v>
      </c>
      <c r="FI41" s="30">
        <f t="shared" si="143"/>
      </c>
      <c r="FJ41" s="30">
        <f t="shared" si="143"/>
      </c>
      <c r="FK41" s="30">
        <f t="shared" si="143"/>
      </c>
      <c r="FL41" s="11">
        <f t="shared" si="81"/>
        <v>28674</v>
      </c>
      <c r="FM41" s="11">
        <f t="shared" si="81"/>
        <v>22824</v>
      </c>
      <c r="FN41" s="11">
        <f t="shared" si="82"/>
        <v>51498</v>
      </c>
      <c r="FO41" s="11">
        <f t="shared" si="83"/>
        <v>22559</v>
      </c>
      <c r="FP41" s="11">
        <f t="shared" si="83"/>
        <v>17338</v>
      </c>
      <c r="FQ41" s="11">
        <f t="shared" si="84"/>
        <v>39897</v>
      </c>
      <c r="FR41" s="11">
        <f t="shared" si="144"/>
        <v>0</v>
      </c>
      <c r="FS41" s="11">
        <f t="shared" si="144"/>
        <v>0</v>
      </c>
      <c r="FT41" s="11">
        <f t="shared" si="85"/>
        <v>0</v>
      </c>
      <c r="FU41" s="8">
        <f t="shared" si="86"/>
        <v>22559</v>
      </c>
      <c r="FV41" s="8">
        <f t="shared" si="86"/>
        <v>17338</v>
      </c>
      <c r="FW41" s="11">
        <f t="shared" si="145"/>
        <v>39897</v>
      </c>
      <c r="FX41" s="30">
        <f t="shared" si="146"/>
        <v>78.6740601241543</v>
      </c>
      <c r="FY41" s="30">
        <f t="shared" si="146"/>
        <v>75.96389765159482</v>
      </c>
      <c r="FZ41" s="30">
        <f t="shared" si="146"/>
        <v>77.47291156938132</v>
      </c>
      <c r="GA41" s="21">
        <f t="shared" si="147"/>
        <v>315983</v>
      </c>
      <c r="GB41" s="21">
        <f t="shared" si="148"/>
        <v>317947</v>
      </c>
      <c r="GC41" s="21">
        <f t="shared" si="149"/>
        <v>633930</v>
      </c>
      <c r="GD41" s="98"/>
      <c r="GE41" s="98"/>
      <c r="GF41" s="98"/>
      <c r="GG41" s="98"/>
      <c r="GH41" s="98"/>
      <c r="GI41" s="98"/>
      <c r="GJ41" s="95"/>
      <c r="GK41" s="95"/>
      <c r="GL41" s="95"/>
      <c r="GM41" s="103"/>
      <c r="GN41" s="103"/>
      <c r="GO41" s="103"/>
      <c r="GP41" s="21">
        <f t="shared" si="95"/>
        <v>84698</v>
      </c>
      <c r="GQ41" s="21">
        <f t="shared" si="96"/>
        <v>75560</v>
      </c>
      <c r="GR41" s="21">
        <f t="shared" si="97"/>
        <v>160258</v>
      </c>
      <c r="GS41" s="98"/>
      <c r="GT41" s="98"/>
      <c r="GU41" s="98"/>
      <c r="GV41" s="98"/>
      <c r="GW41" s="98"/>
      <c r="GX41" s="98"/>
      <c r="GY41" s="95"/>
      <c r="GZ41" s="95"/>
      <c r="HA41" s="95"/>
      <c r="HB41" s="103"/>
      <c r="HC41" s="103"/>
      <c r="HD41" s="103"/>
      <c r="HE41" s="21">
        <f t="shared" si="106"/>
        <v>14235</v>
      </c>
      <c r="HF41" s="21">
        <f t="shared" si="107"/>
        <v>13073</v>
      </c>
      <c r="HG41" s="21">
        <f t="shared" si="108"/>
        <v>27308</v>
      </c>
      <c r="HH41" s="98"/>
      <c r="HI41" s="98"/>
      <c r="HJ41" s="98"/>
      <c r="HK41" s="98"/>
      <c r="HL41" s="98"/>
      <c r="HM41" s="98"/>
      <c r="HN41" s="95"/>
      <c r="HO41" s="95"/>
      <c r="HP41" s="95"/>
      <c r="HQ41" s="103"/>
      <c r="HR41" s="103"/>
      <c r="HS41" s="103"/>
    </row>
    <row r="42" spans="1:227" ht="29.25" customHeight="1">
      <c r="A42" s="4">
        <v>33</v>
      </c>
      <c r="B42" s="80" t="s">
        <v>115</v>
      </c>
      <c r="C42" s="110">
        <v>2201</v>
      </c>
      <c r="D42" s="110">
        <v>1550</v>
      </c>
      <c r="E42" s="111">
        <v>3751</v>
      </c>
      <c r="F42" s="110">
        <v>1918</v>
      </c>
      <c r="G42" s="110">
        <v>1031</v>
      </c>
      <c r="H42" s="112">
        <v>2949</v>
      </c>
      <c r="I42" s="130"/>
      <c r="J42" s="130"/>
      <c r="K42" s="133"/>
      <c r="L42" s="110">
        <v>1918</v>
      </c>
      <c r="M42" s="110">
        <v>1031</v>
      </c>
      <c r="N42" s="110">
        <v>2949</v>
      </c>
      <c r="O42" s="134">
        <v>87.1</v>
      </c>
      <c r="P42" s="134">
        <v>66.5</v>
      </c>
      <c r="Q42" s="134">
        <v>78.6</v>
      </c>
      <c r="R42" s="128"/>
      <c r="S42" s="128"/>
      <c r="T42" s="129"/>
      <c r="U42" s="128"/>
      <c r="V42" s="128"/>
      <c r="W42" s="129"/>
      <c r="X42" s="130"/>
      <c r="Y42" s="130"/>
      <c r="Z42" s="131"/>
      <c r="AA42" s="128"/>
      <c r="AB42" s="128"/>
      <c r="AC42" s="131"/>
      <c r="AD42" s="132"/>
      <c r="AE42" s="132"/>
      <c r="AF42" s="132"/>
      <c r="AG42" s="114">
        <v>2201</v>
      </c>
      <c r="AH42" s="114">
        <v>1550</v>
      </c>
      <c r="AI42" s="114">
        <v>3751</v>
      </c>
      <c r="AJ42" s="114">
        <v>1918</v>
      </c>
      <c r="AK42" s="114">
        <v>1031</v>
      </c>
      <c r="AL42" s="114">
        <v>2949</v>
      </c>
      <c r="AM42" s="131"/>
      <c r="AN42" s="131"/>
      <c r="AO42" s="131"/>
      <c r="AP42" s="110">
        <v>1918</v>
      </c>
      <c r="AQ42" s="110">
        <v>1031</v>
      </c>
      <c r="AR42" s="114">
        <v>2949</v>
      </c>
      <c r="AS42" s="30">
        <v>87.1</v>
      </c>
      <c r="AT42" s="30">
        <v>66.5</v>
      </c>
      <c r="AU42" s="30">
        <v>78.6</v>
      </c>
      <c r="AV42" s="135"/>
      <c r="AW42" s="136"/>
      <c r="AX42" s="131"/>
      <c r="AY42" s="137"/>
      <c r="AZ42" s="136"/>
      <c r="BA42" s="133"/>
      <c r="BB42" s="130"/>
      <c r="BC42" s="130"/>
      <c r="BD42" s="131"/>
      <c r="BE42" s="128"/>
      <c r="BF42" s="128"/>
      <c r="BG42" s="131"/>
      <c r="BH42" s="132"/>
      <c r="BI42" s="132"/>
      <c r="BJ42" s="132"/>
      <c r="BK42" s="136"/>
      <c r="BL42" s="136"/>
      <c r="BM42" s="131"/>
      <c r="BN42" s="136"/>
      <c r="BO42" s="136"/>
      <c r="BP42" s="131"/>
      <c r="BQ42" s="130"/>
      <c r="BR42" s="130"/>
      <c r="BS42" s="131"/>
      <c r="BT42" s="128"/>
      <c r="BU42" s="128"/>
      <c r="BV42" s="131"/>
      <c r="BW42" s="132"/>
      <c r="BX42" s="132"/>
      <c r="BY42" s="132"/>
      <c r="BZ42" s="131"/>
      <c r="CA42" s="131"/>
      <c r="CB42" s="131"/>
      <c r="CC42" s="131"/>
      <c r="CD42" s="131"/>
      <c r="CE42" s="131"/>
      <c r="CF42" s="131"/>
      <c r="CG42" s="131"/>
      <c r="CH42" s="131"/>
      <c r="CI42" s="128"/>
      <c r="CJ42" s="128"/>
      <c r="CK42" s="131"/>
      <c r="CL42" s="132"/>
      <c r="CM42" s="132"/>
      <c r="CN42" s="132"/>
      <c r="CO42" s="136"/>
      <c r="CP42" s="136"/>
      <c r="CQ42" s="131"/>
      <c r="CR42" s="137"/>
      <c r="CS42" s="136"/>
      <c r="CT42" s="131"/>
      <c r="CU42" s="130"/>
      <c r="CV42" s="130"/>
      <c r="CW42" s="131"/>
      <c r="CX42" s="128"/>
      <c r="CY42" s="128"/>
      <c r="CZ42" s="131"/>
      <c r="DA42" s="132"/>
      <c r="DB42" s="132"/>
      <c r="DC42" s="132"/>
      <c r="DD42" s="136"/>
      <c r="DE42" s="136"/>
      <c r="DF42" s="131"/>
      <c r="DG42" s="136"/>
      <c r="DH42" s="136"/>
      <c r="DI42" s="131"/>
      <c r="DJ42" s="130"/>
      <c r="DK42" s="130"/>
      <c r="DL42" s="130"/>
      <c r="DM42" s="128"/>
      <c r="DN42" s="128"/>
      <c r="DO42" s="131"/>
      <c r="DP42" s="132"/>
      <c r="DQ42" s="132"/>
      <c r="DR42" s="132"/>
      <c r="DS42" s="131"/>
      <c r="DT42" s="131"/>
      <c r="DU42" s="131"/>
      <c r="DV42" s="131"/>
      <c r="DW42" s="131"/>
      <c r="DX42" s="131"/>
      <c r="DY42" s="131"/>
      <c r="DZ42" s="131"/>
      <c r="EA42" s="131"/>
      <c r="EB42" s="128"/>
      <c r="EC42" s="128"/>
      <c r="ED42" s="131"/>
      <c r="EE42" s="132"/>
      <c r="EF42" s="132"/>
      <c r="EG42" s="132"/>
      <c r="EH42" s="115">
        <v>1918</v>
      </c>
      <c r="EI42" s="115">
        <v>1031</v>
      </c>
      <c r="EJ42" s="114">
        <v>2949</v>
      </c>
      <c r="EK42" s="116">
        <v>77</v>
      </c>
      <c r="EL42" s="115">
        <v>4</v>
      </c>
      <c r="EM42" s="114">
        <v>81</v>
      </c>
      <c r="EN42" s="117">
        <v>443</v>
      </c>
      <c r="EO42" s="117">
        <v>94</v>
      </c>
      <c r="EP42" s="114">
        <v>537</v>
      </c>
      <c r="EQ42" s="110">
        <v>4</v>
      </c>
      <c r="ER42" s="110">
        <v>0.4</v>
      </c>
      <c r="ES42" s="114">
        <v>2.7</v>
      </c>
      <c r="ET42" s="113">
        <v>23.1</v>
      </c>
      <c r="EU42" s="113">
        <v>9.1</v>
      </c>
      <c r="EV42" s="113">
        <v>18.2</v>
      </c>
      <c r="EW42" s="115"/>
      <c r="EX42" s="115"/>
      <c r="EY42" s="114"/>
      <c r="EZ42" s="115"/>
      <c r="FA42" s="115"/>
      <c r="FB42" s="114"/>
      <c r="FC42" s="117"/>
      <c r="FD42" s="117"/>
      <c r="FE42" s="117"/>
      <c r="FF42" s="110"/>
      <c r="FG42" s="110"/>
      <c r="FH42" s="114"/>
      <c r="FI42" s="113"/>
      <c r="FJ42" s="113"/>
      <c r="FK42" s="113"/>
      <c r="FL42" s="114"/>
      <c r="FM42" s="114"/>
      <c r="FN42" s="114"/>
      <c r="FO42" s="114"/>
      <c r="FP42" s="114"/>
      <c r="FQ42" s="114"/>
      <c r="FR42" s="114"/>
      <c r="FS42" s="114"/>
      <c r="FT42" s="114"/>
      <c r="FU42" s="110"/>
      <c r="FV42" s="110"/>
      <c r="FW42" s="114"/>
      <c r="FX42" s="113"/>
      <c r="FY42" s="113"/>
      <c r="FZ42" s="113"/>
      <c r="GA42" s="21">
        <f aca="true" t="shared" si="175" ref="GA42:GC43">AP42</f>
        <v>1918</v>
      </c>
      <c r="GB42" s="21">
        <f t="shared" si="175"/>
        <v>1031</v>
      </c>
      <c r="GC42" s="21">
        <f t="shared" si="175"/>
        <v>2949</v>
      </c>
      <c r="GD42" s="119">
        <v>77</v>
      </c>
      <c r="GE42" s="120">
        <v>4</v>
      </c>
      <c r="GF42" s="118">
        <f t="shared" si="87"/>
        <v>81</v>
      </c>
      <c r="GG42" s="118">
        <v>443</v>
      </c>
      <c r="GH42" s="118">
        <v>94</v>
      </c>
      <c r="GI42" s="118">
        <f t="shared" si="88"/>
        <v>537</v>
      </c>
      <c r="GJ42" s="57">
        <f aca="true" t="shared" si="176" ref="GJ42:GL43">GD42/GA42%</f>
        <v>4.014598540145985</v>
      </c>
      <c r="GK42" s="57">
        <f t="shared" si="176"/>
        <v>0.3879728419010669</v>
      </c>
      <c r="GL42" s="57">
        <f t="shared" si="176"/>
        <v>2.7466937945066126</v>
      </c>
      <c r="GM42" s="46">
        <f aca="true" t="shared" si="177" ref="GM42:GO43">GG42/GA42%</f>
        <v>23.096976016684046</v>
      </c>
      <c r="GN42" s="46">
        <f t="shared" si="177"/>
        <v>9.117361784675072</v>
      </c>
      <c r="GO42" s="46">
        <f t="shared" si="177"/>
        <v>18.209562563580874</v>
      </c>
      <c r="GP42" s="98"/>
      <c r="GQ42" s="98"/>
      <c r="GR42" s="98"/>
      <c r="GS42" s="129"/>
      <c r="GT42" s="129"/>
      <c r="GU42" s="129"/>
      <c r="GV42" s="129"/>
      <c r="GW42" s="129"/>
      <c r="GX42" s="129"/>
      <c r="GY42" s="132"/>
      <c r="GZ42" s="132"/>
      <c r="HA42" s="132"/>
      <c r="HB42" s="139"/>
      <c r="HC42" s="139"/>
      <c r="HD42" s="139"/>
      <c r="HE42" s="98"/>
      <c r="HF42" s="98"/>
      <c r="HG42" s="98"/>
      <c r="HH42" s="129"/>
      <c r="HI42" s="129"/>
      <c r="HJ42" s="129"/>
      <c r="HK42" s="129"/>
      <c r="HL42" s="129"/>
      <c r="HM42" s="129"/>
      <c r="HN42" s="132"/>
      <c r="HO42" s="132"/>
      <c r="HP42" s="132"/>
      <c r="HQ42" s="139"/>
      <c r="HR42" s="139"/>
      <c r="HS42" s="139"/>
    </row>
    <row r="43" spans="1:227" ht="29.25" customHeight="1">
      <c r="A43" s="4">
        <v>34</v>
      </c>
      <c r="B43" s="105" t="s">
        <v>88</v>
      </c>
      <c r="C43" s="8">
        <v>209190</v>
      </c>
      <c r="D43" s="8">
        <v>209181</v>
      </c>
      <c r="E43" s="17">
        <f aca="true" t="shared" si="178" ref="E43:E50">C43+D43</f>
        <v>418371</v>
      </c>
      <c r="F43" s="8">
        <v>120729</v>
      </c>
      <c r="G43" s="8">
        <v>141827</v>
      </c>
      <c r="H43" s="9">
        <f aca="true" t="shared" si="179" ref="H43:H50">F43+G43</f>
        <v>262556</v>
      </c>
      <c r="I43" s="92">
        <v>0</v>
      </c>
      <c r="J43" s="92"/>
      <c r="K43" s="100"/>
      <c r="L43" s="8">
        <f aca="true" t="shared" si="180" ref="L43:L50">SUM(F43,I43)</f>
        <v>120729</v>
      </c>
      <c r="M43" s="8">
        <f aca="true" t="shared" si="181" ref="M43:M50">SUM(G43,J43)</f>
        <v>141827</v>
      </c>
      <c r="N43" s="8">
        <f aca="true" t="shared" si="182" ref="N43:N50">SUM(H43,K43)</f>
        <v>262556</v>
      </c>
      <c r="O43" s="30">
        <f aca="true" t="shared" si="183" ref="O43:O51">L43/C43*100</f>
        <v>57.71260576509394</v>
      </c>
      <c r="P43" s="30">
        <f aca="true" t="shared" si="184" ref="P43:P51">M43/D43*100</f>
        <v>67.80109092125957</v>
      </c>
      <c r="Q43" s="30">
        <f aca="true" t="shared" si="185" ref="Q43:Q51">N43/E43*100</f>
        <v>62.75673983139367</v>
      </c>
      <c r="R43" s="8">
        <v>145829</v>
      </c>
      <c r="S43" s="8">
        <v>99842</v>
      </c>
      <c r="T43" s="9">
        <f>R43+S43</f>
        <v>245671</v>
      </c>
      <c r="U43" s="8">
        <v>14605</v>
      </c>
      <c r="V43" s="8">
        <v>10083</v>
      </c>
      <c r="W43" s="9">
        <f>U43+V43</f>
        <v>24688</v>
      </c>
      <c r="X43" s="10">
        <v>36837</v>
      </c>
      <c r="Y43" s="10">
        <v>28877</v>
      </c>
      <c r="Z43" s="11">
        <f>X43+Y43</f>
        <v>65714</v>
      </c>
      <c r="AA43" s="8">
        <f>SUM(U43,X43)</f>
        <v>51442</v>
      </c>
      <c r="AB43" s="8">
        <f>SUM(V43,Y43)</f>
        <v>38960</v>
      </c>
      <c r="AC43" s="11">
        <f>SUM(AA43,AB43)</f>
        <v>90402</v>
      </c>
      <c r="AD43" s="30">
        <f>IF(R43=0,"",AA43/R43*100)</f>
        <v>35.27556247385636</v>
      </c>
      <c r="AE43" s="30">
        <f>IF(S43=0,"",AB43/S43*100)</f>
        <v>39.021654213657584</v>
      </c>
      <c r="AF43" s="30">
        <f>IF(T43=0,"",AC43/T43*100)</f>
        <v>36.79799406523359</v>
      </c>
      <c r="AG43" s="11">
        <f aca="true" t="shared" si="186" ref="AG43:AH46">C43+R43</f>
        <v>355019</v>
      </c>
      <c r="AH43" s="11">
        <f t="shared" si="186"/>
        <v>309023</v>
      </c>
      <c r="AI43" s="11">
        <f aca="true" t="shared" si="187" ref="AI43:AI50">AG43+AH43</f>
        <v>664042</v>
      </c>
      <c r="AJ43" s="11">
        <f aca="true" t="shared" si="188" ref="AJ43:AK46">F43+U43</f>
        <v>135334</v>
      </c>
      <c r="AK43" s="11">
        <f t="shared" si="188"/>
        <v>151910</v>
      </c>
      <c r="AL43" s="11">
        <f aca="true" t="shared" si="189" ref="AL43:AL50">AJ43+AK43</f>
        <v>287244</v>
      </c>
      <c r="AM43" s="11">
        <f>I43+X43</f>
        <v>36837</v>
      </c>
      <c r="AN43" s="11">
        <f>J43+Y43</f>
        <v>28877</v>
      </c>
      <c r="AO43" s="11">
        <f>AM43+AN43</f>
        <v>65714</v>
      </c>
      <c r="AP43" s="8">
        <f aca="true" t="shared" si="190" ref="AP43:AQ46">SUM(AJ43,AM43)</f>
        <v>172171</v>
      </c>
      <c r="AQ43" s="8">
        <f t="shared" si="190"/>
        <v>180787</v>
      </c>
      <c r="AR43" s="11">
        <f aca="true" t="shared" si="191" ref="AR43:AR50">SUM(AP43,AQ43)</f>
        <v>352958</v>
      </c>
      <c r="AS43" s="30">
        <f>IF(AG43=0,"",AP43/AG43*100)</f>
        <v>48.49627766401235</v>
      </c>
      <c r="AT43" s="30">
        <f>IF(AH43=0,"",AQ43/AH43*100)</f>
        <v>58.50276516634684</v>
      </c>
      <c r="AU43" s="30">
        <f>IF(AI43=0,"",AR43/AI43*100)</f>
        <v>53.152963216182116</v>
      </c>
      <c r="AV43" s="10">
        <v>33537</v>
      </c>
      <c r="AW43" s="10">
        <v>37152</v>
      </c>
      <c r="AX43" s="11">
        <f>AV43+AW43</f>
        <v>70689</v>
      </c>
      <c r="AY43" s="10">
        <v>16120</v>
      </c>
      <c r="AZ43" s="10">
        <v>21892</v>
      </c>
      <c r="BA43" s="11">
        <f>AY43+AZ43</f>
        <v>38012</v>
      </c>
      <c r="BB43" s="92"/>
      <c r="BC43" s="92"/>
      <c r="BD43" s="93"/>
      <c r="BE43" s="8">
        <f>SUM(AY43,BB43)</f>
        <v>16120</v>
      </c>
      <c r="BF43" s="8">
        <f>SUM(AZ43,BC43)</f>
        <v>21892</v>
      </c>
      <c r="BG43" s="11">
        <f>SUM(BE43,BF43)</f>
        <v>38012</v>
      </c>
      <c r="BH43" s="30">
        <f aca="true" t="shared" si="192" ref="BH43:BJ44">IF(AV43=0,"",BE43/AV43*100)</f>
        <v>48.06631481647136</v>
      </c>
      <c r="BI43" s="30">
        <f t="shared" si="192"/>
        <v>58.925495262704565</v>
      </c>
      <c r="BJ43" s="30">
        <f t="shared" si="192"/>
        <v>53.77357155993153</v>
      </c>
      <c r="BK43" s="10">
        <v>29511</v>
      </c>
      <c r="BL43" s="10">
        <v>23820</v>
      </c>
      <c r="BM43" s="11">
        <f>BK43+BL43</f>
        <v>53331</v>
      </c>
      <c r="BN43" s="10">
        <v>2885</v>
      </c>
      <c r="BO43" s="10">
        <v>2470</v>
      </c>
      <c r="BP43" s="11">
        <f>BN43+BO43</f>
        <v>5355</v>
      </c>
      <c r="BQ43" s="10">
        <v>6574</v>
      </c>
      <c r="BR43" s="10">
        <v>6223</v>
      </c>
      <c r="BS43" s="11">
        <f>BQ43+BR43</f>
        <v>12797</v>
      </c>
      <c r="BT43" s="8">
        <f>SUM(BN43,BQ43)</f>
        <v>9459</v>
      </c>
      <c r="BU43" s="8">
        <f>SUM(BO43,BR43)</f>
        <v>8693</v>
      </c>
      <c r="BV43" s="11">
        <f>SUM(BT43,BU43)</f>
        <v>18152</v>
      </c>
      <c r="BW43" s="30">
        <f>IF(BK43=0,"",BT43/BK43*100)</f>
        <v>32.05245501677341</v>
      </c>
      <c r="BX43" s="30">
        <f>IF(BL43=0,"",BU43/BL43*100)</f>
        <v>36.49454240134341</v>
      </c>
      <c r="BY43" s="30">
        <f>IF(BM43=0,"",BV43/BM43*100)</f>
        <v>34.036489096397965</v>
      </c>
      <c r="BZ43" s="11">
        <f>AV43+BK43</f>
        <v>63048</v>
      </c>
      <c r="CA43" s="11">
        <f>AW43+BL43</f>
        <v>60972</v>
      </c>
      <c r="CB43" s="11">
        <f>BZ43+CA43</f>
        <v>124020</v>
      </c>
      <c r="CC43" s="11">
        <f>AY43+BN43</f>
        <v>19005</v>
      </c>
      <c r="CD43" s="11">
        <f>AZ43+BO43</f>
        <v>24362</v>
      </c>
      <c r="CE43" s="11">
        <f>CC43+CD43</f>
        <v>43367</v>
      </c>
      <c r="CF43" s="11">
        <f>BB43+BQ43</f>
        <v>6574</v>
      </c>
      <c r="CG43" s="11">
        <f>BC43+BR43</f>
        <v>6223</v>
      </c>
      <c r="CH43" s="11">
        <f>CF43+CG43</f>
        <v>12797</v>
      </c>
      <c r="CI43" s="8">
        <f>SUM(CC43,CF43)</f>
        <v>25579</v>
      </c>
      <c r="CJ43" s="8">
        <f>SUM(CD43,CG43)</f>
        <v>30585</v>
      </c>
      <c r="CK43" s="11">
        <f>SUM(CI43,CJ43)</f>
        <v>56164</v>
      </c>
      <c r="CL43" s="30">
        <f aca="true" t="shared" si="193" ref="CL43:CN44">IF(BZ43=0,"",CI43/BZ43*100)</f>
        <v>40.57067631011293</v>
      </c>
      <c r="CM43" s="30">
        <f t="shared" si="193"/>
        <v>50.16236961228104</v>
      </c>
      <c r="CN43" s="30">
        <f t="shared" si="193"/>
        <v>45.28624415416868</v>
      </c>
      <c r="CO43" s="10">
        <v>18895</v>
      </c>
      <c r="CP43" s="10">
        <v>17009</v>
      </c>
      <c r="CQ43" s="11">
        <f>CO43+CP43</f>
        <v>35904</v>
      </c>
      <c r="CR43" s="10">
        <v>10443</v>
      </c>
      <c r="CS43" s="10">
        <v>9970</v>
      </c>
      <c r="CT43" s="11">
        <f>CR43+CS43</f>
        <v>20413</v>
      </c>
      <c r="CU43" s="92"/>
      <c r="CV43" s="92"/>
      <c r="CW43" s="93"/>
      <c r="CX43" s="8">
        <f>SUM(CR43,CU43)</f>
        <v>10443</v>
      </c>
      <c r="CY43" s="8">
        <f>SUM(CS43,CV43)</f>
        <v>9970</v>
      </c>
      <c r="CZ43" s="11">
        <f>SUM(CX43,CY43)</f>
        <v>20413</v>
      </c>
      <c r="DA43" s="30">
        <f aca="true" t="shared" si="194" ref="DA43:DC44">IF(CO43=0,"",CX43/CO43*100)</f>
        <v>55.26858957396137</v>
      </c>
      <c r="DB43" s="30">
        <f t="shared" si="194"/>
        <v>58.61602680933623</v>
      </c>
      <c r="DC43" s="30">
        <f t="shared" si="194"/>
        <v>56.85438948306596</v>
      </c>
      <c r="DD43" s="10">
        <v>13297</v>
      </c>
      <c r="DE43" s="10">
        <v>10306</v>
      </c>
      <c r="DF43" s="11">
        <f>DD43+DE43</f>
        <v>23603</v>
      </c>
      <c r="DG43" s="10">
        <v>1382</v>
      </c>
      <c r="DH43" s="10">
        <v>1007</v>
      </c>
      <c r="DI43" s="11">
        <f>DG43+DH43</f>
        <v>2389</v>
      </c>
      <c r="DJ43" s="10">
        <v>3390</v>
      </c>
      <c r="DK43" s="10">
        <v>2852</v>
      </c>
      <c r="DL43" s="7">
        <f>SUM(DJ43:DK43)</f>
        <v>6242</v>
      </c>
      <c r="DM43" s="8">
        <f>SUM(DG43,DJ43)</f>
        <v>4772</v>
      </c>
      <c r="DN43" s="8">
        <f>SUM(DH43,DK43)</f>
        <v>3859</v>
      </c>
      <c r="DO43" s="11">
        <f>SUM(DM43,DN43)</f>
        <v>8631</v>
      </c>
      <c r="DP43" s="30">
        <f>IF(DD43=0,"",DM43/DD43*100)</f>
        <v>35.887794239302096</v>
      </c>
      <c r="DQ43" s="30">
        <f>IF(DE43=0,"",DN43/DE43*100)</f>
        <v>37.44420725790801</v>
      </c>
      <c r="DR43" s="30">
        <f>IF(DF43=0,"",DO43/DF43*100)</f>
        <v>36.567385501842985</v>
      </c>
      <c r="DS43" s="11">
        <f>CO43+DD43</f>
        <v>32192</v>
      </c>
      <c r="DT43" s="11">
        <f>CP43+DE43</f>
        <v>27315</v>
      </c>
      <c r="DU43" s="11">
        <f>DS43+DT43</f>
        <v>59507</v>
      </c>
      <c r="DV43" s="11">
        <f>CR43+DG43</f>
        <v>11825</v>
      </c>
      <c r="DW43" s="11">
        <f>CS43+DH43</f>
        <v>10977</v>
      </c>
      <c r="DX43" s="11">
        <f>DV43+DW43</f>
        <v>22802</v>
      </c>
      <c r="DY43" s="11">
        <f>CU43+DJ43</f>
        <v>3390</v>
      </c>
      <c r="DZ43" s="11">
        <f>CV43+DK43</f>
        <v>2852</v>
      </c>
      <c r="EA43" s="11">
        <f>DY43+DZ43</f>
        <v>6242</v>
      </c>
      <c r="EB43" s="8">
        <f>SUM(DV43,DY43)</f>
        <v>15215</v>
      </c>
      <c r="EC43" s="8">
        <f>SUM(DW43,DZ43)</f>
        <v>13829</v>
      </c>
      <c r="ED43" s="11">
        <f>SUM(EB43,EC43)</f>
        <v>29044</v>
      </c>
      <c r="EE43" s="30">
        <f aca="true" t="shared" si="195" ref="EE43:EG44">IF(DS43=0,"",EB43/DS43*100)</f>
        <v>47.26329522862823</v>
      </c>
      <c r="EF43" s="30">
        <f t="shared" si="195"/>
        <v>50.62786015010068</v>
      </c>
      <c r="EG43" s="30">
        <f t="shared" si="195"/>
        <v>48.807703295410626</v>
      </c>
      <c r="EH43" s="10"/>
      <c r="EI43" s="10"/>
      <c r="EJ43" s="11"/>
      <c r="EK43" s="10"/>
      <c r="EL43" s="10"/>
      <c r="EM43" s="11"/>
      <c r="EN43" s="10"/>
      <c r="EO43" s="10"/>
      <c r="EP43" s="11"/>
      <c r="EQ43" s="8"/>
      <c r="ER43" s="8"/>
      <c r="ES43" s="11"/>
      <c r="ET43" s="30"/>
      <c r="EU43" s="30"/>
      <c r="EV43" s="30"/>
      <c r="EW43" s="10"/>
      <c r="EX43" s="10"/>
      <c r="EY43" s="11"/>
      <c r="EZ43" s="10"/>
      <c r="FA43" s="10"/>
      <c r="FB43" s="11"/>
      <c r="FC43" s="10"/>
      <c r="FD43" s="10"/>
      <c r="FE43" s="7"/>
      <c r="FF43" s="8"/>
      <c r="FG43" s="8"/>
      <c r="FH43" s="11"/>
      <c r="FI43" s="30"/>
      <c r="FJ43" s="30"/>
      <c r="FK43" s="30"/>
      <c r="FL43" s="11"/>
      <c r="FM43" s="11"/>
      <c r="FN43" s="11"/>
      <c r="FO43" s="11"/>
      <c r="FP43" s="11"/>
      <c r="FQ43" s="11"/>
      <c r="FR43" s="11"/>
      <c r="FS43" s="11"/>
      <c r="FT43" s="11"/>
      <c r="FU43" s="8"/>
      <c r="FV43" s="8"/>
      <c r="FW43" s="11"/>
      <c r="FX43" s="30"/>
      <c r="FY43" s="30"/>
      <c r="FZ43" s="30"/>
      <c r="GA43" s="21">
        <f t="shared" si="175"/>
        <v>172171</v>
      </c>
      <c r="GB43" s="21">
        <f t="shared" si="175"/>
        <v>180787</v>
      </c>
      <c r="GC43" s="21">
        <f t="shared" si="175"/>
        <v>352958</v>
      </c>
      <c r="GD43" s="47">
        <v>61358</v>
      </c>
      <c r="GE43" s="47">
        <v>76920</v>
      </c>
      <c r="GF43" s="21">
        <f>GD43+GE43</f>
        <v>138278</v>
      </c>
      <c r="GG43" s="21">
        <v>37051</v>
      </c>
      <c r="GH43" s="21">
        <v>44765</v>
      </c>
      <c r="GI43" s="21">
        <f>GG43+GH43</f>
        <v>81816</v>
      </c>
      <c r="GJ43" s="57">
        <f t="shared" si="176"/>
        <v>35.63782518542612</v>
      </c>
      <c r="GK43" s="57">
        <f t="shared" si="176"/>
        <v>42.54730705194511</v>
      </c>
      <c r="GL43" s="57">
        <f t="shared" si="176"/>
        <v>39.17689923446982</v>
      </c>
      <c r="GM43" s="46">
        <f t="shared" si="177"/>
        <v>21.51988430107277</v>
      </c>
      <c r="GN43" s="46">
        <f t="shared" si="177"/>
        <v>24.761183049666183</v>
      </c>
      <c r="GO43" s="46">
        <f t="shared" si="177"/>
        <v>23.180095082134418</v>
      </c>
      <c r="GP43" s="21">
        <f aca="true" t="shared" si="196" ref="GP43:GR44">CI43</f>
        <v>25579</v>
      </c>
      <c r="GQ43" s="21">
        <f t="shared" si="196"/>
        <v>30585</v>
      </c>
      <c r="GR43" s="21">
        <f t="shared" si="196"/>
        <v>56164</v>
      </c>
      <c r="GS43" s="47">
        <v>6116</v>
      </c>
      <c r="GT43" s="47">
        <v>9444</v>
      </c>
      <c r="GU43" s="21">
        <f>GS43+GT43</f>
        <v>15560</v>
      </c>
      <c r="GV43" s="21">
        <v>5864</v>
      </c>
      <c r="GW43" s="21">
        <v>8234</v>
      </c>
      <c r="GX43" s="21">
        <f>GV43+GW43</f>
        <v>14098</v>
      </c>
      <c r="GY43" s="57">
        <f aca="true" t="shared" si="197" ref="GY43:HA44">GS43/GP43%</f>
        <v>23.91023886782126</v>
      </c>
      <c r="GZ43" s="57">
        <f t="shared" si="197"/>
        <v>30.877881314369787</v>
      </c>
      <c r="HA43" s="57">
        <f t="shared" si="197"/>
        <v>27.70457944590841</v>
      </c>
      <c r="HB43" s="46">
        <f aca="true" t="shared" si="198" ref="HB43:HD44">GV43/GP43%</f>
        <v>22.925055709761914</v>
      </c>
      <c r="HC43" s="46">
        <f t="shared" si="198"/>
        <v>26.92169364067353</v>
      </c>
      <c r="HD43" s="46">
        <f t="shared" si="198"/>
        <v>25.10148849797023</v>
      </c>
      <c r="HE43" s="21">
        <f aca="true" t="shared" si="199" ref="HE43:HG44">EB43</f>
        <v>15215</v>
      </c>
      <c r="HF43" s="21">
        <f t="shared" si="199"/>
        <v>13829</v>
      </c>
      <c r="HG43" s="21">
        <f t="shared" si="199"/>
        <v>29044</v>
      </c>
      <c r="HH43" s="47">
        <v>4212</v>
      </c>
      <c r="HI43" s="47">
        <v>4153</v>
      </c>
      <c r="HJ43" s="21">
        <f>HH43+HI43</f>
        <v>8365</v>
      </c>
      <c r="HK43" s="21">
        <v>3741</v>
      </c>
      <c r="HL43" s="21">
        <v>3764</v>
      </c>
      <c r="HM43" s="21">
        <f>HK43+HL43</f>
        <v>7505</v>
      </c>
      <c r="HN43" s="57">
        <f aca="true" t="shared" si="200" ref="HN43:HP44">HH43/HE43%</f>
        <v>27.683207361156754</v>
      </c>
      <c r="HO43" s="57">
        <f t="shared" si="200"/>
        <v>30.031094077662885</v>
      </c>
      <c r="HP43" s="57">
        <f t="shared" si="200"/>
        <v>28.80112932103016</v>
      </c>
      <c r="HQ43" s="46">
        <f aca="true" t="shared" si="201" ref="HQ43:HS44">HK43/HE43%</f>
        <v>24.58757804797897</v>
      </c>
      <c r="HR43" s="46">
        <f t="shared" si="201"/>
        <v>27.218164726299808</v>
      </c>
      <c r="HS43" s="46">
        <f t="shared" si="201"/>
        <v>25.840104668778405</v>
      </c>
    </row>
    <row r="44" spans="1:227" ht="29.25" customHeight="1">
      <c r="A44" s="4">
        <v>35</v>
      </c>
      <c r="B44" s="80" t="s">
        <v>90</v>
      </c>
      <c r="C44" s="8">
        <v>738</v>
      </c>
      <c r="D44" s="8">
        <v>444</v>
      </c>
      <c r="E44" s="17">
        <f t="shared" si="178"/>
        <v>1182</v>
      </c>
      <c r="F44" s="8">
        <v>676</v>
      </c>
      <c r="G44" s="8">
        <v>428</v>
      </c>
      <c r="H44" s="9">
        <f t="shared" si="179"/>
        <v>1104</v>
      </c>
      <c r="I44" s="96"/>
      <c r="J44" s="96"/>
      <c r="K44" s="100"/>
      <c r="L44" s="8">
        <f t="shared" si="180"/>
        <v>676</v>
      </c>
      <c r="M44" s="8">
        <f t="shared" si="181"/>
        <v>428</v>
      </c>
      <c r="N44" s="8">
        <f t="shared" si="182"/>
        <v>1104</v>
      </c>
      <c r="O44" s="30">
        <f t="shared" si="183"/>
        <v>91.59891598915989</v>
      </c>
      <c r="P44" s="30">
        <f t="shared" si="184"/>
        <v>96.3963963963964</v>
      </c>
      <c r="Q44" s="30">
        <f t="shared" si="185"/>
        <v>93.4010152284264</v>
      </c>
      <c r="R44" s="94"/>
      <c r="S44" s="94"/>
      <c r="T44" s="98"/>
      <c r="U44" s="94"/>
      <c r="V44" s="94"/>
      <c r="W44" s="98"/>
      <c r="X44" s="100"/>
      <c r="Y44" s="100"/>
      <c r="Z44" s="93"/>
      <c r="AA44" s="94"/>
      <c r="AB44" s="94"/>
      <c r="AC44" s="93"/>
      <c r="AD44" s="95"/>
      <c r="AE44" s="95"/>
      <c r="AF44" s="95"/>
      <c r="AG44" s="11">
        <f t="shared" si="186"/>
        <v>738</v>
      </c>
      <c r="AH44" s="11">
        <f t="shared" si="186"/>
        <v>444</v>
      </c>
      <c r="AI44" s="11">
        <f t="shared" si="187"/>
        <v>1182</v>
      </c>
      <c r="AJ44" s="11">
        <f t="shared" si="188"/>
        <v>676</v>
      </c>
      <c r="AK44" s="11">
        <f t="shared" si="188"/>
        <v>428</v>
      </c>
      <c r="AL44" s="11">
        <f t="shared" si="189"/>
        <v>1104</v>
      </c>
      <c r="AM44" s="93"/>
      <c r="AN44" s="93"/>
      <c r="AO44" s="93"/>
      <c r="AP44" s="8">
        <f t="shared" si="190"/>
        <v>676</v>
      </c>
      <c r="AQ44" s="8">
        <f t="shared" si="190"/>
        <v>428</v>
      </c>
      <c r="AR44" s="11">
        <f t="shared" si="191"/>
        <v>1104</v>
      </c>
      <c r="AS44" s="30">
        <f aca="true" t="shared" si="202" ref="AS44:AU45">IF(AG44=0,"",AP44/AG44*100)</f>
        <v>91.59891598915989</v>
      </c>
      <c r="AT44" s="30">
        <f t="shared" si="202"/>
        <v>96.3963963963964</v>
      </c>
      <c r="AU44" s="30">
        <f t="shared" si="202"/>
        <v>93.4010152284264</v>
      </c>
      <c r="AV44" s="10">
        <v>60</v>
      </c>
      <c r="AW44" s="10">
        <v>62</v>
      </c>
      <c r="AX44" s="11">
        <f>AV44+AW44</f>
        <v>122</v>
      </c>
      <c r="AY44" s="10">
        <v>54</v>
      </c>
      <c r="AZ44" s="10">
        <v>57</v>
      </c>
      <c r="BA44" s="11">
        <f>AY44+AZ44</f>
        <v>111</v>
      </c>
      <c r="BB44" s="96"/>
      <c r="BC44" s="96"/>
      <c r="BD44" s="93"/>
      <c r="BE44" s="8">
        <f>SUM(AY44,BB44)</f>
        <v>54</v>
      </c>
      <c r="BF44" s="8">
        <f>SUM(AZ44,BC44)</f>
        <v>57</v>
      </c>
      <c r="BG44" s="11">
        <f>SUM(BE44,BF44)</f>
        <v>111</v>
      </c>
      <c r="BH44" s="30">
        <f t="shared" si="192"/>
        <v>90</v>
      </c>
      <c r="BI44" s="30">
        <f t="shared" si="192"/>
        <v>91.93548387096774</v>
      </c>
      <c r="BJ44" s="30">
        <f t="shared" si="192"/>
        <v>90.98360655737704</v>
      </c>
      <c r="BK44" s="92"/>
      <c r="BL44" s="92"/>
      <c r="BM44" s="93"/>
      <c r="BN44" s="92"/>
      <c r="BO44" s="92"/>
      <c r="BP44" s="93"/>
      <c r="BQ44" s="92"/>
      <c r="BR44" s="92"/>
      <c r="BS44" s="93"/>
      <c r="BT44" s="94"/>
      <c r="BU44" s="94"/>
      <c r="BV44" s="93"/>
      <c r="BW44" s="95"/>
      <c r="BX44" s="95"/>
      <c r="BY44" s="95"/>
      <c r="BZ44" s="11">
        <f>AV44+BK44</f>
        <v>60</v>
      </c>
      <c r="CA44" s="11">
        <f>AW44+BL44</f>
        <v>62</v>
      </c>
      <c r="CB44" s="11">
        <f>BZ44+CA44</f>
        <v>122</v>
      </c>
      <c r="CC44" s="11">
        <f>AY44+BN44</f>
        <v>54</v>
      </c>
      <c r="CD44" s="11">
        <f>AZ44+BO44</f>
        <v>57</v>
      </c>
      <c r="CE44" s="11">
        <f>CC44+CD44</f>
        <v>111</v>
      </c>
      <c r="CF44" s="93"/>
      <c r="CG44" s="93"/>
      <c r="CH44" s="93"/>
      <c r="CI44" s="8">
        <f>SUM(CC44,CF44)</f>
        <v>54</v>
      </c>
      <c r="CJ44" s="8">
        <f>SUM(CD44,CG44)</f>
        <v>57</v>
      </c>
      <c r="CK44" s="11">
        <f>SUM(CI44,CJ44)</f>
        <v>111</v>
      </c>
      <c r="CL44" s="30">
        <f t="shared" si="193"/>
        <v>90</v>
      </c>
      <c r="CM44" s="30">
        <f t="shared" si="193"/>
        <v>91.93548387096774</v>
      </c>
      <c r="CN44" s="30">
        <f t="shared" si="193"/>
        <v>90.98360655737704</v>
      </c>
      <c r="CO44" s="10">
        <v>10</v>
      </c>
      <c r="CP44" s="10">
        <v>15</v>
      </c>
      <c r="CQ44" s="11">
        <f>CO44+CP44</f>
        <v>25</v>
      </c>
      <c r="CR44" s="10">
        <v>8</v>
      </c>
      <c r="CS44" s="10">
        <v>14</v>
      </c>
      <c r="CT44" s="11">
        <f>CR44+CS44</f>
        <v>22</v>
      </c>
      <c r="CU44" s="96"/>
      <c r="CV44" s="96"/>
      <c r="CW44" s="93"/>
      <c r="CX44" s="8">
        <f>SUM(CR44,CU44)</f>
        <v>8</v>
      </c>
      <c r="CY44" s="8">
        <f>SUM(CS44,CV44)</f>
        <v>14</v>
      </c>
      <c r="CZ44" s="11">
        <f>SUM(CX44,CY44)</f>
        <v>22</v>
      </c>
      <c r="DA44" s="30">
        <f t="shared" si="194"/>
        <v>80</v>
      </c>
      <c r="DB44" s="30">
        <f t="shared" si="194"/>
        <v>93.33333333333333</v>
      </c>
      <c r="DC44" s="30">
        <f t="shared" si="194"/>
        <v>88</v>
      </c>
      <c r="DD44" s="92"/>
      <c r="DE44" s="92"/>
      <c r="DF44" s="93"/>
      <c r="DG44" s="92"/>
      <c r="DH44" s="92"/>
      <c r="DI44" s="93"/>
      <c r="DJ44" s="96"/>
      <c r="DK44" s="96"/>
      <c r="DL44" s="96"/>
      <c r="DM44" s="94"/>
      <c r="DN44" s="94"/>
      <c r="DO44" s="93"/>
      <c r="DP44" s="95"/>
      <c r="DQ44" s="95"/>
      <c r="DR44" s="95"/>
      <c r="DS44" s="11">
        <f>CO44+DD44</f>
        <v>10</v>
      </c>
      <c r="DT44" s="11">
        <f>CP44+DE44</f>
        <v>15</v>
      </c>
      <c r="DU44" s="11">
        <f>DS44+DT44</f>
        <v>25</v>
      </c>
      <c r="DV44" s="11">
        <f>CR44+DG44</f>
        <v>8</v>
      </c>
      <c r="DW44" s="11">
        <f>CS44+DH44</f>
        <v>14</v>
      </c>
      <c r="DX44" s="11">
        <f>DV44+DW44</f>
        <v>22</v>
      </c>
      <c r="DY44" s="93"/>
      <c r="DZ44" s="93"/>
      <c r="EA44" s="93"/>
      <c r="EB44" s="8">
        <f>SUM(DV44,DY44)</f>
        <v>8</v>
      </c>
      <c r="EC44" s="8">
        <f>SUM(DW44,DZ44)</f>
        <v>14</v>
      </c>
      <c r="ED44" s="11">
        <f>SUM(EB44,EC44)</f>
        <v>22</v>
      </c>
      <c r="EE44" s="30">
        <f t="shared" si="195"/>
        <v>80</v>
      </c>
      <c r="EF44" s="30">
        <f t="shared" si="195"/>
        <v>93.33333333333333</v>
      </c>
      <c r="EG44" s="30">
        <f t="shared" si="195"/>
        <v>88</v>
      </c>
      <c r="EH44" s="10"/>
      <c r="EI44" s="10"/>
      <c r="EJ44" s="11"/>
      <c r="EK44" s="10"/>
      <c r="EL44" s="10"/>
      <c r="EM44" s="11"/>
      <c r="EN44" s="7"/>
      <c r="EO44" s="7"/>
      <c r="EP44" s="11"/>
      <c r="EQ44" s="8"/>
      <c r="ER44" s="8"/>
      <c r="ES44" s="11"/>
      <c r="ET44" s="30"/>
      <c r="EU44" s="30"/>
      <c r="EV44" s="30"/>
      <c r="EW44" s="10"/>
      <c r="EX44" s="10"/>
      <c r="EY44" s="11"/>
      <c r="EZ44" s="10"/>
      <c r="FA44" s="10"/>
      <c r="FB44" s="11"/>
      <c r="FC44" s="7"/>
      <c r="FD44" s="7"/>
      <c r="FE44" s="7"/>
      <c r="FF44" s="8"/>
      <c r="FG44" s="8"/>
      <c r="FH44" s="11"/>
      <c r="FI44" s="30"/>
      <c r="FJ44" s="30"/>
      <c r="FK44" s="30"/>
      <c r="FL44" s="11"/>
      <c r="FM44" s="11"/>
      <c r="FN44" s="11"/>
      <c r="FO44" s="11"/>
      <c r="FP44" s="11"/>
      <c r="FQ44" s="11"/>
      <c r="FR44" s="11"/>
      <c r="FS44" s="11"/>
      <c r="FT44" s="11"/>
      <c r="FU44" s="8"/>
      <c r="FV44" s="8"/>
      <c r="FW44" s="11"/>
      <c r="FX44" s="30"/>
      <c r="FY44" s="30"/>
      <c r="FZ44" s="30"/>
      <c r="GA44" s="21">
        <f aca="true" t="shared" si="203" ref="GA44:GC45">AP44</f>
        <v>676</v>
      </c>
      <c r="GB44" s="21">
        <f t="shared" si="203"/>
        <v>428</v>
      </c>
      <c r="GC44" s="21">
        <f t="shared" si="203"/>
        <v>1104</v>
      </c>
      <c r="GD44" s="47">
        <v>7</v>
      </c>
      <c r="GE44" s="47">
        <v>16</v>
      </c>
      <c r="GF44" s="21">
        <f>GD44+GE44</f>
        <v>23</v>
      </c>
      <c r="GG44" s="21">
        <v>189</v>
      </c>
      <c r="GH44" s="21">
        <v>58</v>
      </c>
      <c r="GI44" s="21">
        <f>GG44+GH44</f>
        <v>247</v>
      </c>
      <c r="GJ44" s="57">
        <f aca="true" t="shared" si="204" ref="GJ44:GL45">GD44/GA44%</f>
        <v>1.0355029585798816</v>
      </c>
      <c r="GK44" s="57">
        <f t="shared" si="204"/>
        <v>3.7383177570093458</v>
      </c>
      <c r="GL44" s="57">
        <f t="shared" si="204"/>
        <v>2.0833333333333335</v>
      </c>
      <c r="GM44" s="46">
        <f aca="true" t="shared" si="205" ref="GM44:GO45">GG44/GA44%</f>
        <v>27.958579881656807</v>
      </c>
      <c r="GN44" s="46">
        <f t="shared" si="205"/>
        <v>13.551401869158878</v>
      </c>
      <c r="GO44" s="46">
        <f t="shared" si="205"/>
        <v>22.3731884057971</v>
      </c>
      <c r="GP44" s="21">
        <f t="shared" si="196"/>
        <v>54</v>
      </c>
      <c r="GQ44" s="21">
        <f t="shared" si="196"/>
        <v>57</v>
      </c>
      <c r="GR44" s="21">
        <f t="shared" si="196"/>
        <v>111</v>
      </c>
      <c r="GS44" s="47">
        <v>0</v>
      </c>
      <c r="GT44" s="47">
        <v>0</v>
      </c>
      <c r="GU44" s="21">
        <f>GS44+GT44</f>
        <v>0</v>
      </c>
      <c r="GV44" s="21">
        <v>7</v>
      </c>
      <c r="GW44" s="21">
        <v>11</v>
      </c>
      <c r="GX44" s="21">
        <f>GV44+GW44</f>
        <v>18</v>
      </c>
      <c r="GY44" s="57">
        <f t="shared" si="197"/>
        <v>0</v>
      </c>
      <c r="GZ44" s="57">
        <f t="shared" si="197"/>
        <v>0</v>
      </c>
      <c r="HA44" s="57">
        <f t="shared" si="197"/>
        <v>0</v>
      </c>
      <c r="HB44" s="46">
        <f t="shared" si="198"/>
        <v>12.962962962962962</v>
      </c>
      <c r="HC44" s="46">
        <f t="shared" si="198"/>
        <v>19.29824561403509</v>
      </c>
      <c r="HD44" s="46">
        <f t="shared" si="198"/>
        <v>16.216216216216214</v>
      </c>
      <c r="HE44" s="21">
        <f t="shared" si="199"/>
        <v>8</v>
      </c>
      <c r="HF44" s="21">
        <f t="shared" si="199"/>
        <v>14</v>
      </c>
      <c r="HG44" s="21">
        <f t="shared" si="199"/>
        <v>22</v>
      </c>
      <c r="HH44" s="47">
        <v>0</v>
      </c>
      <c r="HI44" s="47">
        <v>0</v>
      </c>
      <c r="HJ44" s="21">
        <f>HH44+HI44</f>
        <v>0</v>
      </c>
      <c r="HK44" s="21">
        <v>1</v>
      </c>
      <c r="HL44" s="21">
        <v>1</v>
      </c>
      <c r="HM44" s="21">
        <f>HK44+HL44</f>
        <v>2</v>
      </c>
      <c r="HN44" s="57">
        <f t="shared" si="200"/>
        <v>0</v>
      </c>
      <c r="HO44" s="57">
        <f t="shared" si="200"/>
        <v>0</v>
      </c>
      <c r="HP44" s="57">
        <f t="shared" si="200"/>
        <v>0</v>
      </c>
      <c r="HQ44" s="46">
        <f t="shared" si="201"/>
        <v>12.5</v>
      </c>
      <c r="HR44" s="46">
        <f t="shared" si="201"/>
        <v>7.142857142857142</v>
      </c>
      <c r="HS44" s="46">
        <f t="shared" si="201"/>
        <v>9.090909090909092</v>
      </c>
    </row>
    <row r="45" spans="1:227" ht="29.25" customHeight="1">
      <c r="A45" s="4">
        <v>36</v>
      </c>
      <c r="B45" s="80" t="s">
        <v>118</v>
      </c>
      <c r="C45" s="8">
        <v>1764</v>
      </c>
      <c r="D45" s="8">
        <v>1384</v>
      </c>
      <c r="E45" s="17">
        <f t="shared" si="178"/>
        <v>3148</v>
      </c>
      <c r="F45" s="8">
        <v>1366</v>
      </c>
      <c r="G45" s="8">
        <v>988</v>
      </c>
      <c r="H45" s="9">
        <f t="shared" si="179"/>
        <v>2354</v>
      </c>
      <c r="I45" s="96"/>
      <c r="J45" s="96"/>
      <c r="K45" s="100"/>
      <c r="L45" s="8">
        <f t="shared" si="180"/>
        <v>1366</v>
      </c>
      <c r="M45" s="8">
        <f t="shared" si="181"/>
        <v>988</v>
      </c>
      <c r="N45" s="8">
        <f t="shared" si="182"/>
        <v>2354</v>
      </c>
      <c r="O45" s="30">
        <f t="shared" si="183"/>
        <v>77.43764172335601</v>
      </c>
      <c r="P45" s="30">
        <f t="shared" si="184"/>
        <v>71.38728323699422</v>
      </c>
      <c r="Q45" s="30">
        <f t="shared" si="185"/>
        <v>74.77763659466328</v>
      </c>
      <c r="R45" s="8">
        <v>10</v>
      </c>
      <c r="S45" s="8">
        <v>0</v>
      </c>
      <c r="T45" s="9">
        <f>R45+S45</f>
        <v>10</v>
      </c>
      <c r="U45" s="8">
        <v>7</v>
      </c>
      <c r="V45" s="8">
        <v>0</v>
      </c>
      <c r="W45" s="9">
        <f>U45+V45</f>
        <v>7</v>
      </c>
      <c r="X45" s="100"/>
      <c r="Y45" s="100"/>
      <c r="Z45" s="93"/>
      <c r="AA45" s="8">
        <f>SUM(U45,X45)</f>
        <v>7</v>
      </c>
      <c r="AB45" s="8">
        <f>SUM(V45,Y45)</f>
        <v>0</v>
      </c>
      <c r="AC45" s="11">
        <f>SUM(AA45,AB45)</f>
        <v>7</v>
      </c>
      <c r="AD45" s="30">
        <f>IF(R45=0,"",AA45/R45*100)</f>
        <v>70</v>
      </c>
      <c r="AE45" s="147">
        <f>IF(S45=0,"",AB45/S45*100)</f>
      </c>
      <c r="AF45" s="30">
        <f>IF(T45=0,"",AC45/T45*100)</f>
        <v>70</v>
      </c>
      <c r="AG45" s="11">
        <f t="shared" si="186"/>
        <v>1774</v>
      </c>
      <c r="AH45" s="11">
        <f t="shared" si="186"/>
        <v>1384</v>
      </c>
      <c r="AI45" s="11">
        <f t="shared" si="187"/>
        <v>3158</v>
      </c>
      <c r="AJ45" s="11">
        <f t="shared" si="188"/>
        <v>1373</v>
      </c>
      <c r="AK45" s="11">
        <f t="shared" si="188"/>
        <v>988</v>
      </c>
      <c r="AL45" s="11">
        <f t="shared" si="189"/>
        <v>2361</v>
      </c>
      <c r="AM45" s="93"/>
      <c r="AN45" s="93"/>
      <c r="AO45" s="93"/>
      <c r="AP45" s="8">
        <f t="shared" si="190"/>
        <v>1373</v>
      </c>
      <c r="AQ45" s="8">
        <f t="shared" si="190"/>
        <v>988</v>
      </c>
      <c r="AR45" s="11">
        <f t="shared" si="191"/>
        <v>2361</v>
      </c>
      <c r="AS45" s="30">
        <f t="shared" si="202"/>
        <v>77.3957158962796</v>
      </c>
      <c r="AT45" s="30">
        <f t="shared" si="202"/>
        <v>71.38728323699422</v>
      </c>
      <c r="AU45" s="30">
        <f t="shared" si="202"/>
        <v>74.76250791640278</v>
      </c>
      <c r="AV45" s="92"/>
      <c r="AW45" s="92"/>
      <c r="AX45" s="93"/>
      <c r="AY45" s="92"/>
      <c r="AZ45" s="92"/>
      <c r="BA45" s="93"/>
      <c r="BB45" s="96"/>
      <c r="BC45" s="96"/>
      <c r="BD45" s="93"/>
      <c r="BE45" s="94"/>
      <c r="BF45" s="94"/>
      <c r="BG45" s="93"/>
      <c r="BH45" s="95"/>
      <c r="BI45" s="95"/>
      <c r="BJ45" s="95"/>
      <c r="BK45" s="92"/>
      <c r="BL45" s="92"/>
      <c r="BM45" s="93"/>
      <c r="BN45" s="92"/>
      <c r="BO45" s="92"/>
      <c r="BP45" s="93"/>
      <c r="BQ45" s="92"/>
      <c r="BR45" s="92"/>
      <c r="BS45" s="93"/>
      <c r="BT45" s="94"/>
      <c r="BU45" s="94"/>
      <c r="BV45" s="93"/>
      <c r="BW45" s="95"/>
      <c r="BX45" s="95"/>
      <c r="BY45" s="95"/>
      <c r="BZ45" s="93"/>
      <c r="CA45" s="93"/>
      <c r="CB45" s="93"/>
      <c r="CC45" s="93"/>
      <c r="CD45" s="93"/>
      <c r="CE45" s="93"/>
      <c r="CF45" s="93"/>
      <c r="CG45" s="93"/>
      <c r="CH45" s="93"/>
      <c r="CI45" s="94"/>
      <c r="CJ45" s="94"/>
      <c r="CK45" s="93"/>
      <c r="CL45" s="95"/>
      <c r="CM45" s="95"/>
      <c r="CN45" s="95"/>
      <c r="CO45" s="92"/>
      <c r="CP45" s="92"/>
      <c r="CQ45" s="93"/>
      <c r="CR45" s="92"/>
      <c r="CS45" s="92"/>
      <c r="CT45" s="93"/>
      <c r="CU45" s="96"/>
      <c r="CV45" s="96"/>
      <c r="CW45" s="93"/>
      <c r="CX45" s="94"/>
      <c r="CY45" s="94"/>
      <c r="CZ45" s="93"/>
      <c r="DA45" s="95"/>
      <c r="DB45" s="95"/>
      <c r="DC45" s="95"/>
      <c r="DD45" s="92"/>
      <c r="DE45" s="92"/>
      <c r="DF45" s="93"/>
      <c r="DG45" s="92"/>
      <c r="DH45" s="92"/>
      <c r="DI45" s="93"/>
      <c r="DJ45" s="96"/>
      <c r="DK45" s="96"/>
      <c r="DL45" s="96"/>
      <c r="DM45" s="94"/>
      <c r="DN45" s="94"/>
      <c r="DO45" s="93"/>
      <c r="DP45" s="95"/>
      <c r="DQ45" s="95"/>
      <c r="DR45" s="95"/>
      <c r="DS45" s="93"/>
      <c r="DT45" s="93"/>
      <c r="DU45" s="93"/>
      <c r="DV45" s="93"/>
      <c r="DW45" s="93"/>
      <c r="DX45" s="93"/>
      <c r="DY45" s="93"/>
      <c r="DZ45" s="93"/>
      <c r="EA45" s="93"/>
      <c r="EB45" s="94"/>
      <c r="EC45" s="94"/>
      <c r="ED45" s="93"/>
      <c r="EE45" s="95"/>
      <c r="EF45" s="95"/>
      <c r="EG45" s="95"/>
      <c r="EH45" s="10"/>
      <c r="EI45" s="10"/>
      <c r="EJ45" s="11"/>
      <c r="EK45" s="10"/>
      <c r="EL45" s="10"/>
      <c r="EM45" s="11"/>
      <c r="EN45" s="7"/>
      <c r="EO45" s="7"/>
      <c r="EP45" s="11"/>
      <c r="EQ45" s="8"/>
      <c r="ER45" s="8"/>
      <c r="ES45" s="11"/>
      <c r="ET45" s="30"/>
      <c r="EU45" s="30"/>
      <c r="EV45" s="30"/>
      <c r="EW45" s="10"/>
      <c r="EX45" s="10"/>
      <c r="EY45" s="11"/>
      <c r="EZ45" s="10"/>
      <c r="FA45" s="10"/>
      <c r="FB45" s="11"/>
      <c r="FC45" s="7"/>
      <c r="FD45" s="7"/>
      <c r="FE45" s="7"/>
      <c r="FF45" s="8"/>
      <c r="FG45" s="8"/>
      <c r="FH45" s="11"/>
      <c r="FI45" s="30"/>
      <c r="FJ45" s="30"/>
      <c r="FK45" s="30"/>
      <c r="FL45" s="11"/>
      <c r="FM45" s="11"/>
      <c r="FN45" s="11"/>
      <c r="FO45" s="11"/>
      <c r="FP45" s="11"/>
      <c r="FQ45" s="11"/>
      <c r="FR45" s="11"/>
      <c r="FS45" s="11"/>
      <c r="FT45" s="11"/>
      <c r="FU45" s="8"/>
      <c r="FV45" s="8"/>
      <c r="FW45" s="11"/>
      <c r="FX45" s="30"/>
      <c r="FY45" s="30"/>
      <c r="FZ45" s="30"/>
      <c r="GA45" s="21">
        <f t="shared" si="203"/>
        <v>1373</v>
      </c>
      <c r="GB45" s="21">
        <f t="shared" si="203"/>
        <v>988</v>
      </c>
      <c r="GC45" s="21">
        <f t="shared" si="203"/>
        <v>2361</v>
      </c>
      <c r="GD45" s="47">
        <v>18</v>
      </c>
      <c r="GE45" s="47">
        <v>8</v>
      </c>
      <c r="GF45" s="21">
        <f>GD45+GE45</f>
        <v>26</v>
      </c>
      <c r="GG45" s="21">
        <v>263</v>
      </c>
      <c r="GH45" s="21">
        <v>150</v>
      </c>
      <c r="GI45" s="21">
        <f>GG45+GH45</f>
        <v>413</v>
      </c>
      <c r="GJ45" s="57">
        <f t="shared" si="204"/>
        <v>1.3109978150036417</v>
      </c>
      <c r="GK45" s="57">
        <f t="shared" si="204"/>
        <v>0.8097165991902834</v>
      </c>
      <c r="GL45" s="57">
        <f t="shared" si="204"/>
        <v>1.1012282930961457</v>
      </c>
      <c r="GM45" s="46">
        <f t="shared" si="205"/>
        <v>19.155134741442097</v>
      </c>
      <c r="GN45" s="46">
        <f t="shared" si="205"/>
        <v>15.182186234817813</v>
      </c>
      <c r="GO45" s="46">
        <f t="shared" si="205"/>
        <v>17.492587886488778</v>
      </c>
      <c r="GP45" s="98"/>
      <c r="GQ45" s="98"/>
      <c r="GR45" s="98"/>
      <c r="GS45" s="98"/>
      <c r="GT45" s="98"/>
      <c r="GU45" s="98"/>
      <c r="GV45" s="98"/>
      <c r="GW45" s="98"/>
      <c r="GX45" s="98"/>
      <c r="GY45" s="95"/>
      <c r="GZ45" s="95"/>
      <c r="HA45" s="95"/>
      <c r="HB45" s="103"/>
      <c r="HC45" s="103"/>
      <c r="HD45" s="103"/>
      <c r="HE45" s="98"/>
      <c r="HF45" s="98"/>
      <c r="HG45" s="98"/>
      <c r="HH45" s="98"/>
      <c r="HI45" s="98"/>
      <c r="HJ45" s="98"/>
      <c r="HK45" s="98"/>
      <c r="HL45" s="98"/>
      <c r="HM45" s="98"/>
      <c r="HN45" s="95"/>
      <c r="HO45" s="95"/>
      <c r="HP45" s="95"/>
      <c r="HQ45" s="103"/>
      <c r="HR45" s="103"/>
      <c r="HS45" s="103"/>
    </row>
    <row r="46" spans="1:227" ht="30" customHeight="1">
      <c r="A46" s="4">
        <v>37</v>
      </c>
      <c r="B46" s="80" t="s">
        <v>86</v>
      </c>
      <c r="C46" s="8">
        <v>671</v>
      </c>
      <c r="D46" s="8">
        <v>171</v>
      </c>
      <c r="E46" s="17">
        <f t="shared" si="178"/>
        <v>842</v>
      </c>
      <c r="F46" s="8">
        <v>274</v>
      </c>
      <c r="G46" s="8">
        <v>13</v>
      </c>
      <c r="H46" s="9">
        <f t="shared" si="179"/>
        <v>287</v>
      </c>
      <c r="I46" s="10">
        <v>100</v>
      </c>
      <c r="J46" s="10">
        <v>4</v>
      </c>
      <c r="K46" s="12">
        <f>I46+J46</f>
        <v>104</v>
      </c>
      <c r="L46" s="8">
        <f t="shared" si="180"/>
        <v>374</v>
      </c>
      <c r="M46" s="8">
        <f t="shared" si="181"/>
        <v>17</v>
      </c>
      <c r="N46" s="8">
        <f t="shared" si="182"/>
        <v>391</v>
      </c>
      <c r="O46" s="30">
        <f t="shared" si="183"/>
        <v>55.73770491803278</v>
      </c>
      <c r="P46" s="30">
        <f t="shared" si="184"/>
        <v>9.941520467836257</v>
      </c>
      <c r="Q46" s="30">
        <f t="shared" si="185"/>
        <v>46.43705463182898</v>
      </c>
      <c r="R46" s="94"/>
      <c r="S46" s="94"/>
      <c r="T46" s="98"/>
      <c r="U46" s="94"/>
      <c r="V46" s="94"/>
      <c r="W46" s="98"/>
      <c r="X46" s="92"/>
      <c r="Y46" s="92"/>
      <c r="Z46" s="93"/>
      <c r="AA46" s="94"/>
      <c r="AB46" s="94"/>
      <c r="AC46" s="93"/>
      <c r="AD46" s="95"/>
      <c r="AE46" s="95"/>
      <c r="AF46" s="95"/>
      <c r="AG46" s="11">
        <f t="shared" si="186"/>
        <v>671</v>
      </c>
      <c r="AH46" s="11">
        <f t="shared" si="186"/>
        <v>171</v>
      </c>
      <c r="AI46" s="11">
        <f t="shared" si="187"/>
        <v>842</v>
      </c>
      <c r="AJ46" s="11">
        <f t="shared" si="188"/>
        <v>274</v>
      </c>
      <c r="AK46" s="11">
        <f t="shared" si="188"/>
        <v>13</v>
      </c>
      <c r="AL46" s="11">
        <f t="shared" si="189"/>
        <v>287</v>
      </c>
      <c r="AM46" s="11">
        <f>I46+X46</f>
        <v>100</v>
      </c>
      <c r="AN46" s="11">
        <f>J46+Y46</f>
        <v>4</v>
      </c>
      <c r="AO46" s="11">
        <f>AM46+AN46</f>
        <v>104</v>
      </c>
      <c r="AP46" s="8">
        <f t="shared" si="190"/>
        <v>374</v>
      </c>
      <c r="AQ46" s="8">
        <f t="shared" si="190"/>
        <v>17</v>
      </c>
      <c r="AR46" s="11">
        <f t="shared" si="191"/>
        <v>391</v>
      </c>
      <c r="AS46" s="30">
        <f>IF(AG46=0,"",AP46/AG46*100)</f>
        <v>55.73770491803278</v>
      </c>
      <c r="AT46" s="30">
        <f>IF(AH46=0,"",AQ46/AH46*100)</f>
        <v>9.941520467836257</v>
      </c>
      <c r="AU46" s="30">
        <f>IF(AI46=0,"",AR46/AI46*100)</f>
        <v>46.43705463182898</v>
      </c>
      <c r="AV46" s="10">
        <v>31</v>
      </c>
      <c r="AW46" s="10">
        <v>24</v>
      </c>
      <c r="AX46" s="11">
        <f>AV46+AW46</f>
        <v>55</v>
      </c>
      <c r="AY46" s="10">
        <v>1</v>
      </c>
      <c r="AZ46" s="10">
        <v>1</v>
      </c>
      <c r="BA46" s="11">
        <f>AY46+AZ46</f>
        <v>2</v>
      </c>
      <c r="BB46" s="10">
        <v>2</v>
      </c>
      <c r="BC46" s="10">
        <v>1</v>
      </c>
      <c r="BD46" s="11">
        <f>BB46+BC46</f>
        <v>3</v>
      </c>
      <c r="BE46" s="8">
        <f aca="true" t="shared" si="206" ref="BE46:BF49">SUM(AY46,BB46)</f>
        <v>3</v>
      </c>
      <c r="BF46" s="8">
        <f t="shared" si="206"/>
        <v>2</v>
      </c>
      <c r="BG46" s="11">
        <f>SUM(BE46,BF46)</f>
        <v>5</v>
      </c>
      <c r="BH46" s="30">
        <f aca="true" t="shared" si="207" ref="BH46:BJ49">IF(AV46=0,"",BE46/AV46*100)</f>
        <v>9.67741935483871</v>
      </c>
      <c r="BI46" s="30">
        <f t="shared" si="207"/>
        <v>8.333333333333332</v>
      </c>
      <c r="BJ46" s="30">
        <f t="shared" si="207"/>
        <v>9.090909090909092</v>
      </c>
      <c r="BK46" s="92"/>
      <c r="BL46" s="92"/>
      <c r="BM46" s="93"/>
      <c r="BN46" s="92"/>
      <c r="BO46" s="92"/>
      <c r="BP46" s="93"/>
      <c r="BQ46" s="92"/>
      <c r="BR46" s="92"/>
      <c r="BS46" s="93"/>
      <c r="BT46" s="94"/>
      <c r="BU46" s="94"/>
      <c r="BV46" s="93"/>
      <c r="BW46" s="95"/>
      <c r="BX46" s="95"/>
      <c r="BY46" s="95"/>
      <c r="BZ46" s="11">
        <f aca="true" t="shared" si="208" ref="BZ46:CA49">AV46+BK46</f>
        <v>31</v>
      </c>
      <c r="CA46" s="11">
        <f t="shared" si="208"/>
        <v>24</v>
      </c>
      <c r="CB46" s="11">
        <f>BZ46+CA46</f>
        <v>55</v>
      </c>
      <c r="CC46" s="11">
        <f aca="true" t="shared" si="209" ref="CC46:CD49">AY46+BN46</f>
        <v>1</v>
      </c>
      <c r="CD46" s="11">
        <f t="shared" si="209"/>
        <v>1</v>
      </c>
      <c r="CE46" s="11">
        <f>CC46+CD46</f>
        <v>2</v>
      </c>
      <c r="CF46" s="11">
        <f>BB46+BQ46</f>
        <v>2</v>
      </c>
      <c r="CG46" s="11">
        <f>BC46+BR46</f>
        <v>1</v>
      </c>
      <c r="CH46" s="11">
        <f>CF46+CG46</f>
        <v>3</v>
      </c>
      <c r="CI46" s="8">
        <f>SUM(CC46,CF46)</f>
        <v>3</v>
      </c>
      <c r="CJ46" s="8">
        <f>SUM(CD46,CG46)</f>
        <v>2</v>
      </c>
      <c r="CK46" s="11">
        <f>SUM(CI46,CJ46)</f>
        <v>5</v>
      </c>
      <c r="CL46" s="30">
        <f>IF(BZ46=0,"",CI46/BZ46*100)</f>
        <v>9.67741935483871</v>
      </c>
      <c r="CM46" s="30">
        <f>IF(CA46=0,"",CJ46/CA46*100)</f>
        <v>8.333333333333332</v>
      </c>
      <c r="CN46" s="30">
        <f>IF(CB46=0,"",CK46/CB46*100)</f>
        <v>9.090909090909092</v>
      </c>
      <c r="CO46" s="10">
        <v>8</v>
      </c>
      <c r="CP46" s="10">
        <v>12</v>
      </c>
      <c r="CQ46" s="11">
        <f>CO46+CP46</f>
        <v>20</v>
      </c>
      <c r="CR46" s="10">
        <v>0</v>
      </c>
      <c r="CS46" s="10">
        <v>0</v>
      </c>
      <c r="CT46" s="11">
        <f>CR46+CS46</f>
        <v>0</v>
      </c>
      <c r="CU46" s="10">
        <v>1</v>
      </c>
      <c r="CV46" s="10">
        <v>0</v>
      </c>
      <c r="CW46" s="11">
        <f>CU46+CV46</f>
        <v>1</v>
      </c>
      <c r="CX46" s="8">
        <f aca="true" t="shared" si="210" ref="CX46:CY48">SUM(CR46,CU46)</f>
        <v>1</v>
      </c>
      <c r="CY46" s="8">
        <f t="shared" si="210"/>
        <v>0</v>
      </c>
      <c r="CZ46" s="11">
        <f>SUM(CX46,CY46)</f>
        <v>1</v>
      </c>
      <c r="DA46" s="30">
        <f aca="true" t="shared" si="211" ref="DA46:DC48">IF(CO46=0,"",CX46/CO46*100)</f>
        <v>12.5</v>
      </c>
      <c r="DB46" s="30">
        <f t="shared" si="211"/>
        <v>0</v>
      </c>
      <c r="DC46" s="30">
        <f t="shared" si="211"/>
        <v>5</v>
      </c>
      <c r="DD46" s="92"/>
      <c r="DE46" s="92"/>
      <c r="DF46" s="93"/>
      <c r="DG46" s="92"/>
      <c r="DH46" s="92"/>
      <c r="DI46" s="93"/>
      <c r="DJ46" s="92"/>
      <c r="DK46" s="92"/>
      <c r="DL46" s="96"/>
      <c r="DM46" s="94"/>
      <c r="DN46" s="94"/>
      <c r="DO46" s="93"/>
      <c r="DP46" s="95"/>
      <c r="DQ46" s="95"/>
      <c r="DR46" s="95"/>
      <c r="DS46" s="11">
        <f aca="true" t="shared" si="212" ref="DS46:DT48">CO46+DD46</f>
        <v>8</v>
      </c>
      <c r="DT46" s="11">
        <f t="shared" si="212"/>
        <v>12</v>
      </c>
      <c r="DU46" s="11">
        <f>DS46+DT46</f>
        <v>20</v>
      </c>
      <c r="DV46" s="11">
        <f aca="true" t="shared" si="213" ref="DV46:DW48">CR46+DG46</f>
        <v>0</v>
      </c>
      <c r="DW46" s="11">
        <f t="shared" si="213"/>
        <v>0</v>
      </c>
      <c r="DX46" s="11">
        <f>DV46+DW46</f>
        <v>0</v>
      </c>
      <c r="DY46" s="11">
        <f>CU46+DJ46</f>
        <v>1</v>
      </c>
      <c r="DZ46" s="11">
        <f>CV46+DK46</f>
        <v>0</v>
      </c>
      <c r="EA46" s="11">
        <f>DY46+DZ46</f>
        <v>1</v>
      </c>
      <c r="EB46" s="8">
        <f aca="true" t="shared" si="214" ref="EB46:EC48">SUM(DV46,DY46)</f>
        <v>1</v>
      </c>
      <c r="EC46" s="8">
        <f t="shared" si="214"/>
        <v>0</v>
      </c>
      <c r="ED46" s="11">
        <f>SUM(EB46,EC46)</f>
        <v>1</v>
      </c>
      <c r="EE46" s="30">
        <f aca="true" t="shared" si="215" ref="EE46:EG48">IF(DS46=0,"",EB46/DS46*100)</f>
        <v>12.5</v>
      </c>
      <c r="EF46" s="30">
        <f t="shared" si="215"/>
        <v>0</v>
      </c>
      <c r="EG46" s="30">
        <f t="shared" si="215"/>
        <v>5</v>
      </c>
      <c r="EH46" s="10"/>
      <c r="EI46" s="10"/>
      <c r="EJ46" s="11"/>
      <c r="EK46" s="10"/>
      <c r="EL46" s="10"/>
      <c r="EM46" s="11"/>
      <c r="EN46" s="10"/>
      <c r="EO46" s="10"/>
      <c r="EP46" s="11"/>
      <c r="EQ46" s="8"/>
      <c r="ER46" s="8"/>
      <c r="ES46" s="11"/>
      <c r="ET46" s="30"/>
      <c r="EU46" s="30"/>
      <c r="EV46" s="30"/>
      <c r="EW46" s="10"/>
      <c r="EX46" s="10"/>
      <c r="EY46" s="11"/>
      <c r="EZ46" s="10"/>
      <c r="FA46" s="10"/>
      <c r="FB46" s="11"/>
      <c r="FC46" s="10"/>
      <c r="FD46" s="10"/>
      <c r="FE46" s="7"/>
      <c r="FF46" s="8"/>
      <c r="FG46" s="8"/>
      <c r="FH46" s="11"/>
      <c r="FI46" s="30"/>
      <c r="FJ46" s="30"/>
      <c r="FK46" s="30"/>
      <c r="FL46" s="11"/>
      <c r="FM46" s="11"/>
      <c r="FN46" s="11"/>
      <c r="FO46" s="11"/>
      <c r="FP46" s="11"/>
      <c r="FQ46" s="11"/>
      <c r="FR46" s="11"/>
      <c r="FS46" s="11"/>
      <c r="FT46" s="11"/>
      <c r="FU46" s="8"/>
      <c r="FV46" s="8"/>
      <c r="FW46" s="11"/>
      <c r="FX46" s="30"/>
      <c r="FY46" s="30"/>
      <c r="FZ46" s="30"/>
      <c r="GA46" s="21">
        <f>AP46</f>
        <v>374</v>
      </c>
      <c r="GB46" s="21">
        <f>AQ46</f>
        <v>17</v>
      </c>
      <c r="GC46" s="21">
        <f>AR46</f>
        <v>391</v>
      </c>
      <c r="GD46" s="98"/>
      <c r="GE46" s="98"/>
      <c r="GF46" s="21">
        <v>1</v>
      </c>
      <c r="GG46" s="98"/>
      <c r="GH46" s="98"/>
      <c r="GI46" s="21">
        <v>24</v>
      </c>
      <c r="GJ46" s="95"/>
      <c r="GK46" s="95"/>
      <c r="GL46" s="57">
        <f>GF46/GC46%</f>
        <v>0.2557544757033248</v>
      </c>
      <c r="GM46" s="103"/>
      <c r="GN46" s="103"/>
      <c r="GO46" s="46">
        <f>GI46/GC46%</f>
        <v>6.138107416879795</v>
      </c>
      <c r="GP46" s="98"/>
      <c r="GQ46" s="98"/>
      <c r="GR46" s="98"/>
      <c r="GS46" s="98"/>
      <c r="GT46" s="98"/>
      <c r="GU46" s="98"/>
      <c r="GV46" s="98"/>
      <c r="GW46" s="98"/>
      <c r="GX46" s="98"/>
      <c r="GY46" s="95"/>
      <c r="GZ46" s="95"/>
      <c r="HA46" s="95"/>
      <c r="HB46" s="103"/>
      <c r="HC46" s="103"/>
      <c r="HD46" s="103"/>
      <c r="HE46" s="98"/>
      <c r="HF46" s="98"/>
      <c r="HG46" s="98"/>
      <c r="HH46" s="98"/>
      <c r="HI46" s="98"/>
      <c r="HJ46" s="98"/>
      <c r="HK46" s="98"/>
      <c r="HL46" s="98"/>
      <c r="HM46" s="98"/>
      <c r="HN46" s="95"/>
      <c r="HO46" s="95"/>
      <c r="HP46" s="95"/>
      <c r="HQ46" s="103"/>
      <c r="HR46" s="103"/>
      <c r="HS46" s="103"/>
    </row>
    <row r="47" spans="1:227" ht="29.25" customHeight="1">
      <c r="A47" s="4">
        <v>38</v>
      </c>
      <c r="B47" s="105" t="s">
        <v>91</v>
      </c>
      <c r="C47" s="10">
        <v>11059</v>
      </c>
      <c r="D47" s="10">
        <v>6033</v>
      </c>
      <c r="E47" s="17">
        <f t="shared" si="178"/>
        <v>17092</v>
      </c>
      <c r="F47" s="10">
        <v>10620</v>
      </c>
      <c r="G47" s="10">
        <v>5766</v>
      </c>
      <c r="H47" s="9">
        <f t="shared" si="179"/>
        <v>16386</v>
      </c>
      <c r="I47" s="96"/>
      <c r="J47" s="96"/>
      <c r="K47" s="100"/>
      <c r="L47" s="8">
        <f t="shared" si="180"/>
        <v>10620</v>
      </c>
      <c r="M47" s="8">
        <f t="shared" si="181"/>
        <v>5766</v>
      </c>
      <c r="N47" s="8">
        <f t="shared" si="182"/>
        <v>16386</v>
      </c>
      <c r="O47" s="30">
        <f t="shared" si="183"/>
        <v>96.03038249389637</v>
      </c>
      <c r="P47" s="30">
        <f t="shared" si="184"/>
        <v>95.574341123819</v>
      </c>
      <c r="Q47" s="30">
        <f t="shared" si="185"/>
        <v>95.8694125906857</v>
      </c>
      <c r="R47" s="14">
        <v>799</v>
      </c>
      <c r="S47" s="10">
        <v>922</v>
      </c>
      <c r="T47" s="9">
        <f>R47+S47</f>
        <v>1721</v>
      </c>
      <c r="U47" s="15">
        <v>774</v>
      </c>
      <c r="V47" s="10">
        <v>890</v>
      </c>
      <c r="W47" s="9">
        <f>U47+V47</f>
        <v>1664</v>
      </c>
      <c r="X47" s="96"/>
      <c r="Y47" s="96"/>
      <c r="Z47" s="93"/>
      <c r="AA47" s="8">
        <f>SUM(U47,X47)</f>
        <v>774</v>
      </c>
      <c r="AB47" s="8">
        <f>SUM(V47,Y47)</f>
        <v>890</v>
      </c>
      <c r="AC47" s="11">
        <f>SUM(AA47,AB47)</f>
        <v>1664</v>
      </c>
      <c r="AD47" s="30">
        <f aca="true" t="shared" si="216" ref="AD47:AF49">IF(R47=0,"",AA47/R47*100)</f>
        <v>96.87108886107634</v>
      </c>
      <c r="AE47" s="30">
        <f t="shared" si="216"/>
        <v>96.52928416485899</v>
      </c>
      <c r="AF47" s="30">
        <f t="shared" si="216"/>
        <v>96.68797210923881</v>
      </c>
      <c r="AG47" s="11">
        <f aca="true" t="shared" si="217" ref="AG47:AH49">C47+R47</f>
        <v>11858</v>
      </c>
      <c r="AH47" s="11">
        <f t="shared" si="217"/>
        <v>6955</v>
      </c>
      <c r="AI47" s="11">
        <f t="shared" si="187"/>
        <v>18813</v>
      </c>
      <c r="AJ47" s="11">
        <f aca="true" t="shared" si="218" ref="AJ47:AK49">F47+U47</f>
        <v>11394</v>
      </c>
      <c r="AK47" s="11">
        <f t="shared" si="218"/>
        <v>6656</v>
      </c>
      <c r="AL47" s="11">
        <f t="shared" si="189"/>
        <v>18050</v>
      </c>
      <c r="AM47" s="93"/>
      <c r="AN47" s="93"/>
      <c r="AO47" s="93"/>
      <c r="AP47" s="8">
        <f aca="true" t="shared" si="219" ref="AP47:AQ49">SUM(AJ47,AM47)</f>
        <v>11394</v>
      </c>
      <c r="AQ47" s="8">
        <f t="shared" si="219"/>
        <v>6656</v>
      </c>
      <c r="AR47" s="11">
        <f t="shared" si="191"/>
        <v>18050</v>
      </c>
      <c r="AS47" s="30">
        <f aca="true" t="shared" si="220" ref="AS47:AU49">IF(AG47=0,"",AP47/AG47*100)</f>
        <v>96.08702985326362</v>
      </c>
      <c r="AT47" s="30">
        <f t="shared" si="220"/>
        <v>95.70093457943926</v>
      </c>
      <c r="AU47" s="30">
        <f t="shared" si="220"/>
        <v>95.9442938393664</v>
      </c>
      <c r="AV47" s="10">
        <v>1151</v>
      </c>
      <c r="AW47" s="10">
        <v>646</v>
      </c>
      <c r="AX47" s="11">
        <f>AV47+AW47</f>
        <v>1797</v>
      </c>
      <c r="AY47" s="10">
        <v>1115</v>
      </c>
      <c r="AZ47" s="10">
        <v>625</v>
      </c>
      <c r="BA47" s="11">
        <f>AY47+AZ47</f>
        <v>1740</v>
      </c>
      <c r="BB47" s="96"/>
      <c r="BC47" s="96"/>
      <c r="BD47" s="93"/>
      <c r="BE47" s="8">
        <f t="shared" si="206"/>
        <v>1115</v>
      </c>
      <c r="BF47" s="8">
        <f t="shared" si="206"/>
        <v>625</v>
      </c>
      <c r="BG47" s="11">
        <f>SUM(BE47,BF47)</f>
        <v>1740</v>
      </c>
      <c r="BH47" s="30">
        <f t="shared" si="207"/>
        <v>96.87228496959166</v>
      </c>
      <c r="BI47" s="30">
        <f t="shared" si="207"/>
        <v>96.74922600619195</v>
      </c>
      <c r="BJ47" s="30">
        <f t="shared" si="207"/>
        <v>96.8280467445743</v>
      </c>
      <c r="BK47" s="10">
        <v>105</v>
      </c>
      <c r="BL47" s="10">
        <v>85</v>
      </c>
      <c r="BM47" s="11">
        <f>BK47+BL47</f>
        <v>190</v>
      </c>
      <c r="BN47" s="10">
        <v>100</v>
      </c>
      <c r="BO47" s="10">
        <v>82</v>
      </c>
      <c r="BP47" s="11">
        <f>BN47+BO47</f>
        <v>182</v>
      </c>
      <c r="BQ47" s="96"/>
      <c r="BR47" s="96"/>
      <c r="BS47" s="93"/>
      <c r="BT47" s="8">
        <f>SUM(BN47,BQ47)</f>
        <v>100</v>
      </c>
      <c r="BU47" s="8">
        <f>SUM(BO47,BR47)</f>
        <v>82</v>
      </c>
      <c r="BV47" s="11">
        <f>SUM(BT47,BU47)</f>
        <v>182</v>
      </c>
      <c r="BW47" s="30">
        <f>IF(BK47=0,"",BT47/BK47*100)</f>
        <v>95.23809523809523</v>
      </c>
      <c r="BX47" s="30">
        <f>IF(BL47=0,"",BU47/BL47*100)</f>
        <v>96.47058823529412</v>
      </c>
      <c r="BY47" s="30">
        <f>IF(BM47=0,"",BV47/BM47*100)</f>
        <v>95.78947368421052</v>
      </c>
      <c r="BZ47" s="11">
        <f t="shared" si="208"/>
        <v>1256</v>
      </c>
      <c r="CA47" s="11">
        <f t="shared" si="208"/>
        <v>731</v>
      </c>
      <c r="CB47" s="11">
        <f>BZ47+CA47</f>
        <v>1987</v>
      </c>
      <c r="CC47" s="11">
        <f t="shared" si="209"/>
        <v>1215</v>
      </c>
      <c r="CD47" s="11">
        <f t="shared" si="209"/>
        <v>707</v>
      </c>
      <c r="CE47" s="11">
        <f>CC47+CD47</f>
        <v>1922</v>
      </c>
      <c r="CF47" s="93"/>
      <c r="CG47" s="93"/>
      <c r="CH47" s="93"/>
      <c r="CI47" s="8">
        <f aca="true" t="shared" si="221" ref="CI47:CJ49">SUM(CC47,CF47)</f>
        <v>1215</v>
      </c>
      <c r="CJ47" s="8">
        <f t="shared" si="221"/>
        <v>707</v>
      </c>
      <c r="CK47" s="11">
        <f>SUM(CI47,CJ47)</f>
        <v>1922</v>
      </c>
      <c r="CL47" s="30">
        <f aca="true" t="shared" si="222" ref="CL47:CN49">IF(BZ47=0,"",CI47/BZ47*100)</f>
        <v>96.73566878980891</v>
      </c>
      <c r="CM47" s="30">
        <f t="shared" si="222"/>
        <v>96.71682626538988</v>
      </c>
      <c r="CN47" s="30">
        <f t="shared" si="222"/>
        <v>96.72873678912934</v>
      </c>
      <c r="CO47" s="10">
        <v>12</v>
      </c>
      <c r="CP47" s="10">
        <v>3</v>
      </c>
      <c r="CQ47" s="11">
        <f>CO47+CP47</f>
        <v>15</v>
      </c>
      <c r="CR47" s="10">
        <v>9</v>
      </c>
      <c r="CS47" s="10">
        <v>2</v>
      </c>
      <c r="CT47" s="11">
        <f>CR47+CS47</f>
        <v>11</v>
      </c>
      <c r="CU47" s="96"/>
      <c r="CV47" s="96"/>
      <c r="CW47" s="93"/>
      <c r="CX47" s="8">
        <f t="shared" si="210"/>
        <v>9</v>
      </c>
      <c r="CY47" s="8">
        <f t="shared" si="210"/>
        <v>2</v>
      </c>
      <c r="CZ47" s="11">
        <f>SUM(CX47,CY47)</f>
        <v>11</v>
      </c>
      <c r="DA47" s="30">
        <f t="shared" si="211"/>
        <v>75</v>
      </c>
      <c r="DB47" s="30">
        <f t="shared" si="211"/>
        <v>66.66666666666666</v>
      </c>
      <c r="DC47" s="30">
        <f t="shared" si="211"/>
        <v>73.33333333333333</v>
      </c>
      <c r="DD47" s="10">
        <v>1</v>
      </c>
      <c r="DE47" s="10">
        <v>0</v>
      </c>
      <c r="DF47" s="11">
        <f>DD47+DE47</f>
        <v>1</v>
      </c>
      <c r="DG47" s="92"/>
      <c r="DH47" s="92"/>
      <c r="DI47" s="93"/>
      <c r="DJ47" s="96"/>
      <c r="DK47" s="96"/>
      <c r="DL47" s="96"/>
      <c r="DM47" s="8">
        <f>SUM(DG47,DJ47)</f>
        <v>0</v>
      </c>
      <c r="DN47" s="8">
        <f>SUM(DH47,DK47)</f>
        <v>0</v>
      </c>
      <c r="DO47" s="11">
        <f>SUM(DM47,DN47)</f>
        <v>0</v>
      </c>
      <c r="DP47" s="30">
        <f>IF(DD47=0,"",DM47/DD47*100)</f>
        <v>0</v>
      </c>
      <c r="DQ47" s="30">
        <f>IF(DE47=0,"",DN47/DE47*100)</f>
      </c>
      <c r="DR47" s="30">
        <f>IF(DF47=0,"",DO47/DF47*100)</f>
        <v>0</v>
      </c>
      <c r="DS47" s="11">
        <f t="shared" si="212"/>
        <v>13</v>
      </c>
      <c r="DT47" s="11">
        <f t="shared" si="212"/>
        <v>3</v>
      </c>
      <c r="DU47" s="11">
        <f>DS47+DT47</f>
        <v>16</v>
      </c>
      <c r="DV47" s="11">
        <f t="shared" si="213"/>
        <v>9</v>
      </c>
      <c r="DW47" s="11">
        <f t="shared" si="213"/>
        <v>2</v>
      </c>
      <c r="DX47" s="11">
        <f>DV47+DW47</f>
        <v>11</v>
      </c>
      <c r="DY47" s="93"/>
      <c r="DZ47" s="93"/>
      <c r="EA47" s="93"/>
      <c r="EB47" s="8">
        <f t="shared" si="214"/>
        <v>9</v>
      </c>
      <c r="EC47" s="8">
        <f t="shared" si="214"/>
        <v>2</v>
      </c>
      <c r="ED47" s="11">
        <f>SUM(EB47,EC47)</f>
        <v>11</v>
      </c>
      <c r="EE47" s="30">
        <f t="shared" si="215"/>
        <v>69.23076923076923</v>
      </c>
      <c r="EF47" s="30">
        <f t="shared" si="215"/>
        <v>66.66666666666666</v>
      </c>
      <c r="EG47" s="30">
        <f t="shared" si="215"/>
        <v>68.75</v>
      </c>
      <c r="EH47" s="10"/>
      <c r="EI47" s="10"/>
      <c r="EJ47" s="11"/>
      <c r="EK47" s="10"/>
      <c r="EL47" s="10"/>
      <c r="EM47" s="11"/>
      <c r="EN47" s="7"/>
      <c r="EO47" s="7"/>
      <c r="EP47" s="11"/>
      <c r="EQ47" s="8"/>
      <c r="ER47" s="8"/>
      <c r="ES47" s="11"/>
      <c r="ET47" s="30"/>
      <c r="EU47" s="30"/>
      <c r="EV47" s="30"/>
      <c r="EW47" s="10"/>
      <c r="EX47" s="10"/>
      <c r="EY47" s="11"/>
      <c r="EZ47" s="10"/>
      <c r="FA47" s="10"/>
      <c r="FB47" s="11"/>
      <c r="FC47" s="7"/>
      <c r="FD47" s="7"/>
      <c r="FE47" s="7"/>
      <c r="FF47" s="8"/>
      <c r="FG47" s="8"/>
      <c r="FH47" s="11"/>
      <c r="FI47" s="30"/>
      <c r="FJ47" s="30"/>
      <c r="FK47" s="30"/>
      <c r="FL47" s="11"/>
      <c r="FM47" s="11"/>
      <c r="FN47" s="11"/>
      <c r="FO47" s="11"/>
      <c r="FP47" s="11"/>
      <c r="FQ47" s="11"/>
      <c r="FR47" s="11"/>
      <c r="FS47" s="11"/>
      <c r="FT47" s="11"/>
      <c r="FU47" s="8"/>
      <c r="FV47" s="8"/>
      <c r="FW47" s="11"/>
      <c r="FX47" s="30"/>
      <c r="FY47" s="30"/>
      <c r="FZ47" s="30"/>
      <c r="GA47" s="21">
        <f aca="true" t="shared" si="223" ref="GA47:GC49">AP47</f>
        <v>11394</v>
      </c>
      <c r="GB47" s="21">
        <f t="shared" si="223"/>
        <v>6656</v>
      </c>
      <c r="GC47" s="21">
        <f t="shared" si="223"/>
        <v>18050</v>
      </c>
      <c r="GD47" s="47">
        <v>1266</v>
      </c>
      <c r="GE47" s="47">
        <v>940</v>
      </c>
      <c r="GF47" s="21">
        <f>GD47+GE47</f>
        <v>2206</v>
      </c>
      <c r="GG47" s="21">
        <v>7441</v>
      </c>
      <c r="GH47" s="21">
        <v>3961</v>
      </c>
      <c r="GI47" s="21">
        <f>GG47+GH47</f>
        <v>11402</v>
      </c>
      <c r="GJ47" s="57">
        <f>GD47/GA47%</f>
        <v>11.11111111111111</v>
      </c>
      <c r="GK47" s="57">
        <f>GE47/GB47%</f>
        <v>14.122596153846153</v>
      </c>
      <c r="GL47" s="57">
        <f>GF47/GC47%</f>
        <v>12.221606648199446</v>
      </c>
      <c r="GM47" s="46">
        <f>GG47/GA47%</f>
        <v>65.30630156222574</v>
      </c>
      <c r="GN47" s="46">
        <f>GH47/GB47%</f>
        <v>59.51021634615385</v>
      </c>
      <c r="GO47" s="46">
        <f>GI47/GC47%</f>
        <v>63.16897506925208</v>
      </c>
      <c r="GP47" s="21">
        <f aca="true" t="shared" si="224" ref="GP47:GR49">CI47</f>
        <v>1215</v>
      </c>
      <c r="GQ47" s="21">
        <f t="shared" si="224"/>
        <v>707</v>
      </c>
      <c r="GR47" s="21">
        <f t="shared" si="224"/>
        <v>1922</v>
      </c>
      <c r="GS47" s="98"/>
      <c r="GT47" s="98"/>
      <c r="GU47" s="98"/>
      <c r="GV47" s="98"/>
      <c r="GW47" s="98"/>
      <c r="GX47" s="98"/>
      <c r="GY47" s="95"/>
      <c r="GZ47" s="95"/>
      <c r="HA47" s="95"/>
      <c r="HB47" s="103"/>
      <c r="HC47" s="103"/>
      <c r="HD47" s="103"/>
      <c r="HE47" s="21">
        <f aca="true" t="shared" si="225" ref="HE47:HG48">EB47</f>
        <v>9</v>
      </c>
      <c r="HF47" s="21">
        <f t="shared" si="225"/>
        <v>2</v>
      </c>
      <c r="HG47" s="21">
        <f t="shared" si="225"/>
        <v>11</v>
      </c>
      <c r="HH47" s="98"/>
      <c r="HI47" s="98"/>
      <c r="HJ47" s="98"/>
      <c r="HK47" s="98"/>
      <c r="HL47" s="98"/>
      <c r="HM47" s="98"/>
      <c r="HN47" s="95"/>
      <c r="HO47" s="95"/>
      <c r="HP47" s="95"/>
      <c r="HQ47" s="103"/>
      <c r="HR47" s="103"/>
      <c r="HS47" s="103"/>
    </row>
    <row r="48" spans="1:227" ht="29.25" customHeight="1">
      <c r="A48" s="4">
        <v>39</v>
      </c>
      <c r="B48" s="105" t="s">
        <v>89</v>
      </c>
      <c r="C48" s="10">
        <v>93</v>
      </c>
      <c r="D48" s="10">
        <v>123</v>
      </c>
      <c r="E48" s="17">
        <f t="shared" si="178"/>
        <v>216</v>
      </c>
      <c r="F48" s="10">
        <v>93</v>
      </c>
      <c r="G48" s="10">
        <v>123</v>
      </c>
      <c r="H48" s="9">
        <f t="shared" si="179"/>
        <v>216</v>
      </c>
      <c r="I48" s="96"/>
      <c r="J48" s="96"/>
      <c r="K48" s="100"/>
      <c r="L48" s="8">
        <f t="shared" si="180"/>
        <v>93</v>
      </c>
      <c r="M48" s="8">
        <f t="shared" si="181"/>
        <v>123</v>
      </c>
      <c r="N48" s="8">
        <f t="shared" si="182"/>
        <v>216</v>
      </c>
      <c r="O48" s="30">
        <f t="shared" si="183"/>
        <v>100</v>
      </c>
      <c r="P48" s="30">
        <f t="shared" si="184"/>
        <v>100</v>
      </c>
      <c r="Q48" s="30">
        <f t="shared" si="185"/>
        <v>100</v>
      </c>
      <c r="R48" s="126"/>
      <c r="S48" s="92"/>
      <c r="T48" s="98"/>
      <c r="U48" s="127"/>
      <c r="V48" s="92"/>
      <c r="W48" s="98"/>
      <c r="X48" s="96"/>
      <c r="Y48" s="96"/>
      <c r="Z48" s="93"/>
      <c r="AA48" s="94"/>
      <c r="AB48" s="94"/>
      <c r="AC48" s="93"/>
      <c r="AD48" s="95"/>
      <c r="AE48" s="95"/>
      <c r="AF48" s="30"/>
      <c r="AG48" s="11">
        <f t="shared" si="217"/>
        <v>93</v>
      </c>
      <c r="AH48" s="11">
        <f t="shared" si="217"/>
        <v>123</v>
      </c>
      <c r="AI48" s="11">
        <f t="shared" si="187"/>
        <v>216</v>
      </c>
      <c r="AJ48" s="11">
        <f t="shared" si="218"/>
        <v>93</v>
      </c>
      <c r="AK48" s="11">
        <f t="shared" si="218"/>
        <v>123</v>
      </c>
      <c r="AL48" s="11">
        <f t="shared" si="189"/>
        <v>216</v>
      </c>
      <c r="AM48" s="93"/>
      <c r="AN48" s="93"/>
      <c r="AO48" s="93"/>
      <c r="AP48" s="8">
        <f t="shared" si="219"/>
        <v>93</v>
      </c>
      <c r="AQ48" s="8">
        <f t="shared" si="219"/>
        <v>123</v>
      </c>
      <c r="AR48" s="11">
        <f t="shared" si="191"/>
        <v>216</v>
      </c>
      <c r="AS48" s="30">
        <f>IF(AG48=0,"",AP48/AG48*100)</f>
        <v>100</v>
      </c>
      <c r="AT48" s="30">
        <f>IF(AH48=0,"",AQ48/AH48*100)</f>
        <v>100</v>
      </c>
      <c r="AU48" s="30">
        <f>IF(AI48=0,"",AR48/AI48*100)</f>
        <v>100</v>
      </c>
      <c r="AV48" s="10">
        <v>13</v>
      </c>
      <c r="AW48" s="10">
        <v>19</v>
      </c>
      <c r="AX48" s="11">
        <f>AV48+AW48</f>
        <v>32</v>
      </c>
      <c r="AY48" s="10">
        <v>13</v>
      </c>
      <c r="AZ48" s="10">
        <v>19</v>
      </c>
      <c r="BA48" s="11">
        <f>AY48+AZ48</f>
        <v>32</v>
      </c>
      <c r="BB48" s="96"/>
      <c r="BC48" s="96"/>
      <c r="BD48" s="93"/>
      <c r="BE48" s="8">
        <f t="shared" si="206"/>
        <v>13</v>
      </c>
      <c r="BF48" s="8">
        <f t="shared" si="206"/>
        <v>19</v>
      </c>
      <c r="BG48" s="11">
        <f>SUM(BE48,BF48)</f>
        <v>32</v>
      </c>
      <c r="BH48" s="30">
        <f t="shared" si="207"/>
        <v>100</v>
      </c>
      <c r="BI48" s="30">
        <f t="shared" si="207"/>
        <v>100</v>
      </c>
      <c r="BJ48" s="30">
        <f t="shared" si="207"/>
        <v>100</v>
      </c>
      <c r="BK48" s="92"/>
      <c r="BL48" s="92"/>
      <c r="BM48" s="93"/>
      <c r="BN48" s="92"/>
      <c r="BO48" s="92"/>
      <c r="BP48" s="93"/>
      <c r="BQ48" s="96"/>
      <c r="BR48" s="96"/>
      <c r="BS48" s="93"/>
      <c r="BT48" s="94"/>
      <c r="BU48" s="94"/>
      <c r="BV48" s="93"/>
      <c r="BW48" s="95"/>
      <c r="BX48" s="95"/>
      <c r="BY48" s="95"/>
      <c r="BZ48" s="11">
        <f t="shared" si="208"/>
        <v>13</v>
      </c>
      <c r="CA48" s="11">
        <f t="shared" si="208"/>
        <v>19</v>
      </c>
      <c r="CB48" s="11">
        <f>BZ48+CA48</f>
        <v>32</v>
      </c>
      <c r="CC48" s="11">
        <f t="shared" si="209"/>
        <v>13</v>
      </c>
      <c r="CD48" s="11">
        <f t="shared" si="209"/>
        <v>19</v>
      </c>
      <c r="CE48" s="11">
        <f>CC48+CD48</f>
        <v>32</v>
      </c>
      <c r="CF48" s="93"/>
      <c r="CG48" s="93"/>
      <c r="CH48" s="93"/>
      <c r="CI48" s="8">
        <f t="shared" si="221"/>
        <v>13</v>
      </c>
      <c r="CJ48" s="8">
        <f t="shared" si="221"/>
        <v>19</v>
      </c>
      <c r="CK48" s="11">
        <f>SUM(CI48,CJ48)</f>
        <v>32</v>
      </c>
      <c r="CL48" s="30">
        <f t="shared" si="222"/>
        <v>100</v>
      </c>
      <c r="CM48" s="30">
        <f t="shared" si="222"/>
        <v>100</v>
      </c>
      <c r="CN48" s="30">
        <f t="shared" si="222"/>
        <v>100</v>
      </c>
      <c r="CO48" s="10">
        <v>2</v>
      </c>
      <c r="CP48" s="10">
        <v>4</v>
      </c>
      <c r="CQ48" s="11">
        <f>CO48+CP48</f>
        <v>6</v>
      </c>
      <c r="CR48" s="10">
        <v>2</v>
      </c>
      <c r="CS48" s="10">
        <v>4</v>
      </c>
      <c r="CT48" s="11">
        <f>CR48+CS48</f>
        <v>6</v>
      </c>
      <c r="CU48" s="96"/>
      <c r="CV48" s="96"/>
      <c r="CW48" s="93"/>
      <c r="CX48" s="8">
        <f t="shared" si="210"/>
        <v>2</v>
      </c>
      <c r="CY48" s="8">
        <f t="shared" si="210"/>
        <v>4</v>
      </c>
      <c r="CZ48" s="11">
        <f>SUM(CX48,CY48)</f>
        <v>6</v>
      </c>
      <c r="DA48" s="30">
        <f t="shared" si="211"/>
        <v>100</v>
      </c>
      <c r="DB48" s="30">
        <f t="shared" si="211"/>
        <v>100</v>
      </c>
      <c r="DC48" s="30">
        <f t="shared" si="211"/>
        <v>100</v>
      </c>
      <c r="DD48" s="92"/>
      <c r="DE48" s="92"/>
      <c r="DF48" s="93"/>
      <c r="DG48" s="92"/>
      <c r="DH48" s="92"/>
      <c r="DI48" s="93"/>
      <c r="DJ48" s="96"/>
      <c r="DK48" s="96"/>
      <c r="DL48" s="96"/>
      <c r="DM48" s="94"/>
      <c r="DN48" s="94"/>
      <c r="DO48" s="93"/>
      <c r="DP48" s="95"/>
      <c r="DQ48" s="95"/>
      <c r="DR48" s="95"/>
      <c r="DS48" s="11">
        <f t="shared" si="212"/>
        <v>2</v>
      </c>
      <c r="DT48" s="11">
        <f t="shared" si="212"/>
        <v>4</v>
      </c>
      <c r="DU48" s="11">
        <f>DS48+DT48</f>
        <v>6</v>
      </c>
      <c r="DV48" s="11">
        <f t="shared" si="213"/>
        <v>2</v>
      </c>
      <c r="DW48" s="11">
        <f t="shared" si="213"/>
        <v>4</v>
      </c>
      <c r="DX48" s="11">
        <f>DV48+DW48</f>
        <v>6</v>
      </c>
      <c r="DY48" s="93"/>
      <c r="DZ48" s="93"/>
      <c r="EA48" s="93"/>
      <c r="EB48" s="8">
        <f t="shared" si="214"/>
        <v>2</v>
      </c>
      <c r="EC48" s="8">
        <f t="shared" si="214"/>
        <v>4</v>
      </c>
      <c r="ED48" s="11">
        <f>SUM(EB48,EC48)</f>
        <v>6</v>
      </c>
      <c r="EE48" s="30">
        <f t="shared" si="215"/>
        <v>100</v>
      </c>
      <c r="EF48" s="30">
        <f t="shared" si="215"/>
        <v>100</v>
      </c>
      <c r="EG48" s="30">
        <f t="shared" si="215"/>
        <v>100</v>
      </c>
      <c r="EH48" s="10"/>
      <c r="EI48" s="10"/>
      <c r="EJ48" s="11"/>
      <c r="EK48" s="10"/>
      <c r="EL48" s="10"/>
      <c r="EM48" s="11"/>
      <c r="EN48" s="7"/>
      <c r="EO48" s="7"/>
      <c r="EP48" s="11"/>
      <c r="EQ48" s="8"/>
      <c r="ER48" s="8"/>
      <c r="ES48" s="11"/>
      <c r="ET48" s="30"/>
      <c r="EU48" s="30"/>
      <c r="EV48" s="30"/>
      <c r="EW48" s="10"/>
      <c r="EX48" s="10"/>
      <c r="EY48" s="11"/>
      <c r="EZ48" s="10"/>
      <c r="FA48" s="10"/>
      <c r="FB48" s="11"/>
      <c r="FC48" s="7"/>
      <c r="FD48" s="7"/>
      <c r="FE48" s="7"/>
      <c r="FF48" s="8"/>
      <c r="FG48" s="8"/>
      <c r="FH48" s="11"/>
      <c r="FI48" s="30"/>
      <c r="FJ48" s="30"/>
      <c r="FK48" s="30"/>
      <c r="FL48" s="11"/>
      <c r="FM48" s="11"/>
      <c r="FN48" s="11"/>
      <c r="FO48" s="11"/>
      <c r="FP48" s="11"/>
      <c r="FQ48" s="11"/>
      <c r="FR48" s="11"/>
      <c r="FS48" s="11"/>
      <c r="FT48" s="11"/>
      <c r="FU48" s="8"/>
      <c r="FV48" s="8"/>
      <c r="FW48" s="11"/>
      <c r="FX48" s="30"/>
      <c r="FY48" s="30"/>
      <c r="FZ48" s="30"/>
      <c r="GA48" s="21">
        <f>AP48</f>
        <v>93</v>
      </c>
      <c r="GB48" s="21">
        <f>AQ48</f>
        <v>123</v>
      </c>
      <c r="GC48" s="21">
        <f>AR48</f>
        <v>216</v>
      </c>
      <c r="GD48" s="98"/>
      <c r="GE48" s="98"/>
      <c r="GF48" s="98"/>
      <c r="GG48" s="98"/>
      <c r="GH48" s="98"/>
      <c r="GI48" s="98"/>
      <c r="GJ48" s="95"/>
      <c r="GK48" s="95"/>
      <c r="GL48" s="95"/>
      <c r="GM48" s="103"/>
      <c r="GN48" s="103"/>
      <c r="GO48" s="103"/>
      <c r="GP48" s="21">
        <f t="shared" si="224"/>
        <v>13</v>
      </c>
      <c r="GQ48" s="21">
        <f t="shared" si="224"/>
        <v>19</v>
      </c>
      <c r="GR48" s="21">
        <f t="shared" si="224"/>
        <v>32</v>
      </c>
      <c r="GS48" s="98"/>
      <c r="GT48" s="98"/>
      <c r="GU48" s="98"/>
      <c r="GV48" s="98"/>
      <c r="GW48" s="98"/>
      <c r="GX48" s="98"/>
      <c r="GY48" s="95"/>
      <c r="GZ48" s="95"/>
      <c r="HA48" s="95"/>
      <c r="HB48" s="103"/>
      <c r="HC48" s="103"/>
      <c r="HD48" s="103"/>
      <c r="HE48" s="21">
        <f t="shared" si="225"/>
        <v>2</v>
      </c>
      <c r="HF48" s="21">
        <f t="shared" si="225"/>
        <v>4</v>
      </c>
      <c r="HG48" s="21">
        <f t="shared" si="225"/>
        <v>6</v>
      </c>
      <c r="HH48" s="98"/>
      <c r="HI48" s="98"/>
      <c r="HJ48" s="98"/>
      <c r="HK48" s="98"/>
      <c r="HL48" s="98"/>
      <c r="HM48" s="98"/>
      <c r="HN48" s="95"/>
      <c r="HO48" s="95"/>
      <c r="HP48" s="95"/>
      <c r="HQ48" s="103"/>
      <c r="HR48" s="103"/>
      <c r="HS48" s="103"/>
    </row>
    <row r="49" spans="1:227" ht="29.25" customHeight="1">
      <c r="A49" s="4">
        <v>40</v>
      </c>
      <c r="B49" s="105" t="s">
        <v>85</v>
      </c>
      <c r="C49" s="10">
        <v>771</v>
      </c>
      <c r="D49" s="10">
        <v>68</v>
      </c>
      <c r="E49" s="166">
        <f t="shared" si="178"/>
        <v>839</v>
      </c>
      <c r="F49" s="15">
        <v>698</v>
      </c>
      <c r="G49" s="167">
        <v>59</v>
      </c>
      <c r="H49" s="9">
        <f t="shared" si="179"/>
        <v>757</v>
      </c>
      <c r="I49" s="96"/>
      <c r="J49" s="96"/>
      <c r="K49" s="100"/>
      <c r="L49" s="8">
        <f t="shared" si="180"/>
        <v>698</v>
      </c>
      <c r="M49" s="8">
        <f t="shared" si="181"/>
        <v>59</v>
      </c>
      <c r="N49" s="8">
        <f t="shared" si="182"/>
        <v>757</v>
      </c>
      <c r="O49" s="30">
        <f t="shared" si="183"/>
        <v>90.53177691309988</v>
      </c>
      <c r="P49" s="30">
        <f t="shared" si="184"/>
        <v>86.76470588235294</v>
      </c>
      <c r="Q49" s="30">
        <f t="shared" si="185"/>
        <v>90.2264600715137</v>
      </c>
      <c r="R49" s="14">
        <v>32</v>
      </c>
      <c r="S49" s="10">
        <v>10</v>
      </c>
      <c r="T49" s="9">
        <f>R49+S49</f>
        <v>42</v>
      </c>
      <c r="U49" s="15">
        <v>27</v>
      </c>
      <c r="V49" s="10">
        <v>8</v>
      </c>
      <c r="W49" s="9">
        <f>U49+V49</f>
        <v>35</v>
      </c>
      <c r="X49" s="96"/>
      <c r="Y49" s="96"/>
      <c r="Z49" s="93"/>
      <c r="AA49" s="8">
        <f>SUM(U49,X49)</f>
        <v>27</v>
      </c>
      <c r="AB49" s="8">
        <f>SUM(V49,Y49)</f>
        <v>8</v>
      </c>
      <c r="AC49" s="11">
        <f>SUM(AA49,AB49)</f>
        <v>35</v>
      </c>
      <c r="AD49" s="30">
        <f t="shared" si="216"/>
        <v>84.375</v>
      </c>
      <c r="AE49" s="30">
        <f t="shared" si="216"/>
        <v>80</v>
      </c>
      <c r="AF49" s="30">
        <f t="shared" si="216"/>
        <v>83.33333333333334</v>
      </c>
      <c r="AG49" s="11">
        <f t="shared" si="217"/>
        <v>803</v>
      </c>
      <c r="AH49" s="11">
        <f t="shared" si="217"/>
        <v>78</v>
      </c>
      <c r="AI49" s="11">
        <f t="shared" si="187"/>
        <v>881</v>
      </c>
      <c r="AJ49" s="11">
        <f t="shared" si="218"/>
        <v>725</v>
      </c>
      <c r="AK49" s="11">
        <f t="shared" si="218"/>
        <v>67</v>
      </c>
      <c r="AL49" s="11">
        <f t="shared" si="189"/>
        <v>792</v>
      </c>
      <c r="AM49" s="93"/>
      <c r="AN49" s="93"/>
      <c r="AO49" s="93"/>
      <c r="AP49" s="8">
        <f t="shared" si="219"/>
        <v>725</v>
      </c>
      <c r="AQ49" s="8">
        <f t="shared" si="219"/>
        <v>67</v>
      </c>
      <c r="AR49" s="11">
        <f t="shared" si="191"/>
        <v>792</v>
      </c>
      <c r="AS49" s="30">
        <f t="shared" si="220"/>
        <v>90.28642590286425</v>
      </c>
      <c r="AT49" s="30">
        <f t="shared" si="220"/>
        <v>85.8974358974359</v>
      </c>
      <c r="AU49" s="30">
        <f t="shared" si="220"/>
        <v>89.89784335981838</v>
      </c>
      <c r="AV49" s="10">
        <v>26</v>
      </c>
      <c r="AW49" s="10">
        <v>10</v>
      </c>
      <c r="AX49" s="11">
        <f>AV49+AW49</f>
        <v>36</v>
      </c>
      <c r="AY49" s="10">
        <v>19</v>
      </c>
      <c r="AZ49" s="10">
        <v>6</v>
      </c>
      <c r="BA49" s="11">
        <f>AY49+AZ49</f>
        <v>25</v>
      </c>
      <c r="BB49" s="96"/>
      <c r="BC49" s="96"/>
      <c r="BD49" s="93"/>
      <c r="BE49" s="8">
        <f t="shared" si="206"/>
        <v>19</v>
      </c>
      <c r="BF49" s="8">
        <f t="shared" si="206"/>
        <v>6</v>
      </c>
      <c r="BG49" s="11">
        <f>SUM(BE49,BF49)</f>
        <v>25</v>
      </c>
      <c r="BH49" s="30">
        <f t="shared" si="207"/>
        <v>73.07692307692307</v>
      </c>
      <c r="BI49" s="30">
        <f t="shared" si="207"/>
        <v>60</v>
      </c>
      <c r="BJ49" s="30">
        <f t="shared" si="207"/>
        <v>69.44444444444444</v>
      </c>
      <c r="BK49" s="10">
        <v>2</v>
      </c>
      <c r="BL49" s="10">
        <v>2</v>
      </c>
      <c r="BM49" s="11">
        <f>BK49+BL49</f>
        <v>4</v>
      </c>
      <c r="BN49" s="10">
        <v>2</v>
      </c>
      <c r="BO49" s="10">
        <v>1</v>
      </c>
      <c r="BP49" s="11">
        <f>BN49+BO49</f>
        <v>3</v>
      </c>
      <c r="BQ49" s="96"/>
      <c r="BR49" s="96"/>
      <c r="BS49" s="93"/>
      <c r="BT49" s="8">
        <f>SUM(BN49,BQ49)</f>
        <v>2</v>
      </c>
      <c r="BU49" s="8">
        <f>SUM(BO49,BR49)</f>
        <v>1</v>
      </c>
      <c r="BV49" s="11">
        <f>SUM(BT49,BU49)</f>
        <v>3</v>
      </c>
      <c r="BW49" s="30">
        <f>IF(BK49=0,"",BT49/BK49*100)</f>
        <v>100</v>
      </c>
      <c r="BX49" s="30">
        <f>IF(BL49=0,"",BU49/BL49*100)</f>
        <v>50</v>
      </c>
      <c r="BY49" s="30">
        <f>IF(BM49=0,"",BV49/BM49*100)</f>
        <v>75</v>
      </c>
      <c r="BZ49" s="11">
        <f t="shared" si="208"/>
        <v>28</v>
      </c>
      <c r="CA49" s="11">
        <f t="shared" si="208"/>
        <v>12</v>
      </c>
      <c r="CB49" s="11">
        <f>BZ49+CA49</f>
        <v>40</v>
      </c>
      <c r="CC49" s="11">
        <f t="shared" si="209"/>
        <v>21</v>
      </c>
      <c r="CD49" s="11">
        <f t="shared" si="209"/>
        <v>7</v>
      </c>
      <c r="CE49" s="11">
        <f>CC49+CD49</f>
        <v>28</v>
      </c>
      <c r="CF49" s="93"/>
      <c r="CG49" s="93"/>
      <c r="CH49" s="93"/>
      <c r="CI49" s="8">
        <f t="shared" si="221"/>
        <v>21</v>
      </c>
      <c r="CJ49" s="8">
        <f t="shared" si="221"/>
        <v>7</v>
      </c>
      <c r="CK49" s="11">
        <f>SUM(CI49,CJ49)</f>
        <v>28</v>
      </c>
      <c r="CL49" s="30">
        <f t="shared" si="222"/>
        <v>75</v>
      </c>
      <c r="CM49" s="30">
        <f t="shared" si="222"/>
        <v>58.333333333333336</v>
      </c>
      <c r="CN49" s="30">
        <f t="shared" si="222"/>
        <v>70</v>
      </c>
      <c r="CO49" s="92"/>
      <c r="CP49" s="92"/>
      <c r="CQ49" s="93"/>
      <c r="CR49" s="92"/>
      <c r="CS49" s="92"/>
      <c r="CT49" s="93"/>
      <c r="CU49" s="96"/>
      <c r="CV49" s="96"/>
      <c r="CW49" s="93"/>
      <c r="CX49" s="94"/>
      <c r="CY49" s="94"/>
      <c r="CZ49" s="93"/>
      <c r="DA49" s="95"/>
      <c r="DB49" s="95"/>
      <c r="DC49" s="95"/>
      <c r="DD49" s="92"/>
      <c r="DE49" s="92"/>
      <c r="DF49" s="93"/>
      <c r="DG49" s="92"/>
      <c r="DH49" s="92"/>
      <c r="DI49" s="93"/>
      <c r="DJ49" s="96"/>
      <c r="DK49" s="96"/>
      <c r="DL49" s="96"/>
      <c r="DM49" s="94"/>
      <c r="DN49" s="94"/>
      <c r="DO49" s="93"/>
      <c r="DP49" s="95"/>
      <c r="DQ49" s="95"/>
      <c r="DR49" s="95"/>
      <c r="DS49" s="93"/>
      <c r="DT49" s="93"/>
      <c r="DU49" s="93"/>
      <c r="DV49" s="93"/>
      <c r="DW49" s="93"/>
      <c r="DX49" s="93"/>
      <c r="DY49" s="93"/>
      <c r="DZ49" s="93"/>
      <c r="EA49" s="93"/>
      <c r="EB49" s="94"/>
      <c r="EC49" s="94"/>
      <c r="ED49" s="93"/>
      <c r="EE49" s="95"/>
      <c r="EF49" s="95"/>
      <c r="EG49" s="95"/>
      <c r="EH49" s="10"/>
      <c r="EI49" s="10"/>
      <c r="EJ49" s="11"/>
      <c r="EK49" s="10"/>
      <c r="EL49" s="10"/>
      <c r="EM49" s="11"/>
      <c r="EN49" s="7"/>
      <c r="EO49" s="7"/>
      <c r="EP49" s="11"/>
      <c r="EQ49" s="8"/>
      <c r="ER49" s="8"/>
      <c r="ES49" s="11"/>
      <c r="ET49" s="30"/>
      <c r="EU49" s="30"/>
      <c r="EV49" s="30"/>
      <c r="EW49" s="10"/>
      <c r="EX49" s="10"/>
      <c r="EY49" s="11"/>
      <c r="EZ49" s="10"/>
      <c r="FA49" s="10"/>
      <c r="FB49" s="11"/>
      <c r="FC49" s="7"/>
      <c r="FD49" s="7"/>
      <c r="FE49" s="7"/>
      <c r="FF49" s="8"/>
      <c r="FG49" s="8"/>
      <c r="FH49" s="11"/>
      <c r="FI49" s="30"/>
      <c r="FJ49" s="30"/>
      <c r="FK49" s="30"/>
      <c r="FL49" s="11"/>
      <c r="FM49" s="11"/>
      <c r="FN49" s="11"/>
      <c r="FO49" s="11"/>
      <c r="FP49" s="11"/>
      <c r="FQ49" s="11"/>
      <c r="FR49" s="11"/>
      <c r="FS49" s="11"/>
      <c r="FT49" s="11"/>
      <c r="FU49" s="8"/>
      <c r="FV49" s="8"/>
      <c r="FW49" s="11"/>
      <c r="FX49" s="30"/>
      <c r="FY49" s="30"/>
      <c r="FZ49" s="30"/>
      <c r="GA49" s="21">
        <f t="shared" si="223"/>
        <v>725</v>
      </c>
      <c r="GB49" s="21">
        <f t="shared" si="223"/>
        <v>67</v>
      </c>
      <c r="GC49" s="21">
        <f t="shared" si="223"/>
        <v>792</v>
      </c>
      <c r="GD49" s="47">
        <v>15</v>
      </c>
      <c r="GE49" s="47">
        <v>0</v>
      </c>
      <c r="GF49" s="21">
        <f>GD49+GE49</f>
        <v>15</v>
      </c>
      <c r="GG49" s="21">
        <v>137</v>
      </c>
      <c r="GH49" s="21">
        <v>23</v>
      </c>
      <c r="GI49" s="21">
        <f>GG49+GH49</f>
        <v>160</v>
      </c>
      <c r="GJ49" s="57">
        <f>GD49/GA49%</f>
        <v>2.0689655172413794</v>
      </c>
      <c r="GK49" s="57">
        <f>GE49/GB49%</f>
        <v>0</v>
      </c>
      <c r="GL49" s="57">
        <f>GF49/GC49%</f>
        <v>1.893939393939394</v>
      </c>
      <c r="GM49" s="46">
        <f aca="true" t="shared" si="226" ref="GM49:GO50">GG49/GA49%</f>
        <v>18.896551724137932</v>
      </c>
      <c r="GN49" s="46">
        <f t="shared" si="226"/>
        <v>34.32835820895522</v>
      </c>
      <c r="GO49" s="46">
        <f t="shared" si="226"/>
        <v>20.2020202020202</v>
      </c>
      <c r="GP49" s="21">
        <f t="shared" si="224"/>
        <v>21</v>
      </c>
      <c r="GQ49" s="21">
        <f t="shared" si="224"/>
        <v>7</v>
      </c>
      <c r="GR49" s="21">
        <f t="shared" si="224"/>
        <v>28</v>
      </c>
      <c r="GS49" s="47">
        <v>0</v>
      </c>
      <c r="GT49" s="47">
        <v>0</v>
      </c>
      <c r="GU49" s="21">
        <f>GS49+GT49</f>
        <v>0</v>
      </c>
      <c r="GV49" s="21">
        <v>1</v>
      </c>
      <c r="GW49" s="21">
        <v>0</v>
      </c>
      <c r="GX49" s="21">
        <f>GV49+GW49</f>
        <v>1</v>
      </c>
      <c r="GY49" s="140">
        <f>GS49/GP49%</f>
        <v>0</v>
      </c>
      <c r="GZ49" s="140">
        <f>GT49/GQ49%</f>
        <v>0</v>
      </c>
      <c r="HA49" s="140">
        <f>GU49/GR49%</f>
        <v>0</v>
      </c>
      <c r="HB49" s="138">
        <f>GV49/GP49%</f>
        <v>4.761904761904762</v>
      </c>
      <c r="HC49" s="138">
        <f>GW49/GQ49%</f>
        <v>0</v>
      </c>
      <c r="HD49" s="138">
        <f>GX49/GR49%</f>
        <v>3.571428571428571</v>
      </c>
      <c r="HE49" s="98"/>
      <c r="HF49" s="98"/>
      <c r="HG49" s="98"/>
      <c r="HH49" s="98"/>
      <c r="HI49" s="98"/>
      <c r="HJ49" s="98"/>
      <c r="HK49" s="98"/>
      <c r="HL49" s="98"/>
      <c r="HM49" s="98"/>
      <c r="HN49" s="95"/>
      <c r="HO49" s="95"/>
      <c r="HP49" s="95"/>
      <c r="HQ49" s="103"/>
      <c r="HR49" s="103"/>
      <c r="HS49" s="103"/>
    </row>
    <row r="50" spans="1:227" ht="29.25" customHeight="1">
      <c r="A50" s="4">
        <v>41</v>
      </c>
      <c r="B50" s="6" t="s">
        <v>82</v>
      </c>
      <c r="C50" s="8">
        <v>1297</v>
      </c>
      <c r="D50" s="8">
        <v>855</v>
      </c>
      <c r="E50" s="17">
        <f t="shared" si="178"/>
        <v>2152</v>
      </c>
      <c r="F50" s="8">
        <v>1144</v>
      </c>
      <c r="G50" s="8">
        <v>818</v>
      </c>
      <c r="H50" s="9">
        <f t="shared" si="179"/>
        <v>1962</v>
      </c>
      <c r="I50" s="7">
        <v>48</v>
      </c>
      <c r="J50" s="7">
        <v>19</v>
      </c>
      <c r="K50" s="12">
        <f t="shared" si="155"/>
        <v>67</v>
      </c>
      <c r="L50" s="8">
        <f t="shared" si="180"/>
        <v>1192</v>
      </c>
      <c r="M50" s="8">
        <f t="shared" si="181"/>
        <v>837</v>
      </c>
      <c r="N50" s="8">
        <f t="shared" si="182"/>
        <v>2029</v>
      </c>
      <c r="O50" s="30">
        <f t="shared" si="183"/>
        <v>91.90439475713184</v>
      </c>
      <c r="P50" s="30">
        <f t="shared" si="184"/>
        <v>97.89473684210527</v>
      </c>
      <c r="Q50" s="30">
        <f t="shared" si="185"/>
        <v>94.28438661710037</v>
      </c>
      <c r="R50" s="94"/>
      <c r="S50" s="94"/>
      <c r="T50" s="98"/>
      <c r="U50" s="94"/>
      <c r="V50" s="94"/>
      <c r="W50" s="98"/>
      <c r="X50" s="96"/>
      <c r="Y50" s="96"/>
      <c r="Z50" s="93"/>
      <c r="AA50" s="94"/>
      <c r="AB50" s="94"/>
      <c r="AC50" s="93"/>
      <c r="AD50" s="95"/>
      <c r="AE50" s="95"/>
      <c r="AF50" s="95"/>
      <c r="AG50" s="11">
        <f>C50+R50</f>
        <v>1297</v>
      </c>
      <c r="AH50" s="11">
        <f>D50+S50</f>
        <v>855</v>
      </c>
      <c r="AI50" s="11">
        <f t="shared" si="187"/>
        <v>2152</v>
      </c>
      <c r="AJ50" s="11">
        <f>F50+U50</f>
        <v>1144</v>
      </c>
      <c r="AK50" s="11">
        <f>G50+V50</f>
        <v>818</v>
      </c>
      <c r="AL50" s="11">
        <f t="shared" si="189"/>
        <v>1962</v>
      </c>
      <c r="AM50" s="11">
        <f>I50+X50</f>
        <v>48</v>
      </c>
      <c r="AN50" s="11">
        <f>J50+Y50</f>
        <v>19</v>
      </c>
      <c r="AO50" s="11">
        <f>AM50+AN50</f>
        <v>67</v>
      </c>
      <c r="AP50" s="8">
        <f>SUM(AJ50,AM50)</f>
        <v>1192</v>
      </c>
      <c r="AQ50" s="8">
        <f>SUM(AK50,AN50)</f>
        <v>837</v>
      </c>
      <c r="AR50" s="11">
        <f t="shared" si="191"/>
        <v>2029</v>
      </c>
      <c r="AS50" s="30">
        <f>IF(AG50=0,"",AP50/AG50*100)</f>
        <v>91.90439475713184</v>
      </c>
      <c r="AT50" s="30">
        <f>IF(AH50=0,"",AQ50/AH50*100)</f>
        <v>97.89473684210527</v>
      </c>
      <c r="AU50" s="30">
        <f>IF(AI50=0,"",AR50/AI50*100)</f>
        <v>94.28438661710037</v>
      </c>
      <c r="AV50" s="126"/>
      <c r="AW50" s="92"/>
      <c r="AX50" s="93"/>
      <c r="AY50" s="127"/>
      <c r="AZ50" s="92"/>
      <c r="BA50" s="100"/>
      <c r="BB50" s="96"/>
      <c r="BC50" s="96"/>
      <c r="BD50" s="93"/>
      <c r="BE50" s="94"/>
      <c r="BF50" s="94"/>
      <c r="BG50" s="93"/>
      <c r="BH50" s="95"/>
      <c r="BI50" s="95"/>
      <c r="BJ50" s="95"/>
      <c r="BK50" s="92"/>
      <c r="BL50" s="92"/>
      <c r="BM50" s="93"/>
      <c r="BN50" s="92"/>
      <c r="BO50" s="92"/>
      <c r="BP50" s="93"/>
      <c r="BQ50" s="96"/>
      <c r="BR50" s="96"/>
      <c r="BS50" s="93"/>
      <c r="BT50" s="94"/>
      <c r="BU50" s="94"/>
      <c r="BV50" s="93"/>
      <c r="BW50" s="95"/>
      <c r="BX50" s="95"/>
      <c r="BY50" s="95"/>
      <c r="BZ50" s="93"/>
      <c r="CA50" s="93"/>
      <c r="CB50" s="93"/>
      <c r="CC50" s="93"/>
      <c r="CD50" s="93"/>
      <c r="CE50" s="93"/>
      <c r="CF50" s="93"/>
      <c r="CG50" s="93"/>
      <c r="CH50" s="93"/>
      <c r="CI50" s="94"/>
      <c r="CJ50" s="94"/>
      <c r="CK50" s="93"/>
      <c r="CL50" s="95"/>
      <c r="CM50" s="95"/>
      <c r="CN50" s="95"/>
      <c r="CO50" s="92"/>
      <c r="CP50" s="92"/>
      <c r="CQ50" s="93"/>
      <c r="CR50" s="127"/>
      <c r="CS50" s="92"/>
      <c r="CT50" s="93"/>
      <c r="CU50" s="96"/>
      <c r="CV50" s="96"/>
      <c r="CW50" s="93"/>
      <c r="CX50" s="94"/>
      <c r="CY50" s="94"/>
      <c r="CZ50" s="93"/>
      <c r="DA50" s="95"/>
      <c r="DB50" s="95"/>
      <c r="DC50" s="95"/>
      <c r="DD50" s="92"/>
      <c r="DE50" s="92"/>
      <c r="DF50" s="93"/>
      <c r="DG50" s="92"/>
      <c r="DH50" s="92"/>
      <c r="DI50" s="93"/>
      <c r="DJ50" s="96"/>
      <c r="DK50" s="96"/>
      <c r="DL50" s="96"/>
      <c r="DM50" s="94"/>
      <c r="DN50" s="94"/>
      <c r="DO50" s="93"/>
      <c r="DP50" s="95"/>
      <c r="DQ50" s="95"/>
      <c r="DR50" s="95"/>
      <c r="DS50" s="93"/>
      <c r="DT50" s="93"/>
      <c r="DU50" s="93"/>
      <c r="DV50" s="93"/>
      <c r="DW50" s="93"/>
      <c r="DX50" s="93"/>
      <c r="DY50" s="93"/>
      <c r="DZ50" s="93"/>
      <c r="EA50" s="93"/>
      <c r="EB50" s="94"/>
      <c r="EC50" s="94"/>
      <c r="ED50" s="93"/>
      <c r="EE50" s="95"/>
      <c r="EF50" s="95"/>
      <c r="EG50" s="95"/>
      <c r="EH50" s="10"/>
      <c r="EI50" s="10"/>
      <c r="EJ50" s="11"/>
      <c r="EK50" s="15"/>
      <c r="EL50" s="10"/>
      <c r="EM50" s="11"/>
      <c r="EN50" s="7"/>
      <c r="EO50" s="7"/>
      <c r="EP50" s="11"/>
      <c r="EQ50" s="8"/>
      <c r="ER50" s="8"/>
      <c r="ES50" s="11"/>
      <c r="ET50" s="30"/>
      <c r="EU50" s="30"/>
      <c r="EV50" s="30"/>
      <c r="EW50" s="10"/>
      <c r="EX50" s="10"/>
      <c r="EY50" s="11"/>
      <c r="EZ50" s="10"/>
      <c r="FA50" s="10"/>
      <c r="FB50" s="11"/>
      <c r="FC50" s="7"/>
      <c r="FD50" s="7"/>
      <c r="FE50" s="7"/>
      <c r="FF50" s="8"/>
      <c r="FG50" s="8"/>
      <c r="FH50" s="11"/>
      <c r="FI50" s="30"/>
      <c r="FJ50" s="30"/>
      <c r="FK50" s="30"/>
      <c r="FL50" s="11"/>
      <c r="FM50" s="11"/>
      <c r="FN50" s="11"/>
      <c r="FO50" s="11"/>
      <c r="FP50" s="11"/>
      <c r="FQ50" s="11"/>
      <c r="FR50" s="11"/>
      <c r="FS50" s="11"/>
      <c r="FT50" s="11"/>
      <c r="FU50" s="8"/>
      <c r="FV50" s="8"/>
      <c r="FW50" s="11"/>
      <c r="FX50" s="30"/>
      <c r="FY50" s="30"/>
      <c r="FZ50" s="30"/>
      <c r="GA50" s="118">
        <f>AP50</f>
        <v>1192</v>
      </c>
      <c r="GB50" s="118">
        <f>AQ50</f>
        <v>837</v>
      </c>
      <c r="GC50" s="118">
        <f>AR50</f>
        <v>2029</v>
      </c>
      <c r="GD50" s="47">
        <v>357</v>
      </c>
      <c r="GE50" s="47">
        <v>322</v>
      </c>
      <c r="GF50" s="21">
        <f t="shared" si="87"/>
        <v>679</v>
      </c>
      <c r="GG50" s="21">
        <v>484</v>
      </c>
      <c r="GH50" s="21">
        <v>362</v>
      </c>
      <c r="GI50" s="21">
        <f t="shared" si="88"/>
        <v>846</v>
      </c>
      <c r="GJ50" s="121">
        <f>GD50/GA50%</f>
        <v>29.949664429530202</v>
      </c>
      <c r="GK50" s="120">
        <v>1</v>
      </c>
      <c r="GL50" s="121">
        <f>GF50/GC50%</f>
        <v>33.4647609659931</v>
      </c>
      <c r="GM50" s="122">
        <f t="shared" si="226"/>
        <v>40.604026845637584</v>
      </c>
      <c r="GN50" s="122">
        <f t="shared" si="226"/>
        <v>43.24970131421745</v>
      </c>
      <c r="GO50" s="122">
        <f t="shared" si="226"/>
        <v>41.69541646131099</v>
      </c>
      <c r="GP50" s="98"/>
      <c r="GQ50" s="98"/>
      <c r="GR50" s="98"/>
      <c r="GS50" s="98"/>
      <c r="GT50" s="98"/>
      <c r="GU50" s="98"/>
      <c r="GV50" s="98"/>
      <c r="GW50" s="98"/>
      <c r="GX50" s="98"/>
      <c r="GY50" s="95"/>
      <c r="GZ50" s="95"/>
      <c r="HA50" s="95"/>
      <c r="HB50" s="103"/>
      <c r="HC50" s="103"/>
      <c r="HD50" s="103"/>
      <c r="HE50" s="98"/>
      <c r="HF50" s="98"/>
      <c r="HG50" s="129"/>
      <c r="HH50" s="98"/>
      <c r="HI50" s="98"/>
      <c r="HJ50" s="98"/>
      <c r="HK50" s="98"/>
      <c r="HL50" s="98"/>
      <c r="HM50" s="98"/>
      <c r="HN50" s="95"/>
      <c r="HO50" s="95"/>
      <c r="HP50" s="95"/>
      <c r="HQ50" s="103"/>
      <c r="HR50" s="103"/>
      <c r="HS50" s="103"/>
    </row>
    <row r="51" spans="1:227" s="34" customFormat="1" ht="14.25" customHeight="1">
      <c r="A51" s="170" t="s">
        <v>7</v>
      </c>
      <c r="B51" s="170"/>
      <c r="C51" s="31">
        <f>SUM(C9:C50)</f>
        <v>7348364</v>
      </c>
      <c r="D51" s="31">
        <f aca="true" t="shared" si="227" ref="D51:N51">SUM(D9:D50)</f>
        <v>6263773</v>
      </c>
      <c r="E51" s="31">
        <f t="shared" si="227"/>
        <v>13612137</v>
      </c>
      <c r="F51" s="31">
        <f t="shared" si="227"/>
        <v>5582303</v>
      </c>
      <c r="G51" s="31">
        <f t="shared" si="227"/>
        <v>5192025</v>
      </c>
      <c r="H51" s="31">
        <f t="shared" si="227"/>
        <v>10774328</v>
      </c>
      <c r="I51" s="31">
        <f t="shared" si="227"/>
        <v>144475</v>
      </c>
      <c r="J51" s="31">
        <f t="shared" si="227"/>
        <v>103178</v>
      </c>
      <c r="K51" s="31">
        <f t="shared" si="227"/>
        <v>247653</v>
      </c>
      <c r="L51" s="31">
        <f t="shared" si="227"/>
        <v>5726778</v>
      </c>
      <c r="M51" s="31">
        <f t="shared" si="227"/>
        <v>5295203</v>
      </c>
      <c r="N51" s="31">
        <f t="shared" si="227"/>
        <v>11021981</v>
      </c>
      <c r="O51" s="33">
        <f t="shared" si="183"/>
        <v>77.93269359002902</v>
      </c>
      <c r="P51" s="33">
        <f t="shared" si="184"/>
        <v>84.5369556016797</v>
      </c>
      <c r="Q51" s="33">
        <f t="shared" si="185"/>
        <v>80.97171663787985</v>
      </c>
      <c r="R51" s="31">
        <f aca="true" t="shared" si="228" ref="R51:AC51">SUM(R9:R50)</f>
        <v>860444</v>
      </c>
      <c r="S51" s="31">
        <f t="shared" si="228"/>
        <v>486354</v>
      </c>
      <c r="T51" s="31">
        <f t="shared" si="228"/>
        <v>1346798</v>
      </c>
      <c r="U51" s="31">
        <f t="shared" si="228"/>
        <v>255277</v>
      </c>
      <c r="V51" s="31">
        <f t="shared" si="228"/>
        <v>143452</v>
      </c>
      <c r="W51" s="31">
        <f t="shared" si="228"/>
        <v>398729</v>
      </c>
      <c r="X51" s="31">
        <f t="shared" si="228"/>
        <v>114388</v>
      </c>
      <c r="Y51" s="31">
        <f t="shared" si="228"/>
        <v>89101</v>
      </c>
      <c r="Z51" s="31">
        <f t="shared" si="228"/>
        <v>203489</v>
      </c>
      <c r="AA51" s="31">
        <f t="shared" si="228"/>
        <v>369665</v>
      </c>
      <c r="AB51" s="31">
        <f t="shared" si="228"/>
        <v>232553</v>
      </c>
      <c r="AC51" s="31">
        <f t="shared" si="228"/>
        <v>602218</v>
      </c>
      <c r="AD51" s="33">
        <f>AA51/R51*100</f>
        <v>42.962121881261304</v>
      </c>
      <c r="AE51" s="33">
        <f>AB51/S51*100</f>
        <v>47.81558288818432</v>
      </c>
      <c r="AF51" s="33">
        <f>AC51/T51*100</f>
        <v>44.71479761627208</v>
      </c>
      <c r="AG51" s="31">
        <f aca="true" t="shared" si="229" ref="AG51:AR51">SUM(AG9:AG50)</f>
        <v>8208808</v>
      </c>
      <c r="AH51" s="31">
        <f t="shared" si="229"/>
        <v>6750127</v>
      </c>
      <c r="AI51" s="31">
        <f t="shared" si="229"/>
        <v>14958935</v>
      </c>
      <c r="AJ51" s="31">
        <f t="shared" si="229"/>
        <v>5837580</v>
      </c>
      <c r="AK51" s="31">
        <f t="shared" si="229"/>
        <v>5335477</v>
      </c>
      <c r="AL51" s="31">
        <f t="shared" si="229"/>
        <v>11173057</v>
      </c>
      <c r="AM51" s="31">
        <f t="shared" si="229"/>
        <v>258863</v>
      </c>
      <c r="AN51" s="31">
        <f t="shared" si="229"/>
        <v>192279</v>
      </c>
      <c r="AO51" s="31">
        <f t="shared" si="229"/>
        <v>451142</v>
      </c>
      <c r="AP51" s="31">
        <f t="shared" si="229"/>
        <v>6096443</v>
      </c>
      <c r="AQ51" s="31">
        <f t="shared" si="229"/>
        <v>5550770</v>
      </c>
      <c r="AR51" s="31">
        <f t="shared" si="229"/>
        <v>11647213</v>
      </c>
      <c r="AS51" s="33">
        <f>AP51/AG51*100</f>
        <v>74.26709212835773</v>
      </c>
      <c r="AT51" s="33">
        <f>AQ51/AH51*100</f>
        <v>82.23208244822654</v>
      </c>
      <c r="AU51" s="33">
        <f>AR51/AI51*100</f>
        <v>77.86124480118404</v>
      </c>
      <c r="AV51" s="31">
        <f aca="true" t="shared" si="230" ref="AV51:BG51">SUM(AV9:AV50)</f>
        <v>1181751</v>
      </c>
      <c r="AW51" s="31">
        <f t="shared" si="230"/>
        <v>1016760</v>
      </c>
      <c r="AX51" s="31">
        <f t="shared" si="230"/>
        <v>2198511</v>
      </c>
      <c r="AY51" s="31">
        <f t="shared" si="230"/>
        <v>855579</v>
      </c>
      <c r="AZ51" s="31">
        <f t="shared" si="230"/>
        <v>800902</v>
      </c>
      <c r="BA51" s="31">
        <f t="shared" si="230"/>
        <v>1656481</v>
      </c>
      <c r="BB51" s="31">
        <f t="shared" si="230"/>
        <v>26932</v>
      </c>
      <c r="BC51" s="31">
        <f t="shared" si="230"/>
        <v>21407</v>
      </c>
      <c r="BD51" s="31">
        <f t="shared" si="230"/>
        <v>48339</v>
      </c>
      <c r="BE51" s="31">
        <f t="shared" si="230"/>
        <v>882511</v>
      </c>
      <c r="BF51" s="31">
        <f t="shared" si="230"/>
        <v>822309</v>
      </c>
      <c r="BG51" s="31">
        <f t="shared" si="230"/>
        <v>1704820</v>
      </c>
      <c r="BH51" s="33">
        <f>BE51/AV51*100</f>
        <v>74.67825286375894</v>
      </c>
      <c r="BI51" s="33">
        <f>BF51/AW51*100</f>
        <v>80.8754278295763</v>
      </c>
      <c r="BJ51" s="33">
        <f>BG51/AX51*100</f>
        <v>77.54430157502054</v>
      </c>
      <c r="BK51" s="31">
        <f aca="true" t="shared" si="231" ref="BK51:BV51">SUM(BK9:BK50)</f>
        <v>157574</v>
      </c>
      <c r="BL51" s="31">
        <f t="shared" si="231"/>
        <v>93973</v>
      </c>
      <c r="BM51" s="31">
        <f t="shared" si="231"/>
        <v>251547</v>
      </c>
      <c r="BN51" s="31">
        <f t="shared" si="231"/>
        <v>41749</v>
      </c>
      <c r="BO51" s="31">
        <f t="shared" si="231"/>
        <v>22589</v>
      </c>
      <c r="BP51" s="31">
        <f t="shared" si="231"/>
        <v>64338</v>
      </c>
      <c r="BQ51" s="31">
        <f t="shared" si="231"/>
        <v>21694</v>
      </c>
      <c r="BR51" s="31">
        <f t="shared" si="231"/>
        <v>19221</v>
      </c>
      <c r="BS51" s="31">
        <f t="shared" si="231"/>
        <v>40915</v>
      </c>
      <c r="BT51" s="31">
        <f t="shared" si="231"/>
        <v>63443</v>
      </c>
      <c r="BU51" s="31">
        <f t="shared" si="231"/>
        <v>41810</v>
      </c>
      <c r="BV51" s="31">
        <f t="shared" si="231"/>
        <v>105253</v>
      </c>
      <c r="BW51" s="33">
        <f>BT51/BK51*100</f>
        <v>40.262352926244176</v>
      </c>
      <c r="BX51" s="33">
        <f>BU51/BL51*100</f>
        <v>44.49150287848637</v>
      </c>
      <c r="BY51" s="33">
        <f>BV51/BM51*100</f>
        <v>41.842279971536136</v>
      </c>
      <c r="BZ51" s="31">
        <f aca="true" t="shared" si="232" ref="BZ51:CK51">SUM(BZ9:BZ50)</f>
        <v>1339325</v>
      </c>
      <c r="CA51" s="31">
        <f t="shared" si="232"/>
        <v>1110733</v>
      </c>
      <c r="CB51" s="31">
        <f t="shared" si="232"/>
        <v>2450058</v>
      </c>
      <c r="CC51" s="31">
        <f t="shared" si="232"/>
        <v>897328</v>
      </c>
      <c r="CD51" s="31">
        <f t="shared" si="232"/>
        <v>823491</v>
      </c>
      <c r="CE51" s="31">
        <f t="shared" si="232"/>
        <v>1720819</v>
      </c>
      <c r="CF51" s="31">
        <f t="shared" si="232"/>
        <v>48626</v>
      </c>
      <c r="CG51" s="31">
        <f t="shared" si="232"/>
        <v>40628</v>
      </c>
      <c r="CH51" s="31">
        <f t="shared" si="232"/>
        <v>89254</v>
      </c>
      <c r="CI51" s="31">
        <f t="shared" si="232"/>
        <v>945954</v>
      </c>
      <c r="CJ51" s="31">
        <f t="shared" si="232"/>
        <v>864119</v>
      </c>
      <c r="CK51" s="31">
        <f t="shared" si="232"/>
        <v>1810073</v>
      </c>
      <c r="CL51" s="33">
        <f>CI51/BZ51*100</f>
        <v>70.62916021130047</v>
      </c>
      <c r="CM51" s="33">
        <f>CJ51/CA51*100</f>
        <v>77.79718438184514</v>
      </c>
      <c r="CN51" s="33">
        <f>CK51/CB51*100</f>
        <v>73.87878164516921</v>
      </c>
      <c r="CO51" s="31">
        <f aca="true" t="shared" si="233" ref="CO51:CZ51">SUM(CO9:CO50)</f>
        <v>450646</v>
      </c>
      <c r="CP51" s="31">
        <f t="shared" si="233"/>
        <v>402476</v>
      </c>
      <c r="CQ51" s="31">
        <f t="shared" si="233"/>
        <v>853122</v>
      </c>
      <c r="CR51" s="31">
        <f t="shared" si="233"/>
        <v>304853</v>
      </c>
      <c r="CS51" s="31">
        <f t="shared" si="233"/>
        <v>291727</v>
      </c>
      <c r="CT51" s="31">
        <f t="shared" si="233"/>
        <v>596580</v>
      </c>
      <c r="CU51" s="31">
        <f t="shared" si="233"/>
        <v>12317</v>
      </c>
      <c r="CV51" s="31">
        <f t="shared" si="233"/>
        <v>11955</v>
      </c>
      <c r="CW51" s="31">
        <f t="shared" si="233"/>
        <v>24272</v>
      </c>
      <c r="CX51" s="31">
        <f t="shared" si="233"/>
        <v>317170</v>
      </c>
      <c r="CY51" s="31">
        <f t="shared" si="233"/>
        <v>303682</v>
      </c>
      <c r="CZ51" s="31">
        <f t="shared" si="233"/>
        <v>620852</v>
      </c>
      <c r="DA51" s="33">
        <f>CX51/CO51*100</f>
        <v>70.38118611948181</v>
      </c>
      <c r="DB51" s="33">
        <f>CY51/CP51*100</f>
        <v>75.45344318667449</v>
      </c>
      <c r="DC51" s="33">
        <f>CZ51/CQ51*100</f>
        <v>72.77411671484266</v>
      </c>
      <c r="DD51" s="31">
        <f aca="true" t="shared" si="234" ref="DD51:DO51">SUM(DD9:DD50)</f>
        <v>81081</v>
      </c>
      <c r="DE51" s="31">
        <f t="shared" si="234"/>
        <v>56008</v>
      </c>
      <c r="DF51" s="31">
        <f t="shared" si="234"/>
        <v>137089</v>
      </c>
      <c r="DG51" s="31">
        <f t="shared" si="234"/>
        <v>21889</v>
      </c>
      <c r="DH51" s="31">
        <f t="shared" si="234"/>
        <v>15841</v>
      </c>
      <c r="DI51" s="31">
        <f t="shared" si="234"/>
        <v>37730</v>
      </c>
      <c r="DJ51" s="31">
        <f t="shared" si="234"/>
        <v>9285</v>
      </c>
      <c r="DK51" s="31">
        <f t="shared" si="234"/>
        <v>7746</v>
      </c>
      <c r="DL51" s="31">
        <f t="shared" si="234"/>
        <v>17031</v>
      </c>
      <c r="DM51" s="31">
        <f t="shared" si="234"/>
        <v>31174</v>
      </c>
      <c r="DN51" s="31">
        <f t="shared" si="234"/>
        <v>23587</v>
      </c>
      <c r="DO51" s="31">
        <f t="shared" si="234"/>
        <v>54761</v>
      </c>
      <c r="DP51" s="33">
        <f>DM51/DD51*100</f>
        <v>38.447971781305114</v>
      </c>
      <c r="DQ51" s="33">
        <f>DN51/DE51*100</f>
        <v>42.11362662476789</v>
      </c>
      <c r="DR51" s="33">
        <f>DO51/DF51*100</f>
        <v>39.945582796577405</v>
      </c>
      <c r="DS51" s="31">
        <f aca="true" t="shared" si="235" ref="DS51:ED51">SUM(DS9:DS50)</f>
        <v>531727</v>
      </c>
      <c r="DT51" s="31">
        <f t="shared" si="235"/>
        <v>458484</v>
      </c>
      <c r="DU51" s="31">
        <f t="shared" si="235"/>
        <v>990211</v>
      </c>
      <c r="DV51" s="31">
        <f t="shared" si="235"/>
        <v>326742</v>
      </c>
      <c r="DW51" s="31">
        <f t="shared" si="235"/>
        <v>307568</v>
      </c>
      <c r="DX51" s="31">
        <f t="shared" si="235"/>
        <v>634310</v>
      </c>
      <c r="DY51" s="31">
        <f t="shared" si="235"/>
        <v>21602</v>
      </c>
      <c r="DZ51" s="31">
        <f t="shared" si="235"/>
        <v>19701</v>
      </c>
      <c r="EA51" s="31">
        <f t="shared" si="235"/>
        <v>41303</v>
      </c>
      <c r="EB51" s="31">
        <f t="shared" si="235"/>
        <v>348344</v>
      </c>
      <c r="EC51" s="31">
        <f t="shared" si="235"/>
        <v>327269</v>
      </c>
      <c r="ED51" s="31">
        <f t="shared" si="235"/>
        <v>675613</v>
      </c>
      <c r="EE51" s="33">
        <f>EB51/DS51*100</f>
        <v>65.51181339296292</v>
      </c>
      <c r="EF51" s="33">
        <f>EC51/DT51*100</f>
        <v>71.38068067806074</v>
      </c>
      <c r="EG51" s="33">
        <f>ED51/DU51*100</f>
        <v>68.22919559568618</v>
      </c>
      <c r="EH51" s="31">
        <f aca="true" t="shared" si="236" ref="EH51:ES51">SUM(EH9:EH42)</f>
        <v>1230377</v>
      </c>
      <c r="EI51" s="31">
        <f t="shared" si="236"/>
        <v>1087475</v>
      </c>
      <c r="EJ51" s="31">
        <f t="shared" si="236"/>
        <v>2317852</v>
      </c>
      <c r="EK51" s="31">
        <f t="shared" si="236"/>
        <v>1025419</v>
      </c>
      <c r="EL51" s="31">
        <f t="shared" si="236"/>
        <v>837773</v>
      </c>
      <c r="EM51" s="31">
        <f t="shared" si="236"/>
        <v>1863192</v>
      </c>
      <c r="EN51" s="32">
        <f t="shared" si="236"/>
        <v>49082</v>
      </c>
      <c r="EO51" s="32">
        <f t="shared" si="236"/>
        <v>38757</v>
      </c>
      <c r="EP51" s="32">
        <f t="shared" si="236"/>
        <v>87839</v>
      </c>
      <c r="EQ51" s="32">
        <f t="shared" si="236"/>
        <v>1073985</v>
      </c>
      <c r="ER51" s="32">
        <f t="shared" si="236"/>
        <v>876432.4</v>
      </c>
      <c r="ES51" s="32">
        <f t="shared" si="236"/>
        <v>1950415.7</v>
      </c>
      <c r="ET51" s="33">
        <f>IF(EH51=0,"",EQ51/EH51*100)</f>
        <v>87.28909919479965</v>
      </c>
      <c r="EU51" s="33">
        <f>IF(EI51=0,"",ER51/EI51*100)</f>
        <v>80.59333777787995</v>
      </c>
      <c r="EV51" s="33">
        <f>IF(EJ51=0,"",ES51/EJ51*100)</f>
        <v>84.14755126729403</v>
      </c>
      <c r="EW51" s="31">
        <f aca="true" t="shared" si="237" ref="EW51:FH51">SUM(EW9:EW42)</f>
        <v>158114</v>
      </c>
      <c r="EX51" s="31">
        <f t="shared" si="237"/>
        <v>81897</v>
      </c>
      <c r="EY51" s="31">
        <f t="shared" si="237"/>
        <v>240011</v>
      </c>
      <c r="EZ51" s="31">
        <f t="shared" si="237"/>
        <v>54768</v>
      </c>
      <c r="FA51" s="31">
        <f t="shared" si="237"/>
        <v>33773</v>
      </c>
      <c r="FB51" s="31">
        <f t="shared" si="237"/>
        <v>88541</v>
      </c>
      <c r="FC51" s="32">
        <f t="shared" si="237"/>
        <v>130500</v>
      </c>
      <c r="FD51" s="32">
        <f t="shared" si="237"/>
        <v>97000</v>
      </c>
      <c r="FE51" s="32">
        <f t="shared" si="237"/>
        <v>227500</v>
      </c>
      <c r="FF51" s="32">
        <f t="shared" si="237"/>
        <v>185268</v>
      </c>
      <c r="FG51" s="32">
        <f t="shared" si="237"/>
        <v>130773</v>
      </c>
      <c r="FH51" s="32">
        <f t="shared" si="237"/>
        <v>316041</v>
      </c>
      <c r="FI51" s="33">
        <f>IF(EW51=0,"",FF51/EW51*100)</f>
        <v>117.17368480969428</v>
      </c>
      <c r="FJ51" s="33">
        <f>IF(EX51=0,"",FG51/EX51*100)</f>
        <v>159.67984175244513</v>
      </c>
      <c r="FK51" s="33">
        <f>IF(EY51=0,"",FH51/EY51*100)</f>
        <v>131.6777147714063</v>
      </c>
      <c r="FL51" s="31">
        <f aca="true" t="shared" si="238" ref="FL51:FW51">SUM(FL9:FL42)</f>
        <v>1386573</v>
      </c>
      <c r="FM51" s="31">
        <f t="shared" si="238"/>
        <v>1168341</v>
      </c>
      <c r="FN51" s="31">
        <f t="shared" si="238"/>
        <v>2554914</v>
      </c>
      <c r="FO51" s="31">
        <f t="shared" si="238"/>
        <v>1080110</v>
      </c>
      <c r="FP51" s="31">
        <f t="shared" si="238"/>
        <v>871542</v>
      </c>
      <c r="FQ51" s="31">
        <f t="shared" si="238"/>
        <v>1951652</v>
      </c>
      <c r="FR51" s="32">
        <f t="shared" si="238"/>
        <v>179139</v>
      </c>
      <c r="FS51" s="32">
        <f t="shared" si="238"/>
        <v>135663</v>
      </c>
      <c r="FT51" s="32">
        <f t="shared" si="238"/>
        <v>314802</v>
      </c>
      <c r="FU51" s="32">
        <f t="shared" si="238"/>
        <v>1259249</v>
      </c>
      <c r="FV51" s="32">
        <f t="shared" si="238"/>
        <v>1007205</v>
      </c>
      <c r="FW51" s="32">
        <f t="shared" si="238"/>
        <v>2266454</v>
      </c>
      <c r="FX51" s="33">
        <f>IF(FL51=0,"",FU51/FL51*100)</f>
        <v>90.81736049959144</v>
      </c>
      <c r="FY51" s="33">
        <f>IF(FM51=0,"",FV51/FM51*100)</f>
        <v>86.20813615203096</v>
      </c>
      <c r="FZ51" s="33">
        <f>IF(FN51=0,"",FW51/FN51*100)</f>
        <v>88.70960040142252</v>
      </c>
      <c r="GA51" s="31">
        <f aca="true" t="shared" si="239" ref="GA51:GI51">SUM(GA9:GA50)</f>
        <v>6096443</v>
      </c>
      <c r="GB51" s="31">
        <f t="shared" si="239"/>
        <v>5550770</v>
      </c>
      <c r="GC51" s="31">
        <f t="shared" si="239"/>
        <v>11647213</v>
      </c>
      <c r="GD51" s="31">
        <f t="shared" si="239"/>
        <v>877680</v>
      </c>
      <c r="GE51" s="31">
        <f t="shared" si="239"/>
        <v>920774</v>
      </c>
      <c r="GF51" s="31">
        <f t="shared" si="239"/>
        <v>1798455</v>
      </c>
      <c r="GG51" s="31">
        <f t="shared" si="239"/>
        <v>1806341</v>
      </c>
      <c r="GH51" s="31">
        <f t="shared" si="239"/>
        <v>1774807</v>
      </c>
      <c r="GI51" s="31">
        <f t="shared" si="239"/>
        <v>3581172</v>
      </c>
      <c r="GJ51" s="33">
        <f t="shared" si="89"/>
        <v>14.39659158627416</v>
      </c>
      <c r="GK51" s="33">
        <f t="shared" si="90"/>
        <v>16.58822109365007</v>
      </c>
      <c r="GL51" s="33">
        <f t="shared" si="91"/>
        <v>15.441075903737657</v>
      </c>
      <c r="GM51" s="33">
        <f t="shared" si="92"/>
        <v>29.629424895795793</v>
      </c>
      <c r="GN51" s="33">
        <f t="shared" si="93"/>
        <v>31.974068462573662</v>
      </c>
      <c r="GO51" s="33">
        <f t="shared" si="94"/>
        <v>30.747029353717494</v>
      </c>
      <c r="GP51" s="31">
        <f aca="true" t="shared" si="240" ref="GP51:GX51">SUM(GP9:GP50)</f>
        <v>945951</v>
      </c>
      <c r="GQ51" s="31">
        <f t="shared" si="240"/>
        <v>864117</v>
      </c>
      <c r="GR51" s="31">
        <f t="shared" si="240"/>
        <v>1810068</v>
      </c>
      <c r="GS51" s="31">
        <f t="shared" si="240"/>
        <v>85588</v>
      </c>
      <c r="GT51" s="31">
        <f t="shared" si="240"/>
        <v>99320</v>
      </c>
      <c r="GU51" s="31">
        <f t="shared" si="240"/>
        <v>184908</v>
      </c>
      <c r="GV51" s="31">
        <f t="shared" si="240"/>
        <v>249008</v>
      </c>
      <c r="GW51" s="31">
        <f t="shared" si="240"/>
        <v>254953</v>
      </c>
      <c r="GX51" s="31">
        <f t="shared" si="240"/>
        <v>503961</v>
      </c>
      <c r="GY51" s="33">
        <f>GS51/GP51%</f>
        <v>9.04782594447281</v>
      </c>
      <c r="GZ51" s="33">
        <f>GT51/GQ51%</f>
        <v>11.493813916402525</v>
      </c>
      <c r="HA51" s="33">
        <f>GU51/GR51%</f>
        <v>10.215527814424652</v>
      </c>
      <c r="HB51" s="33">
        <f>GV51/GP51%</f>
        <v>26.323562214110456</v>
      </c>
      <c r="HC51" s="33">
        <f>GW51/GQ51%</f>
        <v>29.504453679305</v>
      </c>
      <c r="HD51" s="33">
        <f>GX51/GR51%</f>
        <v>27.842103169604677</v>
      </c>
      <c r="HE51" s="31">
        <f aca="true" t="shared" si="241" ref="HE51:HM51">SUM(HE9:HE50)</f>
        <v>348343</v>
      </c>
      <c r="HF51" s="31">
        <f t="shared" si="241"/>
        <v>327269</v>
      </c>
      <c r="HG51" s="31">
        <f t="shared" si="241"/>
        <v>675612</v>
      </c>
      <c r="HH51" s="31">
        <f t="shared" si="241"/>
        <v>19695</v>
      </c>
      <c r="HI51" s="31">
        <f t="shared" si="241"/>
        <v>20662</v>
      </c>
      <c r="HJ51" s="31">
        <f t="shared" si="241"/>
        <v>40357</v>
      </c>
      <c r="HK51" s="31">
        <f t="shared" si="241"/>
        <v>67168</v>
      </c>
      <c r="HL51" s="31">
        <f t="shared" si="241"/>
        <v>67810</v>
      </c>
      <c r="HM51" s="31">
        <f t="shared" si="241"/>
        <v>134978</v>
      </c>
      <c r="HN51" s="33">
        <f>HH51/HE51%</f>
        <v>5.653910082878083</v>
      </c>
      <c r="HO51" s="33">
        <f>HI51/HF51%</f>
        <v>6.313460792192355</v>
      </c>
      <c r="HP51" s="33">
        <f>HJ51/HG51%</f>
        <v>5.973398933115457</v>
      </c>
      <c r="HQ51" s="33">
        <f>HK51/HE51%</f>
        <v>19.282144323267584</v>
      </c>
      <c r="HR51" s="33">
        <f>HL51/HF51%</f>
        <v>20.719958199523937</v>
      </c>
      <c r="HS51" s="33">
        <f>HM51/HG51%</f>
        <v>19.978626785788293</v>
      </c>
    </row>
    <row r="52" spans="1:227" s="35" customFormat="1" ht="21" customHeight="1">
      <c r="A52" s="62"/>
      <c r="B52" s="63"/>
      <c r="C52" s="164" t="s">
        <v>119</v>
      </c>
      <c r="D52" s="165"/>
      <c r="E52" s="63"/>
      <c r="F52" s="63"/>
      <c r="G52" s="63"/>
      <c r="H52" s="63"/>
      <c r="I52" s="63"/>
      <c r="J52" s="168"/>
      <c r="K52" s="168"/>
      <c r="L52" s="168"/>
      <c r="M52" s="168"/>
      <c r="N52" s="168"/>
      <c r="O52" s="168"/>
      <c r="P52" s="168"/>
      <c r="Q52" s="168"/>
      <c r="R52" s="164" t="s">
        <v>119</v>
      </c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64" t="s">
        <v>119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64" t="s">
        <v>119</v>
      </c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62" t="s">
        <v>116</v>
      </c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64" t="s">
        <v>119</v>
      </c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61" t="s">
        <v>103</v>
      </c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64" t="s">
        <v>119</v>
      </c>
      <c r="DE52" s="150"/>
      <c r="DF52" s="150"/>
      <c r="DG52" s="150"/>
      <c r="DH52" s="150"/>
      <c r="DI52" s="150"/>
      <c r="DJ52" s="150"/>
      <c r="DK52" s="150"/>
      <c r="DL52" s="150"/>
      <c r="DM52" s="150"/>
      <c r="DN52" s="150"/>
      <c r="DO52" s="150"/>
      <c r="DP52" s="150"/>
      <c r="DQ52" s="150"/>
      <c r="DR52" s="150"/>
      <c r="DS52" s="162" t="s">
        <v>116</v>
      </c>
      <c r="DT52" s="150"/>
      <c r="DU52" s="150"/>
      <c r="DV52" s="150"/>
      <c r="DW52" s="150"/>
      <c r="DX52" s="150"/>
      <c r="DY52" s="150"/>
      <c r="DZ52" s="150"/>
      <c r="EA52" s="150"/>
      <c r="EB52" s="150"/>
      <c r="EC52" s="150"/>
      <c r="ED52" s="150"/>
      <c r="EE52" s="150"/>
      <c r="EF52" s="150"/>
      <c r="EG52" s="150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164" t="s">
        <v>119</v>
      </c>
      <c r="GB52" s="150"/>
      <c r="GC52" s="150"/>
      <c r="GD52" s="150"/>
      <c r="GE52" s="150"/>
      <c r="GF52" s="150"/>
      <c r="GG52" s="150"/>
      <c r="GH52" s="150"/>
      <c r="GI52" s="150"/>
      <c r="GJ52" s="150"/>
      <c r="GK52" s="150"/>
      <c r="GL52" s="150"/>
      <c r="GM52" s="150"/>
      <c r="GN52" s="150"/>
      <c r="GO52" s="150"/>
      <c r="GP52" s="164" t="s">
        <v>119</v>
      </c>
      <c r="GQ52" s="150"/>
      <c r="GR52" s="150"/>
      <c r="GS52" s="150"/>
      <c r="GT52" s="150"/>
      <c r="GU52" s="150"/>
      <c r="GV52" s="150"/>
      <c r="GW52" s="150"/>
      <c r="GX52" s="150"/>
      <c r="GY52" s="150"/>
      <c r="GZ52" s="150"/>
      <c r="HA52" s="150"/>
      <c r="HB52" s="150"/>
      <c r="HC52" s="150"/>
      <c r="HD52" s="150"/>
      <c r="HE52" s="164" t="s">
        <v>119</v>
      </c>
      <c r="HF52" s="150"/>
      <c r="HG52" s="150"/>
      <c r="HH52" s="150"/>
      <c r="HI52" s="150"/>
      <c r="HJ52" s="150"/>
      <c r="HK52" s="150"/>
      <c r="HL52" s="150"/>
      <c r="HM52" s="150"/>
      <c r="HN52" s="150"/>
      <c r="HO52" s="150"/>
      <c r="HP52" s="150"/>
      <c r="HQ52" s="150"/>
      <c r="HR52" s="150"/>
      <c r="HS52" s="150"/>
    </row>
    <row r="53" spans="3:228" ht="15">
      <c r="C53" s="168" t="s">
        <v>93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50" t="s">
        <v>93</v>
      </c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 t="s">
        <v>93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 t="s">
        <v>93</v>
      </c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 t="s">
        <v>93</v>
      </c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 t="s">
        <v>93</v>
      </c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 t="s">
        <v>93</v>
      </c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 t="s">
        <v>93</v>
      </c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 t="s">
        <v>93</v>
      </c>
      <c r="DT53" s="150"/>
      <c r="DU53" s="150"/>
      <c r="DV53" s="150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150" t="s">
        <v>93</v>
      </c>
      <c r="GB53" s="150"/>
      <c r="GC53" s="150"/>
      <c r="GD53" s="150"/>
      <c r="GE53" s="150"/>
      <c r="GF53" s="150"/>
      <c r="GG53" s="150"/>
      <c r="GH53" s="150"/>
      <c r="GI53" s="150"/>
      <c r="GJ53" s="150"/>
      <c r="GK53" s="150"/>
      <c r="GL53" s="150"/>
      <c r="GM53" s="150"/>
      <c r="GN53" s="150"/>
      <c r="GO53" s="150"/>
      <c r="GP53" s="150" t="s">
        <v>93</v>
      </c>
      <c r="GQ53" s="150"/>
      <c r="GR53" s="150"/>
      <c r="GS53" s="150"/>
      <c r="GT53" s="150"/>
      <c r="GU53" s="150"/>
      <c r="GV53" s="150"/>
      <c r="GW53" s="150"/>
      <c r="GX53" s="150"/>
      <c r="GY53" s="150"/>
      <c r="GZ53" s="150"/>
      <c r="HA53" s="150"/>
      <c r="HB53" s="150"/>
      <c r="HC53" s="150"/>
      <c r="HD53" s="150"/>
      <c r="HE53" s="150" t="s">
        <v>93</v>
      </c>
      <c r="HF53" s="150"/>
      <c r="HG53" s="150"/>
      <c r="HH53" s="150"/>
      <c r="HI53" s="150"/>
      <c r="HJ53" s="150"/>
      <c r="HK53" s="150"/>
      <c r="HL53" s="150"/>
      <c r="HM53" s="150"/>
      <c r="HN53" s="150"/>
      <c r="HO53" s="150"/>
      <c r="HP53" s="150"/>
      <c r="HQ53" s="150"/>
      <c r="HR53" s="150"/>
      <c r="HS53" s="150"/>
      <c r="HT53" s="35"/>
    </row>
    <row r="54" spans="3:228" ht="15">
      <c r="C54" s="168" t="s">
        <v>94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50" t="s">
        <v>94</v>
      </c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 t="s">
        <v>94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 t="s">
        <v>94</v>
      </c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 t="s">
        <v>94</v>
      </c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 t="s">
        <v>94</v>
      </c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 t="s">
        <v>94</v>
      </c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 t="s">
        <v>94</v>
      </c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 t="s">
        <v>94</v>
      </c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50"/>
      <c r="EG54" s="150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150" t="s">
        <v>94</v>
      </c>
      <c r="GB54" s="150"/>
      <c r="GC54" s="150"/>
      <c r="GD54" s="150"/>
      <c r="GE54" s="150"/>
      <c r="GF54" s="150"/>
      <c r="GG54" s="150"/>
      <c r="GH54" s="150"/>
      <c r="GI54" s="150"/>
      <c r="GJ54" s="150"/>
      <c r="GK54" s="150"/>
      <c r="GL54" s="150"/>
      <c r="GM54" s="150"/>
      <c r="GN54" s="150"/>
      <c r="GO54" s="150"/>
      <c r="GP54" s="150" t="s">
        <v>94</v>
      </c>
      <c r="GQ54" s="150"/>
      <c r="GR54" s="150"/>
      <c r="GS54" s="150"/>
      <c r="GT54" s="150"/>
      <c r="GU54" s="150"/>
      <c r="GV54" s="150"/>
      <c r="GW54" s="150"/>
      <c r="GX54" s="150"/>
      <c r="GY54" s="150"/>
      <c r="GZ54" s="150"/>
      <c r="HA54" s="150"/>
      <c r="HB54" s="150"/>
      <c r="HC54" s="150"/>
      <c r="HD54" s="150"/>
      <c r="HE54" s="150" t="s">
        <v>94</v>
      </c>
      <c r="HF54" s="150"/>
      <c r="HG54" s="150"/>
      <c r="HH54" s="150"/>
      <c r="HI54" s="150"/>
      <c r="HJ54" s="150"/>
      <c r="HK54" s="150"/>
      <c r="HL54" s="150"/>
      <c r="HM54" s="150"/>
      <c r="HN54" s="150"/>
      <c r="HO54" s="150"/>
      <c r="HP54" s="150"/>
      <c r="HQ54" s="150"/>
      <c r="HR54" s="150"/>
      <c r="HS54" s="150"/>
      <c r="HT54" s="35"/>
    </row>
  </sheetData>
  <sheetProtection/>
  <protectedRanges>
    <protectedRange sqref="C10:D10" name="Range1"/>
    <protectedRange sqref="F35:G35 C13:D27 C43:D49 C29:D40" name="Range1_1"/>
    <protectedRange sqref="C12:D12" name="Range1_1_1"/>
    <protectedRange sqref="C28:D28" name="Range1_1_2"/>
  </protectedRanges>
  <mergeCells count="162">
    <mergeCell ref="HK5:HM5"/>
    <mergeCell ref="HN3:HS4"/>
    <mergeCell ref="HN5:HP5"/>
    <mergeCell ref="HQ5:HS5"/>
    <mergeCell ref="GJ5:GL5"/>
    <mergeCell ref="GM5:GO5"/>
    <mergeCell ref="GS5:GU5"/>
    <mergeCell ref="GV5:GX5"/>
    <mergeCell ref="GY5:HA5"/>
    <mergeCell ref="HB5:HD5"/>
    <mergeCell ref="EB5:ED5"/>
    <mergeCell ref="HE8:HS8"/>
    <mergeCell ref="GP8:HD8"/>
    <mergeCell ref="GA8:GO8"/>
    <mergeCell ref="HE2:HS2"/>
    <mergeCell ref="GP2:HD2"/>
    <mergeCell ref="DS2:EG2"/>
    <mergeCell ref="EW3:FH3"/>
    <mergeCell ref="GA3:GC5"/>
    <mergeCell ref="HE3:HG5"/>
    <mergeCell ref="FU5:FW5"/>
    <mergeCell ref="GD5:GF5"/>
    <mergeCell ref="GG5:GI5"/>
    <mergeCell ref="GD3:GI4"/>
    <mergeCell ref="HH5:HJ5"/>
    <mergeCell ref="GJ3:GO4"/>
    <mergeCell ref="GP3:GR5"/>
    <mergeCell ref="GS3:GX4"/>
    <mergeCell ref="GY3:HD4"/>
    <mergeCell ref="HH3:HM4"/>
    <mergeCell ref="R1:AF1"/>
    <mergeCell ref="AG1:AU1"/>
    <mergeCell ref="AV1:BJ1"/>
    <mergeCell ref="BK1:BY1"/>
    <mergeCell ref="BZ1:CN1"/>
    <mergeCell ref="EH1:EV1"/>
    <mergeCell ref="CO1:DC1"/>
    <mergeCell ref="DD1:DR1"/>
    <mergeCell ref="DS1:EG1"/>
    <mergeCell ref="EW1:FK1"/>
    <mergeCell ref="EH2:EV2"/>
    <mergeCell ref="EW2:FK2"/>
    <mergeCell ref="EW4:EY5"/>
    <mergeCell ref="FC5:FE5"/>
    <mergeCell ref="FL1:FZ1"/>
    <mergeCell ref="FL2:FZ2"/>
    <mergeCell ref="EQ5:ES5"/>
    <mergeCell ref="FL3:FW3"/>
    <mergeCell ref="FX3:FZ5"/>
    <mergeCell ref="R3:AC3"/>
    <mergeCell ref="AD3:AF5"/>
    <mergeCell ref="C4:E5"/>
    <mergeCell ref="R4:T5"/>
    <mergeCell ref="U4:AC4"/>
    <mergeCell ref="X5:Z5"/>
    <mergeCell ref="F4:N4"/>
    <mergeCell ref="C2:Q2"/>
    <mergeCell ref="AG2:AU2"/>
    <mergeCell ref="AV2:BJ2"/>
    <mergeCell ref="BK2:BY2"/>
    <mergeCell ref="BZ2:CN2"/>
    <mergeCell ref="F5:H5"/>
    <mergeCell ref="I5:K5"/>
    <mergeCell ref="L5:N5"/>
    <mergeCell ref="U5:W5"/>
    <mergeCell ref="R2:AF2"/>
    <mergeCell ref="CO2:DC2"/>
    <mergeCell ref="DD2:DR2"/>
    <mergeCell ref="EZ5:FB5"/>
    <mergeCell ref="AV4:AX5"/>
    <mergeCell ref="ET3:EV5"/>
    <mergeCell ref="DS3:ED3"/>
    <mergeCell ref="EE3:EG5"/>
    <mergeCell ref="DA3:DC5"/>
    <mergeCell ref="DD3:DO3"/>
    <mergeCell ref="CO4:CQ5"/>
    <mergeCell ref="EK5:EM5"/>
    <mergeCell ref="EN5:EP5"/>
    <mergeCell ref="DP3:DR5"/>
    <mergeCell ref="DD4:DF5"/>
    <mergeCell ref="DG4:DO4"/>
    <mergeCell ref="CR5:CT5"/>
    <mergeCell ref="CU5:CW5"/>
    <mergeCell ref="CO3:CZ3"/>
    <mergeCell ref="DG5:DI5"/>
    <mergeCell ref="CR4:CZ4"/>
    <mergeCell ref="A8:B8"/>
    <mergeCell ref="C8:Q8"/>
    <mergeCell ref="R8:AF8"/>
    <mergeCell ref="AG8:AU8"/>
    <mergeCell ref="AP5:AR5"/>
    <mergeCell ref="AV8:BJ8"/>
    <mergeCell ref="A3:A6"/>
    <mergeCell ref="B3:B6"/>
    <mergeCell ref="C3:N3"/>
    <mergeCell ref="O3:Q5"/>
    <mergeCell ref="AG3:AR3"/>
    <mergeCell ref="AS3:AU5"/>
    <mergeCell ref="AY4:BG4"/>
    <mergeCell ref="CX5:CZ5"/>
    <mergeCell ref="AY5:BA5"/>
    <mergeCell ref="BH3:BJ5"/>
    <mergeCell ref="CL3:CN5"/>
    <mergeCell ref="BK3:BV3"/>
    <mergeCell ref="AV3:BG3"/>
    <mergeCell ref="BK4:BM5"/>
    <mergeCell ref="BW3:BY5"/>
    <mergeCell ref="BZ4:CB5"/>
    <mergeCell ref="BQ5:BS5"/>
    <mergeCell ref="BT5:BV5"/>
    <mergeCell ref="BZ3:CK3"/>
    <mergeCell ref="CC5:CE5"/>
    <mergeCell ref="CC4:CK4"/>
    <mergeCell ref="BN5:BP5"/>
    <mergeCell ref="FO5:FQ5"/>
    <mergeCell ref="BN4:BV4"/>
    <mergeCell ref="AA5:AC5"/>
    <mergeCell ref="AJ5:AL5"/>
    <mergeCell ref="AG4:AI5"/>
    <mergeCell ref="AJ4:AR4"/>
    <mergeCell ref="AM5:AO5"/>
    <mergeCell ref="CF5:CH5"/>
    <mergeCell ref="CI5:CK5"/>
    <mergeCell ref="DV4:ED4"/>
    <mergeCell ref="DJ5:DL5"/>
    <mergeCell ref="DM5:DO5"/>
    <mergeCell ref="DV5:DX5"/>
    <mergeCell ref="FL8:FZ8"/>
    <mergeCell ref="FF5:FH5"/>
    <mergeCell ref="EH4:EJ5"/>
    <mergeCell ref="EK4:ES4"/>
    <mergeCell ref="EZ4:FH4"/>
    <mergeCell ref="FO4:FW4"/>
    <mergeCell ref="BK8:BY8"/>
    <mergeCell ref="BZ8:CN8"/>
    <mergeCell ref="BB5:BD5"/>
    <mergeCell ref="BE5:BG5"/>
    <mergeCell ref="FR5:FT5"/>
    <mergeCell ref="FI3:FK5"/>
    <mergeCell ref="EH3:ES3"/>
    <mergeCell ref="FL4:FN5"/>
    <mergeCell ref="DY5:EA5"/>
    <mergeCell ref="DS4:DU5"/>
    <mergeCell ref="CO8:DC8"/>
    <mergeCell ref="DD8:DR8"/>
    <mergeCell ref="DS8:EG8"/>
    <mergeCell ref="EH8:EV8"/>
    <mergeCell ref="EW11:FK11"/>
    <mergeCell ref="CO11:DC11"/>
    <mergeCell ref="DD11:DR11"/>
    <mergeCell ref="DS11:EG11"/>
    <mergeCell ref="EW8:FK8"/>
    <mergeCell ref="FL11:FZ11"/>
    <mergeCell ref="A51:B51"/>
    <mergeCell ref="A11:B11"/>
    <mergeCell ref="C11:Q11"/>
    <mergeCell ref="R11:AF11"/>
    <mergeCell ref="AG11:AU11"/>
    <mergeCell ref="EH11:EV11"/>
    <mergeCell ref="AV11:BJ11"/>
    <mergeCell ref="BK11:BY11"/>
    <mergeCell ref="BZ11:CN11"/>
  </mergeCells>
  <printOptions horizontalCentered="1"/>
  <pageMargins left="0" right="0" top="0.3937007874015748" bottom="0" header="0.8661417322834646" footer="0.3937007874015748"/>
  <pageSetup firstPageNumber="33" useFirstPageNumber="1" orientation="landscape" paperSize="9" scale="63" r:id="rId1"/>
  <headerFooter alignWithMargins="0">
    <oddFooter>&amp;CXII-2016&amp;R&amp;P</oddFooter>
  </headerFooter>
  <rowBreaks count="1" manualBreakCount="1">
    <brk id="28" max="226" man="1"/>
  </rowBreaks>
  <colBreaks count="11" manualBreakCount="11">
    <brk id="17" max="54" man="1"/>
    <brk id="32" max="54" man="1"/>
    <brk id="47" max="54" man="1"/>
    <brk id="62" max="54" man="1"/>
    <brk id="77" max="54" man="1"/>
    <brk id="92" max="54" man="1"/>
    <brk id="107" max="54" man="1"/>
    <brk id="122" max="54" man="1"/>
    <brk id="182" max="54" man="1"/>
    <brk id="197" max="54" man="1"/>
    <brk id="212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19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4.28125" style="0" customWidth="1"/>
    <col min="2" max="2" width="24.421875" style="0" customWidth="1"/>
    <col min="3" max="14" width="8.7109375" style="0" customWidth="1"/>
    <col min="15" max="20" width="11.7109375" style="0" customWidth="1"/>
    <col min="21" max="26" width="8.7109375" style="0" hidden="1" customWidth="1"/>
    <col min="27" max="27" width="8.8515625" style="22" customWidth="1"/>
    <col min="28" max="28" width="8.140625" style="22" customWidth="1"/>
    <col min="29" max="29" width="8.8515625" style="22" customWidth="1"/>
    <col min="30" max="30" width="8.140625" style="22" customWidth="1"/>
    <col min="31" max="31" width="6.8515625" style="22" customWidth="1"/>
    <col min="32" max="33" width="8.140625" style="22" customWidth="1"/>
    <col min="34" max="34" width="7.00390625" style="22" customWidth="1"/>
    <col min="35" max="35" width="8.140625" style="22" customWidth="1"/>
    <col min="36" max="41" width="6.8515625" style="22" customWidth="1"/>
    <col min="42" max="42" width="8.8515625" style="22" customWidth="1"/>
    <col min="43" max="43" width="8.140625" style="22" customWidth="1"/>
    <col min="44" max="44" width="8.8515625" style="22" customWidth="1"/>
    <col min="45" max="45" width="8.140625" style="22" customWidth="1"/>
    <col min="46" max="46" width="6.8515625" style="22" customWidth="1"/>
    <col min="47" max="48" width="8.140625" style="22" customWidth="1"/>
    <col min="49" max="49" width="7.00390625" style="22" customWidth="1"/>
    <col min="50" max="50" width="8.140625" style="22" customWidth="1"/>
    <col min="51" max="56" width="6.8515625" style="22" customWidth="1"/>
    <col min="57" max="57" width="8.8515625" style="22" customWidth="1"/>
    <col min="58" max="58" width="8.140625" style="22" customWidth="1"/>
    <col min="59" max="59" width="8.8515625" style="22" customWidth="1"/>
    <col min="60" max="60" width="8.140625" style="22" customWidth="1"/>
    <col min="61" max="61" width="6.8515625" style="22" customWidth="1"/>
    <col min="62" max="63" width="8.140625" style="22" customWidth="1"/>
    <col min="64" max="64" width="7.00390625" style="22" customWidth="1"/>
    <col min="65" max="65" width="8.140625" style="22" customWidth="1"/>
    <col min="66" max="71" width="6.8515625" style="22" customWidth="1"/>
  </cols>
  <sheetData>
    <row r="1" spans="3:71" ht="23.25" customHeight="1">
      <c r="C1" s="49" t="str">
        <f>Board!C1</f>
        <v>RESULTS OF HIGHER SECONDARY EXAMINATION- 2016</v>
      </c>
      <c r="O1" s="49" t="str">
        <f>C1</f>
        <v>RESULTS OF HIGHER SECONDARY EXAMINATION- 2016</v>
      </c>
      <c r="AA1" s="49" t="str">
        <f>C1</f>
        <v>RESULTS OF HIGHER SECONDARY EXAMINATION- 2016</v>
      </c>
      <c r="AB1" s="49"/>
      <c r="AC1" s="49"/>
      <c r="AO1" s="49"/>
      <c r="AP1" s="49" t="str">
        <f>AA1</f>
        <v>RESULTS OF HIGHER SECONDARY EXAMINATION- 2016</v>
      </c>
      <c r="AQ1" s="49"/>
      <c r="AR1" s="49"/>
      <c r="BD1" s="49"/>
      <c r="BE1" s="49" t="str">
        <f>AP1</f>
        <v>RESULTS OF HIGHER SECONDARY EXAMINATION- 2016</v>
      </c>
      <c r="BF1" s="49"/>
      <c r="BG1" s="49"/>
      <c r="BS1" s="49"/>
    </row>
    <row r="2" spans="1:71" s="1" customFormat="1" ht="30" customHeight="1">
      <c r="A2" s="48"/>
      <c r="B2" s="48"/>
      <c r="C2" s="53" t="s">
        <v>121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 t="str">
        <f>C2</f>
        <v>Table 17 - Open Board 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8" t="s">
        <v>122</v>
      </c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8" t="s">
        <v>123</v>
      </c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8" t="s">
        <v>124</v>
      </c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</row>
    <row r="3" spans="1:71" s="3" customFormat="1" ht="19.5" customHeight="1">
      <c r="A3" s="170" t="s">
        <v>18</v>
      </c>
      <c r="B3" s="170" t="s">
        <v>0</v>
      </c>
      <c r="C3" s="193" t="s">
        <v>1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3" t="s">
        <v>1</v>
      </c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79" t="s">
        <v>28</v>
      </c>
      <c r="AB3" s="180"/>
      <c r="AC3" s="181"/>
      <c r="AD3" s="179" t="s">
        <v>29</v>
      </c>
      <c r="AE3" s="180"/>
      <c r="AF3" s="180"/>
      <c r="AG3" s="180"/>
      <c r="AH3" s="180"/>
      <c r="AI3" s="181"/>
      <c r="AJ3" s="179" t="s">
        <v>27</v>
      </c>
      <c r="AK3" s="180"/>
      <c r="AL3" s="180"/>
      <c r="AM3" s="180"/>
      <c r="AN3" s="180"/>
      <c r="AO3" s="181"/>
      <c r="AP3" s="179" t="s">
        <v>28</v>
      </c>
      <c r="AQ3" s="180"/>
      <c r="AR3" s="181"/>
      <c r="AS3" s="179" t="s">
        <v>29</v>
      </c>
      <c r="AT3" s="180"/>
      <c r="AU3" s="180"/>
      <c r="AV3" s="180"/>
      <c r="AW3" s="180"/>
      <c r="AX3" s="181"/>
      <c r="AY3" s="179" t="s">
        <v>27</v>
      </c>
      <c r="AZ3" s="180"/>
      <c r="BA3" s="180"/>
      <c r="BB3" s="180"/>
      <c r="BC3" s="180"/>
      <c r="BD3" s="181"/>
      <c r="BE3" s="179" t="s">
        <v>28</v>
      </c>
      <c r="BF3" s="180"/>
      <c r="BG3" s="181"/>
      <c r="BH3" s="179" t="s">
        <v>29</v>
      </c>
      <c r="BI3" s="180"/>
      <c r="BJ3" s="180"/>
      <c r="BK3" s="180"/>
      <c r="BL3" s="180"/>
      <c r="BM3" s="181"/>
      <c r="BN3" s="179" t="s">
        <v>27</v>
      </c>
      <c r="BO3" s="180"/>
      <c r="BP3" s="180"/>
      <c r="BQ3" s="180"/>
      <c r="BR3" s="180"/>
      <c r="BS3" s="181"/>
    </row>
    <row r="4" spans="1:71" s="3" customFormat="1" ht="19.5" customHeight="1">
      <c r="A4" s="170"/>
      <c r="B4" s="170"/>
      <c r="C4" s="170" t="s">
        <v>23</v>
      </c>
      <c r="D4" s="170"/>
      <c r="E4" s="170"/>
      <c r="F4" s="170"/>
      <c r="G4" s="170"/>
      <c r="H4" s="170"/>
      <c r="I4" s="170" t="s">
        <v>24</v>
      </c>
      <c r="J4" s="170"/>
      <c r="K4" s="170"/>
      <c r="L4" s="170"/>
      <c r="M4" s="170"/>
      <c r="N4" s="170"/>
      <c r="O4" s="170" t="s">
        <v>25</v>
      </c>
      <c r="P4" s="170"/>
      <c r="Q4" s="170"/>
      <c r="R4" s="170"/>
      <c r="S4" s="170"/>
      <c r="T4" s="170"/>
      <c r="U4" s="170" t="s">
        <v>38</v>
      </c>
      <c r="V4" s="170"/>
      <c r="W4" s="170"/>
      <c r="X4" s="170"/>
      <c r="Y4" s="170"/>
      <c r="Z4" s="170"/>
      <c r="AA4" s="185"/>
      <c r="AB4" s="186"/>
      <c r="AC4" s="187"/>
      <c r="AD4" s="182"/>
      <c r="AE4" s="183"/>
      <c r="AF4" s="183"/>
      <c r="AG4" s="183"/>
      <c r="AH4" s="183"/>
      <c r="AI4" s="184"/>
      <c r="AJ4" s="182"/>
      <c r="AK4" s="183"/>
      <c r="AL4" s="183"/>
      <c r="AM4" s="183"/>
      <c r="AN4" s="183"/>
      <c r="AO4" s="184"/>
      <c r="AP4" s="185"/>
      <c r="AQ4" s="186"/>
      <c r="AR4" s="187"/>
      <c r="AS4" s="182"/>
      <c r="AT4" s="183"/>
      <c r="AU4" s="183"/>
      <c r="AV4" s="183"/>
      <c r="AW4" s="183"/>
      <c r="AX4" s="184"/>
      <c r="AY4" s="182"/>
      <c r="AZ4" s="183"/>
      <c r="BA4" s="183"/>
      <c r="BB4" s="183"/>
      <c r="BC4" s="183"/>
      <c r="BD4" s="184"/>
      <c r="BE4" s="185"/>
      <c r="BF4" s="186"/>
      <c r="BG4" s="187"/>
      <c r="BH4" s="182"/>
      <c r="BI4" s="183"/>
      <c r="BJ4" s="183"/>
      <c r="BK4" s="183"/>
      <c r="BL4" s="183"/>
      <c r="BM4" s="184"/>
      <c r="BN4" s="182"/>
      <c r="BO4" s="183"/>
      <c r="BP4" s="183"/>
      <c r="BQ4" s="183"/>
      <c r="BR4" s="183"/>
      <c r="BS4" s="184"/>
    </row>
    <row r="5" spans="1:71" s="3" customFormat="1" ht="22.5" customHeight="1">
      <c r="A5" s="170"/>
      <c r="B5" s="170"/>
      <c r="C5" s="170" t="s">
        <v>2</v>
      </c>
      <c r="D5" s="170"/>
      <c r="E5" s="170"/>
      <c r="F5" s="170" t="s">
        <v>3</v>
      </c>
      <c r="G5" s="170"/>
      <c r="H5" s="170"/>
      <c r="I5" s="170" t="s">
        <v>2</v>
      </c>
      <c r="J5" s="170"/>
      <c r="K5" s="170"/>
      <c r="L5" s="170" t="s">
        <v>3</v>
      </c>
      <c r="M5" s="170"/>
      <c r="N5" s="170"/>
      <c r="O5" s="170" t="s">
        <v>2</v>
      </c>
      <c r="P5" s="170"/>
      <c r="Q5" s="170"/>
      <c r="R5" s="170" t="s">
        <v>3</v>
      </c>
      <c r="S5" s="170"/>
      <c r="T5" s="170"/>
      <c r="U5" s="170" t="s">
        <v>2</v>
      </c>
      <c r="V5" s="170"/>
      <c r="W5" s="170"/>
      <c r="X5" s="170" t="s">
        <v>3</v>
      </c>
      <c r="Y5" s="170"/>
      <c r="Z5" s="170"/>
      <c r="AA5" s="182"/>
      <c r="AB5" s="183"/>
      <c r="AC5" s="184"/>
      <c r="AD5" s="176" t="s">
        <v>36</v>
      </c>
      <c r="AE5" s="177"/>
      <c r="AF5" s="178"/>
      <c r="AG5" s="176" t="s">
        <v>37</v>
      </c>
      <c r="AH5" s="177"/>
      <c r="AI5" s="178"/>
      <c r="AJ5" s="176" t="s">
        <v>36</v>
      </c>
      <c r="AK5" s="177"/>
      <c r="AL5" s="178"/>
      <c r="AM5" s="176" t="s">
        <v>37</v>
      </c>
      <c r="AN5" s="177"/>
      <c r="AO5" s="178"/>
      <c r="AP5" s="182"/>
      <c r="AQ5" s="183"/>
      <c r="AR5" s="184"/>
      <c r="AS5" s="176" t="s">
        <v>36</v>
      </c>
      <c r="AT5" s="177"/>
      <c r="AU5" s="178"/>
      <c r="AV5" s="176" t="s">
        <v>37</v>
      </c>
      <c r="AW5" s="177"/>
      <c r="AX5" s="178"/>
      <c r="AY5" s="176" t="s">
        <v>36</v>
      </c>
      <c r="AZ5" s="177"/>
      <c r="BA5" s="178"/>
      <c r="BB5" s="176" t="s">
        <v>37</v>
      </c>
      <c r="BC5" s="177"/>
      <c r="BD5" s="178"/>
      <c r="BE5" s="182"/>
      <c r="BF5" s="183"/>
      <c r="BG5" s="184"/>
      <c r="BH5" s="176" t="s">
        <v>36</v>
      </c>
      <c r="BI5" s="177"/>
      <c r="BJ5" s="178"/>
      <c r="BK5" s="176" t="s">
        <v>37</v>
      </c>
      <c r="BL5" s="177"/>
      <c r="BM5" s="178"/>
      <c r="BN5" s="176" t="s">
        <v>36</v>
      </c>
      <c r="BO5" s="177"/>
      <c r="BP5" s="178"/>
      <c r="BQ5" s="176" t="s">
        <v>37</v>
      </c>
      <c r="BR5" s="177"/>
      <c r="BS5" s="178"/>
    </row>
    <row r="6" spans="1:71" s="3" customFormat="1" ht="28.5" customHeight="1">
      <c r="A6" s="170"/>
      <c r="B6" s="170"/>
      <c r="C6" s="37" t="s">
        <v>5</v>
      </c>
      <c r="D6" s="37" t="s">
        <v>6</v>
      </c>
      <c r="E6" s="37" t="s">
        <v>7</v>
      </c>
      <c r="F6" s="37" t="s">
        <v>5</v>
      </c>
      <c r="G6" s="37" t="s">
        <v>6</v>
      </c>
      <c r="H6" s="37" t="s">
        <v>7</v>
      </c>
      <c r="I6" s="37" t="s">
        <v>5</v>
      </c>
      <c r="J6" s="37" t="s">
        <v>6</v>
      </c>
      <c r="K6" s="37" t="s">
        <v>7</v>
      </c>
      <c r="L6" s="37" t="s">
        <v>5</v>
      </c>
      <c r="M6" s="37" t="s">
        <v>6</v>
      </c>
      <c r="N6" s="37" t="s">
        <v>7</v>
      </c>
      <c r="O6" s="37" t="s">
        <v>5</v>
      </c>
      <c r="P6" s="37" t="s">
        <v>6</v>
      </c>
      <c r="Q6" s="37" t="s">
        <v>7</v>
      </c>
      <c r="R6" s="37" t="s">
        <v>5</v>
      </c>
      <c r="S6" s="37" t="s">
        <v>6</v>
      </c>
      <c r="T6" s="37" t="s">
        <v>7</v>
      </c>
      <c r="U6" s="37" t="s">
        <v>5</v>
      </c>
      <c r="V6" s="37" t="s">
        <v>6</v>
      </c>
      <c r="W6" s="37" t="s">
        <v>7</v>
      </c>
      <c r="X6" s="37" t="s">
        <v>5</v>
      </c>
      <c r="Y6" s="37" t="s">
        <v>6</v>
      </c>
      <c r="Z6" s="37" t="s">
        <v>7</v>
      </c>
      <c r="AA6" s="26" t="s">
        <v>5</v>
      </c>
      <c r="AB6" s="26" t="s">
        <v>6</v>
      </c>
      <c r="AC6" s="26" t="s">
        <v>7</v>
      </c>
      <c r="AD6" s="26" t="s">
        <v>5</v>
      </c>
      <c r="AE6" s="26" t="s">
        <v>6</v>
      </c>
      <c r="AF6" s="26" t="s">
        <v>7</v>
      </c>
      <c r="AG6" s="26" t="s">
        <v>5</v>
      </c>
      <c r="AH6" s="26" t="s">
        <v>6</v>
      </c>
      <c r="AI6" s="26" t="s">
        <v>7</v>
      </c>
      <c r="AJ6" s="26" t="s">
        <v>5</v>
      </c>
      <c r="AK6" s="26" t="s">
        <v>6</v>
      </c>
      <c r="AL6" s="26" t="s">
        <v>7</v>
      </c>
      <c r="AM6" s="26" t="s">
        <v>5</v>
      </c>
      <c r="AN6" s="26" t="s">
        <v>6</v>
      </c>
      <c r="AO6" s="26" t="s">
        <v>7</v>
      </c>
      <c r="AP6" s="26" t="s">
        <v>5</v>
      </c>
      <c r="AQ6" s="26" t="s">
        <v>6</v>
      </c>
      <c r="AR6" s="26" t="s">
        <v>7</v>
      </c>
      <c r="AS6" s="26" t="s">
        <v>5</v>
      </c>
      <c r="AT6" s="26" t="s">
        <v>6</v>
      </c>
      <c r="AU6" s="26" t="s">
        <v>7</v>
      </c>
      <c r="AV6" s="26" t="s">
        <v>5</v>
      </c>
      <c r="AW6" s="26" t="s">
        <v>6</v>
      </c>
      <c r="AX6" s="26" t="s">
        <v>7</v>
      </c>
      <c r="AY6" s="26" t="s">
        <v>5</v>
      </c>
      <c r="AZ6" s="26" t="s">
        <v>6</v>
      </c>
      <c r="BA6" s="26" t="s">
        <v>7</v>
      </c>
      <c r="BB6" s="26" t="s">
        <v>5</v>
      </c>
      <c r="BC6" s="26" t="s">
        <v>6</v>
      </c>
      <c r="BD6" s="26" t="s">
        <v>7</v>
      </c>
      <c r="BE6" s="26" t="s">
        <v>5</v>
      </c>
      <c r="BF6" s="26" t="s">
        <v>6</v>
      </c>
      <c r="BG6" s="26" t="s">
        <v>7</v>
      </c>
      <c r="BH6" s="26" t="s">
        <v>5</v>
      </c>
      <c r="BI6" s="26" t="s">
        <v>6</v>
      </c>
      <c r="BJ6" s="26" t="s">
        <v>7</v>
      </c>
      <c r="BK6" s="26" t="s">
        <v>5</v>
      </c>
      <c r="BL6" s="26" t="s">
        <v>6</v>
      </c>
      <c r="BM6" s="26" t="s">
        <v>7</v>
      </c>
      <c r="BN6" s="26" t="s">
        <v>5</v>
      </c>
      <c r="BO6" s="26" t="s">
        <v>6</v>
      </c>
      <c r="BP6" s="26" t="s">
        <v>7</v>
      </c>
      <c r="BQ6" s="26" t="s">
        <v>5</v>
      </c>
      <c r="BR6" s="26" t="s">
        <v>6</v>
      </c>
      <c r="BS6" s="26" t="s">
        <v>7</v>
      </c>
    </row>
    <row r="7" spans="1:71" s="38" customFormat="1" ht="12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  <c r="W7" s="27">
        <v>23</v>
      </c>
      <c r="X7" s="27">
        <v>24</v>
      </c>
      <c r="Y7" s="27">
        <v>25</v>
      </c>
      <c r="Z7" s="27">
        <v>26</v>
      </c>
      <c r="AA7" s="45">
        <v>3</v>
      </c>
      <c r="AB7" s="45">
        <v>4</v>
      </c>
      <c r="AC7" s="45">
        <v>5</v>
      </c>
      <c r="AD7" s="45">
        <v>6</v>
      </c>
      <c r="AE7" s="45">
        <v>7</v>
      </c>
      <c r="AF7" s="45">
        <v>8</v>
      </c>
      <c r="AG7" s="45">
        <v>9</v>
      </c>
      <c r="AH7" s="45">
        <v>10</v>
      </c>
      <c r="AI7" s="45">
        <v>11</v>
      </c>
      <c r="AJ7" s="45">
        <v>12</v>
      </c>
      <c r="AK7" s="45">
        <v>13</v>
      </c>
      <c r="AL7" s="45">
        <v>14</v>
      </c>
      <c r="AM7" s="45">
        <v>15</v>
      </c>
      <c r="AN7" s="45">
        <v>16</v>
      </c>
      <c r="AO7" s="45">
        <v>17</v>
      </c>
      <c r="AP7" s="45">
        <v>3</v>
      </c>
      <c r="AQ7" s="45">
        <v>4</v>
      </c>
      <c r="AR7" s="45">
        <v>5</v>
      </c>
      <c r="AS7" s="45">
        <v>6</v>
      </c>
      <c r="AT7" s="45">
        <v>7</v>
      </c>
      <c r="AU7" s="45">
        <v>8</v>
      </c>
      <c r="AV7" s="45">
        <v>9</v>
      </c>
      <c r="AW7" s="45">
        <v>10</v>
      </c>
      <c r="AX7" s="45">
        <v>11</v>
      </c>
      <c r="AY7" s="45">
        <v>12</v>
      </c>
      <c r="AZ7" s="45">
        <v>13</v>
      </c>
      <c r="BA7" s="45">
        <v>14</v>
      </c>
      <c r="BB7" s="45">
        <v>15</v>
      </c>
      <c r="BC7" s="45">
        <v>16</v>
      </c>
      <c r="BD7" s="45">
        <v>17</v>
      </c>
      <c r="BE7" s="45">
        <v>3</v>
      </c>
      <c r="BF7" s="45">
        <v>4</v>
      </c>
      <c r="BG7" s="45">
        <v>5</v>
      </c>
      <c r="BH7" s="45">
        <v>6</v>
      </c>
      <c r="BI7" s="45">
        <v>7</v>
      </c>
      <c r="BJ7" s="45">
        <v>8</v>
      </c>
      <c r="BK7" s="45">
        <v>9</v>
      </c>
      <c r="BL7" s="45">
        <v>10</v>
      </c>
      <c r="BM7" s="45">
        <v>11</v>
      </c>
      <c r="BN7" s="45">
        <v>12</v>
      </c>
      <c r="BO7" s="45">
        <v>13</v>
      </c>
      <c r="BP7" s="45">
        <v>14</v>
      </c>
      <c r="BQ7" s="45">
        <v>15</v>
      </c>
      <c r="BR7" s="45">
        <v>16</v>
      </c>
      <c r="BS7" s="45">
        <v>17</v>
      </c>
    </row>
    <row r="8" spans="1:71" s="39" customFormat="1" ht="45" customHeight="1">
      <c r="A8" s="4">
        <v>1</v>
      </c>
      <c r="B8" s="6" t="s">
        <v>11</v>
      </c>
      <c r="C8" s="8">
        <f>127723+102746</f>
        <v>230469</v>
      </c>
      <c r="D8" s="8">
        <f>56238+44109</f>
        <v>100347</v>
      </c>
      <c r="E8" s="9">
        <f aca="true" t="shared" si="0" ref="E8:E15">C8+D8</f>
        <v>330816</v>
      </c>
      <c r="F8" s="8">
        <f>48186+32471</f>
        <v>80657</v>
      </c>
      <c r="G8" s="8">
        <f>25153+14990</f>
        <v>40143</v>
      </c>
      <c r="H8" s="9">
        <f aca="true" t="shared" si="1" ref="H8:H15">F8+G8</f>
        <v>120800</v>
      </c>
      <c r="I8" s="8">
        <v>21376</v>
      </c>
      <c r="J8" s="8">
        <v>8348</v>
      </c>
      <c r="K8" s="9">
        <f aca="true" t="shared" si="2" ref="K8:K15">I8+J8</f>
        <v>29724</v>
      </c>
      <c r="L8" s="8">
        <v>6336</v>
      </c>
      <c r="M8" s="8">
        <v>3018</v>
      </c>
      <c r="N8" s="9">
        <f aca="true" t="shared" si="3" ref="N8:N15">L8+M8</f>
        <v>9354</v>
      </c>
      <c r="O8" s="8">
        <f>13293+9588</f>
        <v>22881</v>
      </c>
      <c r="P8" s="8">
        <f>5196+3941</f>
        <v>9137</v>
      </c>
      <c r="Q8" s="9">
        <f aca="true" t="shared" si="4" ref="Q8:Q15">O8+P8</f>
        <v>32018</v>
      </c>
      <c r="R8" s="8">
        <f>4155+2754</f>
        <v>6909</v>
      </c>
      <c r="S8" s="8">
        <f>2057+1270</f>
        <v>3327</v>
      </c>
      <c r="T8" s="9">
        <f aca="true" t="shared" si="5" ref="T8:T15">R8+S8</f>
        <v>10236</v>
      </c>
      <c r="U8" s="8">
        <v>10910</v>
      </c>
      <c r="V8" s="8">
        <v>4062</v>
      </c>
      <c r="W8" s="9">
        <f aca="true" t="shared" si="6" ref="W8:W15">U8+V8</f>
        <v>14972</v>
      </c>
      <c r="X8" s="8">
        <f>4910+3466</f>
        <v>8376</v>
      </c>
      <c r="Y8" s="8">
        <f>2121+1431</f>
        <v>3552</v>
      </c>
      <c r="Z8" s="9">
        <f aca="true" t="shared" si="7" ref="Z8:Z15">X8+Y8</f>
        <v>11928</v>
      </c>
      <c r="AA8" s="21">
        <f aca="true" t="shared" si="8" ref="AA8:AC14">F8</f>
        <v>80657</v>
      </c>
      <c r="AB8" s="21">
        <f t="shared" si="8"/>
        <v>40143</v>
      </c>
      <c r="AC8" s="21">
        <f t="shared" si="8"/>
        <v>120800</v>
      </c>
      <c r="AD8" s="87">
        <v>2358</v>
      </c>
      <c r="AE8" s="21">
        <v>1055</v>
      </c>
      <c r="AF8" s="21">
        <f aca="true" t="shared" si="9" ref="AF8:AF13">AD8+AE8</f>
        <v>3413</v>
      </c>
      <c r="AG8" s="21">
        <v>22711</v>
      </c>
      <c r="AH8" s="21">
        <v>11098</v>
      </c>
      <c r="AI8" s="21">
        <f aca="true" t="shared" si="10" ref="AI8:AI13">AG8+AH8</f>
        <v>33809</v>
      </c>
      <c r="AJ8" s="57">
        <f aca="true" t="shared" si="11" ref="AJ8:AL10">AD8/AA8%</f>
        <v>2.9234908315459287</v>
      </c>
      <c r="AK8" s="57">
        <f t="shared" si="11"/>
        <v>2.6281045263184115</v>
      </c>
      <c r="AL8" s="57">
        <f t="shared" si="11"/>
        <v>2.8253311258278146</v>
      </c>
      <c r="AM8" s="46">
        <f aca="true" t="shared" si="12" ref="AM8:AO10">AG8/AA8%</f>
        <v>28.157506478049022</v>
      </c>
      <c r="AN8" s="46">
        <f t="shared" si="12"/>
        <v>27.646164960267043</v>
      </c>
      <c r="AO8" s="46">
        <f t="shared" si="12"/>
        <v>27.987582781456954</v>
      </c>
      <c r="AP8" s="21">
        <f aca="true" t="shared" si="13" ref="AP8:AR15">L8</f>
        <v>6336</v>
      </c>
      <c r="AQ8" s="21">
        <f t="shared" si="13"/>
        <v>3018</v>
      </c>
      <c r="AR8" s="21">
        <f t="shared" si="13"/>
        <v>9354</v>
      </c>
      <c r="AS8" s="21">
        <v>114</v>
      </c>
      <c r="AT8" s="21">
        <v>49</v>
      </c>
      <c r="AU8" s="21">
        <f aca="true" t="shared" si="14" ref="AU8:AU13">AS8+AT8</f>
        <v>163</v>
      </c>
      <c r="AV8" s="21">
        <v>1528</v>
      </c>
      <c r="AW8" s="21">
        <v>768</v>
      </c>
      <c r="AX8" s="21">
        <f aca="true" t="shared" si="15" ref="AX8:AX13">AV8+AW8</f>
        <v>2296</v>
      </c>
      <c r="AY8" s="57">
        <f>AS8/AP8%</f>
        <v>1.7992424242424243</v>
      </c>
      <c r="AZ8" s="57">
        <f aca="true" t="shared" si="16" ref="AZ8:AZ16">AT8/AQ8%</f>
        <v>1.6235917826375084</v>
      </c>
      <c r="BA8" s="57">
        <f aca="true" t="shared" si="17" ref="BA8:BA16">AU8/AR8%</f>
        <v>1.74257002351935</v>
      </c>
      <c r="BB8" s="46">
        <f>AV8/AP8%</f>
        <v>24.116161616161616</v>
      </c>
      <c r="BC8" s="46">
        <f aca="true" t="shared" si="18" ref="BC8:BC16">AW8/AQ8%</f>
        <v>25.447316103379723</v>
      </c>
      <c r="BD8" s="46">
        <f aca="true" t="shared" si="19" ref="BD8:BD16">AX8/AR8%</f>
        <v>24.54564892024802</v>
      </c>
      <c r="BE8" s="21">
        <f aca="true" t="shared" si="20" ref="BE8:BG15">R8</f>
        <v>6909</v>
      </c>
      <c r="BF8" s="21">
        <f t="shared" si="20"/>
        <v>3327</v>
      </c>
      <c r="BG8" s="21">
        <f t="shared" si="20"/>
        <v>10236</v>
      </c>
      <c r="BH8" s="21">
        <v>30</v>
      </c>
      <c r="BI8" s="21">
        <v>21</v>
      </c>
      <c r="BJ8" s="21">
        <f aca="true" t="shared" si="21" ref="BJ8:BJ13">BH8+BI8</f>
        <v>51</v>
      </c>
      <c r="BK8" s="21">
        <v>861</v>
      </c>
      <c r="BL8" s="21">
        <v>837</v>
      </c>
      <c r="BM8" s="21">
        <f aca="true" t="shared" si="22" ref="BM8:BM13">BK8+BL8</f>
        <v>1698</v>
      </c>
      <c r="BN8" s="57">
        <f aca="true" t="shared" si="23" ref="BN8:BN16">BH8/BE8%</f>
        <v>0.4342162396873643</v>
      </c>
      <c r="BO8" s="57">
        <f aca="true" t="shared" si="24" ref="BO8:BO16">BI8/BF8%</f>
        <v>0.6311992786293958</v>
      </c>
      <c r="BP8" s="57">
        <f aca="true" t="shared" si="25" ref="BP8:BP16">BJ8/BG8%</f>
        <v>0.49824150058616645</v>
      </c>
      <c r="BQ8" s="46">
        <f>BK8/BE8%</f>
        <v>12.462006079027354</v>
      </c>
      <c r="BR8" s="46">
        <f aca="true" t="shared" si="26" ref="BR8:BR16">BL8/BF8%</f>
        <v>25.157799819657345</v>
      </c>
      <c r="BS8" s="46">
        <f aca="true" t="shared" si="27" ref="BS8:BS16">BM8/BG8%</f>
        <v>16.588511137162953</v>
      </c>
    </row>
    <row r="9" spans="1:71" s="39" customFormat="1" ht="45" customHeight="1">
      <c r="A9" s="4">
        <v>2</v>
      </c>
      <c r="B9" s="80" t="s">
        <v>84</v>
      </c>
      <c r="C9" s="8">
        <v>36820</v>
      </c>
      <c r="D9" s="8">
        <v>19331</v>
      </c>
      <c r="E9" s="9">
        <f t="shared" si="0"/>
        <v>56151</v>
      </c>
      <c r="F9" s="8">
        <f>22963+4030</f>
        <v>26993</v>
      </c>
      <c r="G9" s="8">
        <f>12896+1932</f>
        <v>14828</v>
      </c>
      <c r="H9" s="9">
        <f t="shared" si="1"/>
        <v>41821</v>
      </c>
      <c r="I9" s="82">
        <v>8762</v>
      </c>
      <c r="J9" s="82">
        <v>4692</v>
      </c>
      <c r="K9" s="9">
        <f t="shared" si="2"/>
        <v>13454</v>
      </c>
      <c r="L9" s="82">
        <f>5636+994</f>
        <v>6630</v>
      </c>
      <c r="M9" s="82">
        <f>3137+519</f>
        <v>3656</v>
      </c>
      <c r="N9" s="9">
        <f t="shared" si="3"/>
        <v>10286</v>
      </c>
      <c r="O9" s="8">
        <v>2276</v>
      </c>
      <c r="P9" s="8">
        <v>1756</v>
      </c>
      <c r="Q9" s="9">
        <f t="shared" si="4"/>
        <v>4032</v>
      </c>
      <c r="R9" s="8">
        <f>1436+219</f>
        <v>1655</v>
      </c>
      <c r="S9" s="8">
        <f>1196+150</f>
        <v>1346</v>
      </c>
      <c r="T9" s="9">
        <f t="shared" si="5"/>
        <v>3001</v>
      </c>
      <c r="U9" s="8"/>
      <c r="V9" s="8"/>
      <c r="W9" s="9"/>
      <c r="X9" s="8"/>
      <c r="Y9" s="8"/>
      <c r="Z9" s="9"/>
      <c r="AA9" s="21">
        <f aca="true" t="shared" si="28" ref="AA9:AC10">F9</f>
        <v>26993</v>
      </c>
      <c r="AB9" s="21">
        <f t="shared" si="28"/>
        <v>14828</v>
      </c>
      <c r="AC9" s="21">
        <f t="shared" si="28"/>
        <v>41821</v>
      </c>
      <c r="AD9" s="21">
        <v>2</v>
      </c>
      <c r="AE9" s="21">
        <v>2</v>
      </c>
      <c r="AF9" s="21">
        <f t="shared" si="9"/>
        <v>4</v>
      </c>
      <c r="AG9" s="21">
        <v>304</v>
      </c>
      <c r="AH9" s="21">
        <v>488</v>
      </c>
      <c r="AI9" s="21">
        <f t="shared" si="10"/>
        <v>792</v>
      </c>
      <c r="AJ9" s="57">
        <f t="shared" si="11"/>
        <v>0.007409328344385581</v>
      </c>
      <c r="AK9" s="57">
        <f t="shared" si="11"/>
        <v>0.01348799568384138</v>
      </c>
      <c r="AL9" s="57">
        <f t="shared" si="11"/>
        <v>0.009564572822266327</v>
      </c>
      <c r="AM9" s="46">
        <f t="shared" si="12"/>
        <v>1.1262179083466084</v>
      </c>
      <c r="AN9" s="46">
        <f t="shared" si="12"/>
        <v>3.291070946857297</v>
      </c>
      <c r="AO9" s="46">
        <f t="shared" si="12"/>
        <v>1.8937854188087326</v>
      </c>
      <c r="AP9" s="21">
        <f aca="true" t="shared" si="29" ref="AP9:AR10">L9</f>
        <v>6630</v>
      </c>
      <c r="AQ9" s="21">
        <f t="shared" si="29"/>
        <v>3656</v>
      </c>
      <c r="AR9" s="21">
        <f t="shared" si="29"/>
        <v>10286</v>
      </c>
      <c r="AS9" s="21">
        <v>0</v>
      </c>
      <c r="AT9" s="21">
        <v>0</v>
      </c>
      <c r="AU9" s="21">
        <f t="shared" si="14"/>
        <v>0</v>
      </c>
      <c r="AV9" s="21">
        <v>34</v>
      </c>
      <c r="AW9" s="21">
        <v>51</v>
      </c>
      <c r="AX9" s="21">
        <f t="shared" si="15"/>
        <v>85</v>
      </c>
      <c r="AY9" s="57">
        <f>AS9/AP9%</f>
        <v>0</v>
      </c>
      <c r="AZ9" s="57">
        <f>AT9/AQ9%</f>
        <v>0</v>
      </c>
      <c r="BA9" s="57">
        <f>AU9/AR9%</f>
        <v>0</v>
      </c>
      <c r="BB9" s="46">
        <f>AV9/AP9%</f>
        <v>0.5128205128205129</v>
      </c>
      <c r="BC9" s="46">
        <f>AW9/AQ9%</f>
        <v>1.3949671772428882</v>
      </c>
      <c r="BD9" s="46">
        <f>AX9/AR9%</f>
        <v>0.8263659342796034</v>
      </c>
      <c r="BE9" s="21">
        <f aca="true" t="shared" si="30" ref="BE9:BG10">R9</f>
        <v>1655</v>
      </c>
      <c r="BF9" s="21">
        <f t="shared" si="30"/>
        <v>1346</v>
      </c>
      <c r="BG9" s="21">
        <f t="shared" si="30"/>
        <v>3001</v>
      </c>
      <c r="BH9" s="21">
        <v>0</v>
      </c>
      <c r="BI9" s="21">
        <v>0</v>
      </c>
      <c r="BJ9" s="21">
        <f t="shared" si="21"/>
        <v>0</v>
      </c>
      <c r="BK9" s="21">
        <v>1038</v>
      </c>
      <c r="BL9" s="21">
        <v>1048</v>
      </c>
      <c r="BM9" s="21">
        <f t="shared" si="22"/>
        <v>2086</v>
      </c>
      <c r="BN9" s="57">
        <f t="shared" si="23"/>
        <v>0</v>
      </c>
      <c r="BO9" s="57">
        <f>BI9/BF9%</f>
        <v>0</v>
      </c>
      <c r="BP9" s="57">
        <f>BJ9/BG9%</f>
        <v>0</v>
      </c>
      <c r="BQ9" s="46">
        <f>BK9/BE9%</f>
        <v>62.7190332326284</v>
      </c>
      <c r="BR9" s="46">
        <f>BL9/BF9%</f>
        <v>77.86032689450222</v>
      </c>
      <c r="BS9" s="46">
        <f>BM9/BG9%</f>
        <v>69.51016327890703</v>
      </c>
    </row>
    <row r="10" spans="1:71" s="39" customFormat="1" ht="45" customHeight="1">
      <c r="A10" s="4">
        <v>3</v>
      </c>
      <c r="B10" s="80" t="s">
        <v>83</v>
      </c>
      <c r="C10" s="8">
        <f>26030+10830+12430</f>
        <v>49290</v>
      </c>
      <c r="D10" s="8">
        <f>13197+4841+5060</f>
        <v>23098</v>
      </c>
      <c r="E10" s="9">
        <f t="shared" si="0"/>
        <v>72388</v>
      </c>
      <c r="F10" s="8">
        <f>11112+5668+3250</f>
        <v>20030</v>
      </c>
      <c r="G10" s="8">
        <f>6394+2939+1566</f>
        <v>10899</v>
      </c>
      <c r="H10" s="9">
        <f t="shared" si="1"/>
        <v>30929</v>
      </c>
      <c r="I10" s="82">
        <f>5174+2358+2350</f>
        <v>9882</v>
      </c>
      <c r="J10" s="82">
        <f>2898+1176+1203</f>
        <v>5277</v>
      </c>
      <c r="K10" s="9">
        <f t="shared" si="2"/>
        <v>15159</v>
      </c>
      <c r="L10" s="82">
        <f>2251+1268+642</f>
        <v>4161</v>
      </c>
      <c r="M10" s="82">
        <f>1318+673+343</f>
        <v>2334</v>
      </c>
      <c r="N10" s="9">
        <f t="shared" si="3"/>
        <v>6495</v>
      </c>
      <c r="O10" s="8">
        <f>2899+1295+1447</f>
        <v>5641</v>
      </c>
      <c r="P10" s="8">
        <f>1497+633+715</f>
        <v>2845</v>
      </c>
      <c r="Q10" s="9">
        <f t="shared" si="4"/>
        <v>8486</v>
      </c>
      <c r="R10" s="8">
        <f>1162+660+354</f>
        <v>2176</v>
      </c>
      <c r="S10" s="8">
        <f>577+312+189</f>
        <v>1078</v>
      </c>
      <c r="T10" s="9">
        <f t="shared" si="5"/>
        <v>3254</v>
      </c>
      <c r="U10" s="8"/>
      <c r="V10" s="8"/>
      <c r="W10" s="9"/>
      <c r="X10" s="8"/>
      <c r="Y10" s="8"/>
      <c r="Z10" s="9"/>
      <c r="AA10" s="21">
        <f>F10</f>
        <v>20030</v>
      </c>
      <c r="AB10" s="21">
        <f t="shared" si="28"/>
        <v>10899</v>
      </c>
      <c r="AC10" s="21">
        <f t="shared" si="28"/>
        <v>30929</v>
      </c>
      <c r="AD10" s="21">
        <v>93</v>
      </c>
      <c r="AE10" s="21">
        <v>61</v>
      </c>
      <c r="AF10" s="21">
        <f t="shared" si="9"/>
        <v>154</v>
      </c>
      <c r="AG10" s="21">
        <f>2284+124</f>
        <v>2408</v>
      </c>
      <c r="AH10" s="21">
        <f>1512+98</f>
        <v>1610</v>
      </c>
      <c r="AI10" s="21">
        <f t="shared" si="10"/>
        <v>4018</v>
      </c>
      <c r="AJ10" s="57">
        <f t="shared" si="11"/>
        <v>0.4643035446829755</v>
      </c>
      <c r="AK10" s="57">
        <f t="shared" si="11"/>
        <v>0.5596843747132765</v>
      </c>
      <c r="AL10" s="57">
        <f t="shared" si="11"/>
        <v>0.49791457855087456</v>
      </c>
      <c r="AM10" s="46">
        <f t="shared" si="12"/>
        <v>12.02196704942586</v>
      </c>
      <c r="AN10" s="46">
        <f t="shared" si="12"/>
        <v>14.771997430956969</v>
      </c>
      <c r="AO10" s="46">
        <f t="shared" si="12"/>
        <v>12.991044004009181</v>
      </c>
      <c r="AP10" s="21">
        <f t="shared" si="29"/>
        <v>4161</v>
      </c>
      <c r="AQ10" s="21">
        <f t="shared" si="29"/>
        <v>2334</v>
      </c>
      <c r="AR10" s="21">
        <f t="shared" si="29"/>
        <v>6495</v>
      </c>
      <c r="AS10" s="21">
        <v>15</v>
      </c>
      <c r="AT10" s="21">
        <v>7</v>
      </c>
      <c r="AU10" s="21">
        <f t="shared" si="14"/>
        <v>22</v>
      </c>
      <c r="AV10" s="21">
        <f>373+22</f>
        <v>395</v>
      </c>
      <c r="AW10" s="21">
        <f>236+24</f>
        <v>260</v>
      </c>
      <c r="AX10" s="21">
        <f t="shared" si="15"/>
        <v>655</v>
      </c>
      <c r="AY10" s="57">
        <f>AS10/AP10%</f>
        <v>0.3604902667627974</v>
      </c>
      <c r="AZ10" s="57">
        <f>AT10/AQ10%</f>
        <v>0.29991431019708653</v>
      </c>
      <c r="BA10" s="57">
        <f>AU10/AR10%</f>
        <v>0.33872209391839875</v>
      </c>
      <c r="BB10" s="46">
        <f>AV10/AP10%</f>
        <v>9.492910358086998</v>
      </c>
      <c r="BC10" s="46">
        <f>AW10/AQ10%</f>
        <v>11.139674378748929</v>
      </c>
      <c r="BD10" s="46">
        <f>AX10/AR10%</f>
        <v>10.0846805234796</v>
      </c>
      <c r="BE10" s="21">
        <f t="shared" si="30"/>
        <v>2176</v>
      </c>
      <c r="BF10" s="21">
        <f t="shared" si="30"/>
        <v>1078</v>
      </c>
      <c r="BG10" s="21">
        <f t="shared" si="30"/>
        <v>3254</v>
      </c>
      <c r="BH10" s="21">
        <v>11</v>
      </c>
      <c r="BI10" s="21">
        <v>4</v>
      </c>
      <c r="BJ10" s="21">
        <f t="shared" si="21"/>
        <v>15</v>
      </c>
      <c r="BK10" s="21">
        <f>230+17</f>
        <v>247</v>
      </c>
      <c r="BL10" s="21">
        <f>122+4</f>
        <v>126</v>
      </c>
      <c r="BM10" s="21">
        <f t="shared" si="22"/>
        <v>373</v>
      </c>
      <c r="BN10" s="57">
        <f t="shared" si="23"/>
        <v>0.5055147058823529</v>
      </c>
      <c r="BO10" s="57">
        <f>BI10/BF10%</f>
        <v>0.3710575139146568</v>
      </c>
      <c r="BP10" s="57">
        <f>BJ10/BG10%</f>
        <v>0.46097111247695144</v>
      </c>
      <c r="BQ10" s="46">
        <f>BK10/BE10%</f>
        <v>11.35110294117647</v>
      </c>
      <c r="BR10" s="46">
        <f>BL10/BF10%</f>
        <v>11.688311688311689</v>
      </c>
      <c r="BS10" s="46">
        <f>BM10/BG10%</f>
        <v>11.46281499692686</v>
      </c>
    </row>
    <row r="11" spans="1:71" s="39" customFormat="1" ht="45" customHeight="1">
      <c r="A11" s="4">
        <v>4</v>
      </c>
      <c r="B11" s="80" t="s">
        <v>87</v>
      </c>
      <c r="C11" s="19">
        <v>3782</v>
      </c>
      <c r="D11" s="19">
        <v>1833</v>
      </c>
      <c r="E11" s="9">
        <f t="shared" si="0"/>
        <v>5615</v>
      </c>
      <c r="F11" s="19">
        <v>3028</v>
      </c>
      <c r="G11" s="19">
        <v>1299</v>
      </c>
      <c r="H11" s="9">
        <f t="shared" si="1"/>
        <v>4327</v>
      </c>
      <c r="I11" s="20">
        <v>1112</v>
      </c>
      <c r="J11" s="20">
        <v>873</v>
      </c>
      <c r="K11" s="9">
        <f t="shared" si="2"/>
        <v>1985</v>
      </c>
      <c r="L11" s="20">
        <v>612</v>
      </c>
      <c r="M11" s="20">
        <v>350</v>
      </c>
      <c r="N11" s="9">
        <f t="shared" si="3"/>
        <v>962</v>
      </c>
      <c r="O11" s="21">
        <v>698</v>
      </c>
      <c r="P11" s="21">
        <v>571</v>
      </c>
      <c r="Q11" s="9">
        <f t="shared" si="4"/>
        <v>1269</v>
      </c>
      <c r="R11" s="21">
        <v>391</v>
      </c>
      <c r="S11" s="21">
        <v>286</v>
      </c>
      <c r="T11" s="9">
        <f t="shared" si="5"/>
        <v>677</v>
      </c>
      <c r="U11" s="21"/>
      <c r="V11" s="21"/>
      <c r="W11" s="9">
        <f t="shared" si="6"/>
        <v>0</v>
      </c>
      <c r="X11" s="21"/>
      <c r="Y11" s="21"/>
      <c r="Z11" s="9">
        <f t="shared" si="7"/>
        <v>0</v>
      </c>
      <c r="AA11" s="21">
        <f t="shared" si="8"/>
        <v>3028</v>
      </c>
      <c r="AB11" s="21">
        <f t="shared" si="8"/>
        <v>1299</v>
      </c>
      <c r="AC11" s="21">
        <f t="shared" si="8"/>
        <v>4327</v>
      </c>
      <c r="AD11" s="98"/>
      <c r="AE11" s="98"/>
      <c r="AF11" s="98"/>
      <c r="AG11" s="98"/>
      <c r="AH11" s="98"/>
      <c r="AI11" s="98"/>
      <c r="AJ11" s="95"/>
      <c r="AK11" s="95"/>
      <c r="AL11" s="95"/>
      <c r="AM11" s="103"/>
      <c r="AN11" s="103"/>
      <c r="AO11" s="103"/>
      <c r="AP11" s="21">
        <f t="shared" si="13"/>
        <v>612</v>
      </c>
      <c r="AQ11" s="21">
        <f t="shared" si="13"/>
        <v>350</v>
      </c>
      <c r="AR11" s="21">
        <f t="shared" si="13"/>
        <v>962</v>
      </c>
      <c r="AS11" s="98"/>
      <c r="AT11" s="98"/>
      <c r="AU11" s="98"/>
      <c r="AV11" s="98"/>
      <c r="AW11" s="98"/>
      <c r="AX11" s="98"/>
      <c r="AY11" s="95"/>
      <c r="AZ11" s="95"/>
      <c r="BA11" s="95"/>
      <c r="BB11" s="103"/>
      <c r="BC11" s="103"/>
      <c r="BD11" s="103"/>
      <c r="BE11" s="21">
        <f t="shared" si="20"/>
        <v>391</v>
      </c>
      <c r="BF11" s="21">
        <f t="shared" si="20"/>
        <v>286</v>
      </c>
      <c r="BG11" s="21">
        <f t="shared" si="20"/>
        <v>677</v>
      </c>
      <c r="BH11" s="98"/>
      <c r="BI11" s="98"/>
      <c r="BJ11" s="98"/>
      <c r="BK11" s="98"/>
      <c r="BL11" s="98"/>
      <c r="BM11" s="98"/>
      <c r="BN11" s="95"/>
      <c r="BO11" s="95"/>
      <c r="BP11" s="95"/>
      <c r="BQ11" s="103"/>
      <c r="BR11" s="103"/>
      <c r="BS11" s="103"/>
    </row>
    <row r="12" spans="1:72" s="39" customFormat="1" ht="45" customHeight="1">
      <c r="A12" s="4">
        <v>5</v>
      </c>
      <c r="B12" s="5" t="s">
        <v>65</v>
      </c>
      <c r="C12" s="8">
        <v>36799</v>
      </c>
      <c r="D12" s="8">
        <v>34987</v>
      </c>
      <c r="E12" s="9">
        <f t="shared" si="0"/>
        <v>71786</v>
      </c>
      <c r="F12" s="8">
        <f>21364+4522</f>
        <v>25886</v>
      </c>
      <c r="G12" s="8">
        <f>19719+4746</f>
        <v>24465</v>
      </c>
      <c r="H12" s="9">
        <f t="shared" si="1"/>
        <v>50351</v>
      </c>
      <c r="I12" s="8">
        <v>5518</v>
      </c>
      <c r="J12" s="8">
        <v>5515</v>
      </c>
      <c r="K12" s="9">
        <f t="shared" si="2"/>
        <v>11033</v>
      </c>
      <c r="L12" s="8">
        <f>3179+762</f>
        <v>3941</v>
      </c>
      <c r="M12" s="8">
        <f>2864+816</f>
        <v>3680</v>
      </c>
      <c r="N12" s="9">
        <f t="shared" si="3"/>
        <v>7621</v>
      </c>
      <c r="O12" s="8">
        <v>11400</v>
      </c>
      <c r="P12" s="8">
        <v>9017</v>
      </c>
      <c r="Q12" s="9">
        <f t="shared" si="4"/>
        <v>20417</v>
      </c>
      <c r="R12" s="8">
        <f>7150+909</f>
        <v>8059</v>
      </c>
      <c r="S12" s="8">
        <f>5615+710</f>
        <v>6325</v>
      </c>
      <c r="T12" s="9">
        <f t="shared" si="5"/>
        <v>14384</v>
      </c>
      <c r="U12" s="8"/>
      <c r="V12" s="8"/>
      <c r="W12" s="9">
        <f t="shared" si="6"/>
        <v>0</v>
      </c>
      <c r="X12" s="8"/>
      <c r="Y12" s="8"/>
      <c r="Z12" s="9">
        <f t="shared" si="7"/>
        <v>0</v>
      </c>
      <c r="AA12" s="21">
        <f t="shared" si="8"/>
        <v>25886</v>
      </c>
      <c r="AB12" s="21">
        <f t="shared" si="8"/>
        <v>24465</v>
      </c>
      <c r="AC12" s="21">
        <f t="shared" si="8"/>
        <v>50351</v>
      </c>
      <c r="AD12" s="21">
        <f>448+5</f>
        <v>453</v>
      </c>
      <c r="AE12" s="21">
        <v>455</v>
      </c>
      <c r="AF12" s="21">
        <f t="shared" si="9"/>
        <v>908</v>
      </c>
      <c r="AG12" s="21">
        <f>3851+139</f>
        <v>3990</v>
      </c>
      <c r="AH12" s="21">
        <f>3787+128</f>
        <v>3915</v>
      </c>
      <c r="AI12" s="21">
        <f t="shared" si="10"/>
        <v>7905</v>
      </c>
      <c r="AJ12" s="57">
        <f aca="true" t="shared" si="31" ref="AJ12:AL13">AD12/AA12%</f>
        <v>1.7499806845399057</v>
      </c>
      <c r="AK12" s="57">
        <f t="shared" si="31"/>
        <v>1.859799713876967</v>
      </c>
      <c r="AL12" s="57">
        <f t="shared" si="31"/>
        <v>1.8033405493436079</v>
      </c>
      <c r="AM12" s="46">
        <f aca="true" t="shared" si="32" ref="AM12:AO13">AG12/AA12%</f>
        <v>15.413737155219037</v>
      </c>
      <c r="AN12" s="46">
        <f t="shared" si="32"/>
        <v>16.002452483139177</v>
      </c>
      <c r="AO12" s="46">
        <f t="shared" si="32"/>
        <v>15.69978749180751</v>
      </c>
      <c r="AP12" s="21">
        <f t="shared" si="13"/>
        <v>3941</v>
      </c>
      <c r="AQ12" s="21">
        <f t="shared" si="13"/>
        <v>3680</v>
      </c>
      <c r="AR12" s="21">
        <f t="shared" si="13"/>
        <v>7621</v>
      </c>
      <c r="AS12" s="21">
        <v>49</v>
      </c>
      <c r="AT12" s="21">
        <v>59</v>
      </c>
      <c r="AU12" s="21">
        <f t="shared" si="14"/>
        <v>108</v>
      </c>
      <c r="AV12" s="21">
        <f>505+23</f>
        <v>528</v>
      </c>
      <c r="AW12" s="21">
        <f>561+18</f>
        <v>579</v>
      </c>
      <c r="AX12" s="21">
        <f t="shared" si="15"/>
        <v>1107</v>
      </c>
      <c r="AY12" s="57">
        <f>AS12/AP12%</f>
        <v>1.2433392539964476</v>
      </c>
      <c r="AZ12" s="57">
        <f t="shared" si="16"/>
        <v>1.6032608695652175</v>
      </c>
      <c r="BA12" s="57">
        <f t="shared" si="17"/>
        <v>1.4171368586799633</v>
      </c>
      <c r="BB12" s="46">
        <f>AV12/AP12%</f>
        <v>13.397614818573967</v>
      </c>
      <c r="BC12" s="46">
        <f t="shared" si="18"/>
        <v>15.733695652173914</v>
      </c>
      <c r="BD12" s="46">
        <f t="shared" si="19"/>
        <v>14.525652801469624</v>
      </c>
      <c r="BE12" s="21">
        <f t="shared" si="20"/>
        <v>8059</v>
      </c>
      <c r="BF12" s="21">
        <f t="shared" si="20"/>
        <v>6325</v>
      </c>
      <c r="BG12" s="21">
        <f t="shared" si="20"/>
        <v>14384</v>
      </c>
      <c r="BH12" s="21">
        <v>157</v>
      </c>
      <c r="BI12" s="21">
        <v>194</v>
      </c>
      <c r="BJ12" s="21">
        <f t="shared" si="21"/>
        <v>351</v>
      </c>
      <c r="BK12" s="21">
        <f>1375+23</f>
        <v>1398</v>
      </c>
      <c r="BL12" s="21">
        <f>1600+21</f>
        <v>1621</v>
      </c>
      <c r="BM12" s="21">
        <f>561+18</f>
        <v>579</v>
      </c>
      <c r="BN12" s="57">
        <f t="shared" si="23"/>
        <v>1.9481325226454895</v>
      </c>
      <c r="BO12" s="57">
        <f t="shared" si="24"/>
        <v>3.067193675889328</v>
      </c>
      <c r="BP12" s="57">
        <f t="shared" si="25"/>
        <v>2.4402113459399333</v>
      </c>
      <c r="BQ12" s="46">
        <f>BK12/BE12%</f>
        <v>17.347065392728627</v>
      </c>
      <c r="BR12" s="46">
        <f t="shared" si="26"/>
        <v>25.628458498023715</v>
      </c>
      <c r="BS12" s="46">
        <f t="shared" si="27"/>
        <v>4.025305895439377</v>
      </c>
      <c r="BT12" s="39" t="s">
        <v>80</v>
      </c>
    </row>
    <row r="13" spans="1:71" s="39" customFormat="1" ht="45" customHeight="1">
      <c r="A13" s="4">
        <v>6</v>
      </c>
      <c r="B13" s="5" t="s">
        <v>66</v>
      </c>
      <c r="C13" s="8">
        <f>1361+56574+46670</f>
        <v>104605</v>
      </c>
      <c r="D13" s="8">
        <f>811+39732+30493</f>
        <v>71036</v>
      </c>
      <c r="E13" s="9">
        <f t="shared" si="0"/>
        <v>175641</v>
      </c>
      <c r="F13" s="8">
        <f>810+6425+13799</f>
        <v>21034</v>
      </c>
      <c r="G13" s="8">
        <f>521+5451+12064</f>
        <v>18036</v>
      </c>
      <c r="H13" s="9">
        <f t="shared" si="1"/>
        <v>39070</v>
      </c>
      <c r="I13" s="8">
        <f>252+11495</f>
        <v>11747</v>
      </c>
      <c r="J13" s="8">
        <f>148+7531</f>
        <v>7679</v>
      </c>
      <c r="K13" s="9">
        <f t="shared" si="2"/>
        <v>19426</v>
      </c>
      <c r="L13" s="8">
        <f>139+1209</f>
        <v>1348</v>
      </c>
      <c r="M13" s="8">
        <f>90+931</f>
        <v>1021</v>
      </c>
      <c r="N13" s="9">
        <f t="shared" si="3"/>
        <v>2369</v>
      </c>
      <c r="O13" s="8">
        <f>8614+158</f>
        <v>8772</v>
      </c>
      <c r="P13" s="8">
        <f>139+8306</f>
        <v>8445</v>
      </c>
      <c r="Q13" s="9">
        <f t="shared" si="4"/>
        <v>17217</v>
      </c>
      <c r="R13" s="8">
        <f>88+777</f>
        <v>865</v>
      </c>
      <c r="S13" s="8">
        <f>81+877</f>
        <v>958</v>
      </c>
      <c r="T13" s="9">
        <f t="shared" si="5"/>
        <v>1823</v>
      </c>
      <c r="U13" s="8"/>
      <c r="V13" s="8"/>
      <c r="W13" s="9">
        <f t="shared" si="6"/>
        <v>0</v>
      </c>
      <c r="X13" s="8"/>
      <c r="Y13" s="8"/>
      <c r="Z13" s="9">
        <f t="shared" si="7"/>
        <v>0</v>
      </c>
      <c r="AA13" s="21">
        <f t="shared" si="8"/>
        <v>21034</v>
      </c>
      <c r="AB13" s="21">
        <f t="shared" si="8"/>
        <v>18036</v>
      </c>
      <c r="AC13" s="21">
        <f t="shared" si="8"/>
        <v>39070</v>
      </c>
      <c r="AD13" s="21">
        <v>2</v>
      </c>
      <c r="AE13" s="21">
        <v>3</v>
      </c>
      <c r="AF13" s="21">
        <f t="shared" si="9"/>
        <v>5</v>
      </c>
      <c r="AG13" s="21">
        <f>4+38+304</f>
        <v>346</v>
      </c>
      <c r="AH13" s="21">
        <f>9+12+488</f>
        <v>509</v>
      </c>
      <c r="AI13" s="21">
        <f t="shared" si="10"/>
        <v>855</v>
      </c>
      <c r="AJ13" s="57">
        <f t="shared" si="31"/>
        <v>0.009508414947228297</v>
      </c>
      <c r="AK13" s="57">
        <f t="shared" si="31"/>
        <v>0.0166333998669328</v>
      </c>
      <c r="AL13" s="57">
        <f t="shared" si="31"/>
        <v>0.012797542871768621</v>
      </c>
      <c r="AM13" s="46">
        <f t="shared" si="32"/>
        <v>1.6449557858704953</v>
      </c>
      <c r="AN13" s="46">
        <f t="shared" si="32"/>
        <v>2.822133510756265</v>
      </c>
      <c r="AO13" s="46">
        <f t="shared" si="32"/>
        <v>2.1883798310724343</v>
      </c>
      <c r="AP13" s="21">
        <f t="shared" si="13"/>
        <v>1348</v>
      </c>
      <c r="AQ13" s="21">
        <f t="shared" si="13"/>
        <v>1021</v>
      </c>
      <c r="AR13" s="21">
        <f t="shared" si="13"/>
        <v>2369</v>
      </c>
      <c r="AS13" s="21">
        <v>2</v>
      </c>
      <c r="AT13" s="21">
        <v>2</v>
      </c>
      <c r="AU13" s="21">
        <f t="shared" si="14"/>
        <v>4</v>
      </c>
      <c r="AV13" s="21">
        <f>10+304</f>
        <v>314</v>
      </c>
      <c r="AW13" s="21">
        <f>489</f>
        <v>489</v>
      </c>
      <c r="AX13" s="21">
        <f t="shared" si="15"/>
        <v>803</v>
      </c>
      <c r="AY13" s="57">
        <f>AS13/AP13%</f>
        <v>0.14836795252225518</v>
      </c>
      <c r="AZ13" s="57">
        <f t="shared" si="16"/>
        <v>0.1958863858961802</v>
      </c>
      <c r="BA13" s="57">
        <f t="shared" si="17"/>
        <v>0.16884761502743773</v>
      </c>
      <c r="BB13" s="46">
        <f>AV13/AP13%</f>
        <v>23.293768545994066</v>
      </c>
      <c r="BC13" s="46">
        <f t="shared" si="18"/>
        <v>47.89422135161606</v>
      </c>
      <c r="BD13" s="46">
        <f t="shared" si="19"/>
        <v>33.89615871675812</v>
      </c>
      <c r="BE13" s="21">
        <f t="shared" si="20"/>
        <v>865</v>
      </c>
      <c r="BF13" s="21">
        <f t="shared" si="20"/>
        <v>958</v>
      </c>
      <c r="BG13" s="21">
        <f t="shared" si="20"/>
        <v>1823</v>
      </c>
      <c r="BH13" s="21">
        <v>0</v>
      </c>
      <c r="BI13" s="21">
        <v>0</v>
      </c>
      <c r="BJ13" s="21">
        <f t="shared" si="21"/>
        <v>0</v>
      </c>
      <c r="BK13" s="21">
        <f>35</f>
        <v>35</v>
      </c>
      <c r="BL13" s="21">
        <f>51</f>
        <v>51</v>
      </c>
      <c r="BM13" s="21">
        <f t="shared" si="22"/>
        <v>86</v>
      </c>
      <c r="BN13" s="57">
        <f t="shared" si="23"/>
        <v>0</v>
      </c>
      <c r="BO13" s="57">
        <f t="shared" si="24"/>
        <v>0</v>
      </c>
      <c r="BP13" s="57">
        <f t="shared" si="25"/>
        <v>0</v>
      </c>
      <c r="BQ13" s="46">
        <f>BK13/BE13%</f>
        <v>4.0462427745664735</v>
      </c>
      <c r="BR13" s="46">
        <f t="shared" si="26"/>
        <v>5.323590814196242</v>
      </c>
      <c r="BS13" s="46">
        <f t="shared" si="27"/>
        <v>4.71749862863412</v>
      </c>
    </row>
    <row r="14" spans="1:71" s="39" customFormat="1" ht="45" customHeight="1">
      <c r="A14" s="4">
        <v>7</v>
      </c>
      <c r="B14" s="5" t="s">
        <v>67</v>
      </c>
      <c r="C14" s="8">
        <v>15112</v>
      </c>
      <c r="D14" s="8">
        <v>17317</v>
      </c>
      <c r="E14" s="9">
        <f t="shared" si="0"/>
        <v>32429</v>
      </c>
      <c r="F14" s="8">
        <f>6424+3226</f>
        <v>9650</v>
      </c>
      <c r="G14" s="8">
        <f>8102+4328</f>
        <v>12430</v>
      </c>
      <c r="H14" s="9">
        <f t="shared" si="1"/>
        <v>22080</v>
      </c>
      <c r="I14" s="8">
        <v>2798</v>
      </c>
      <c r="J14" s="8">
        <v>3281</v>
      </c>
      <c r="K14" s="9">
        <f t="shared" si="2"/>
        <v>6079</v>
      </c>
      <c r="L14" s="8">
        <f>1238+665</f>
        <v>1903</v>
      </c>
      <c r="M14" s="8">
        <f>1547+842</f>
        <v>2389</v>
      </c>
      <c r="N14" s="9">
        <f t="shared" si="3"/>
        <v>4292</v>
      </c>
      <c r="O14" s="8">
        <v>1927</v>
      </c>
      <c r="P14" s="8">
        <v>1921</v>
      </c>
      <c r="Q14" s="9">
        <f t="shared" si="4"/>
        <v>3848</v>
      </c>
      <c r="R14" s="8">
        <f>781+479</f>
        <v>1260</v>
      </c>
      <c r="S14" s="8">
        <f>813+552</f>
        <v>1365</v>
      </c>
      <c r="T14" s="9">
        <f t="shared" si="5"/>
        <v>2625</v>
      </c>
      <c r="U14" s="8"/>
      <c r="V14" s="8"/>
      <c r="W14" s="9">
        <f t="shared" si="6"/>
        <v>0</v>
      </c>
      <c r="X14" s="8"/>
      <c r="Y14" s="8"/>
      <c r="Z14" s="9">
        <f t="shared" si="7"/>
        <v>0</v>
      </c>
      <c r="AA14" s="21">
        <f t="shared" si="8"/>
        <v>9650</v>
      </c>
      <c r="AB14" s="21">
        <f t="shared" si="8"/>
        <v>12430</v>
      </c>
      <c r="AC14" s="21">
        <f t="shared" si="8"/>
        <v>22080</v>
      </c>
      <c r="AD14" s="98"/>
      <c r="AE14" s="98"/>
      <c r="AF14" s="98"/>
      <c r="AG14" s="98"/>
      <c r="AH14" s="98"/>
      <c r="AI14" s="98"/>
      <c r="AJ14" s="95"/>
      <c r="AK14" s="95"/>
      <c r="AL14" s="95"/>
      <c r="AM14" s="103"/>
      <c r="AN14" s="103"/>
      <c r="AO14" s="103"/>
      <c r="AP14" s="21">
        <f t="shared" si="13"/>
        <v>1903</v>
      </c>
      <c r="AQ14" s="21">
        <f t="shared" si="13"/>
        <v>2389</v>
      </c>
      <c r="AR14" s="21">
        <f t="shared" si="13"/>
        <v>4292</v>
      </c>
      <c r="AS14" s="98"/>
      <c r="AT14" s="98"/>
      <c r="AU14" s="98"/>
      <c r="AV14" s="98"/>
      <c r="AW14" s="98"/>
      <c r="AX14" s="98"/>
      <c r="AY14" s="95"/>
      <c r="AZ14" s="95"/>
      <c r="BA14" s="95"/>
      <c r="BB14" s="103"/>
      <c r="BC14" s="103"/>
      <c r="BD14" s="103"/>
      <c r="BE14" s="21">
        <f t="shared" si="20"/>
        <v>1260</v>
      </c>
      <c r="BF14" s="21">
        <f t="shared" si="20"/>
        <v>1365</v>
      </c>
      <c r="BG14" s="21">
        <f t="shared" si="20"/>
        <v>2625</v>
      </c>
      <c r="BH14" s="98"/>
      <c r="BI14" s="98"/>
      <c r="BJ14" s="98"/>
      <c r="BK14" s="98"/>
      <c r="BL14" s="98"/>
      <c r="BM14" s="98"/>
      <c r="BN14" s="95"/>
      <c r="BO14" s="95"/>
      <c r="BP14" s="95"/>
      <c r="BQ14" s="103"/>
      <c r="BR14" s="103"/>
      <c r="BS14" s="103"/>
    </row>
    <row r="15" spans="1:71" s="39" customFormat="1" ht="45" customHeight="1">
      <c r="A15" s="4">
        <v>8</v>
      </c>
      <c r="B15" s="80" t="s">
        <v>99</v>
      </c>
      <c r="C15" s="107">
        <f>6027+1353+427</f>
        <v>7807</v>
      </c>
      <c r="D15" s="107">
        <f>9087+1295+627</f>
        <v>11009</v>
      </c>
      <c r="E15" s="108">
        <f t="shared" si="0"/>
        <v>18816</v>
      </c>
      <c r="F15" s="107">
        <v>2194</v>
      </c>
      <c r="G15" s="107">
        <v>3885</v>
      </c>
      <c r="H15" s="108">
        <f t="shared" si="1"/>
        <v>6079</v>
      </c>
      <c r="I15" s="107">
        <v>1353</v>
      </c>
      <c r="J15" s="107">
        <v>1295</v>
      </c>
      <c r="K15" s="108">
        <f t="shared" si="2"/>
        <v>2648</v>
      </c>
      <c r="L15" s="107">
        <v>388</v>
      </c>
      <c r="M15" s="107">
        <v>410</v>
      </c>
      <c r="N15" s="108">
        <f t="shared" si="3"/>
        <v>798</v>
      </c>
      <c r="O15" s="107">
        <v>427</v>
      </c>
      <c r="P15" s="107">
        <v>627</v>
      </c>
      <c r="Q15" s="108">
        <f t="shared" si="4"/>
        <v>1054</v>
      </c>
      <c r="R15" s="107">
        <v>85</v>
      </c>
      <c r="S15" s="107">
        <v>189</v>
      </c>
      <c r="T15" s="108">
        <f t="shared" si="5"/>
        <v>274</v>
      </c>
      <c r="U15" s="107"/>
      <c r="V15" s="107"/>
      <c r="W15" s="108">
        <f t="shared" si="6"/>
        <v>0</v>
      </c>
      <c r="X15" s="107"/>
      <c r="Y15" s="107"/>
      <c r="Z15" s="108">
        <f t="shared" si="7"/>
        <v>0</v>
      </c>
      <c r="AA15" s="21">
        <f>F15</f>
        <v>2194</v>
      </c>
      <c r="AB15" s="21">
        <f>G15</f>
        <v>3885</v>
      </c>
      <c r="AC15" s="21">
        <f>H15</f>
        <v>6079</v>
      </c>
      <c r="AD15" s="141"/>
      <c r="AE15" s="141"/>
      <c r="AF15" s="141"/>
      <c r="AG15" s="21">
        <v>130</v>
      </c>
      <c r="AH15" s="21">
        <v>221</v>
      </c>
      <c r="AI15" s="108">
        <f>AG15+AH15</f>
        <v>351</v>
      </c>
      <c r="AJ15" s="142"/>
      <c r="AK15" s="142"/>
      <c r="AL15" s="142"/>
      <c r="AM15" s="46">
        <f aca="true" t="shared" si="33" ref="AM15:AO16">AG15/AA15%</f>
        <v>5.925250683682771</v>
      </c>
      <c r="AN15" s="46">
        <f t="shared" si="33"/>
        <v>5.688545688545688</v>
      </c>
      <c r="AO15" s="46">
        <f t="shared" si="33"/>
        <v>5.7739759828919235</v>
      </c>
      <c r="AP15" s="109">
        <f t="shared" si="13"/>
        <v>388</v>
      </c>
      <c r="AQ15" s="109">
        <f t="shared" si="13"/>
        <v>410</v>
      </c>
      <c r="AR15" s="109">
        <f t="shared" si="13"/>
        <v>798</v>
      </c>
      <c r="AS15" s="141"/>
      <c r="AT15" s="141"/>
      <c r="AU15" s="141"/>
      <c r="AV15" s="21">
        <v>23</v>
      </c>
      <c r="AW15" s="21">
        <v>21</v>
      </c>
      <c r="AX15" s="108">
        <f>AV15+AW15</f>
        <v>44</v>
      </c>
      <c r="AY15" s="142"/>
      <c r="AZ15" s="142"/>
      <c r="BA15" s="142"/>
      <c r="BB15" s="46">
        <f>AV15/AP15%</f>
        <v>5.927835051546392</v>
      </c>
      <c r="BC15" s="46">
        <f>AW15/AQ15%</f>
        <v>5.121951219512195</v>
      </c>
      <c r="BD15" s="46">
        <f>AX15/AR15%</f>
        <v>5.513784461152882</v>
      </c>
      <c r="BE15" s="109">
        <f t="shared" si="20"/>
        <v>85</v>
      </c>
      <c r="BF15" s="109">
        <f t="shared" si="20"/>
        <v>189</v>
      </c>
      <c r="BG15" s="109">
        <f t="shared" si="20"/>
        <v>274</v>
      </c>
      <c r="BH15" s="141"/>
      <c r="BI15" s="141"/>
      <c r="BJ15" s="141"/>
      <c r="BK15" s="21">
        <v>0</v>
      </c>
      <c r="BL15" s="21">
        <v>5</v>
      </c>
      <c r="BM15" s="21">
        <f>BK15+BL15</f>
        <v>5</v>
      </c>
      <c r="BN15" s="142"/>
      <c r="BO15" s="142"/>
      <c r="BP15" s="142"/>
      <c r="BQ15" s="46">
        <f>BK15/BE15%</f>
        <v>0</v>
      </c>
      <c r="BR15" s="46">
        <f>BL15/BF15%</f>
        <v>2.6455026455026456</v>
      </c>
      <c r="BS15" s="46">
        <f>BM15/BG15%</f>
        <v>1.824817518248175</v>
      </c>
    </row>
    <row r="16" spans="1:71" s="40" customFormat="1" ht="30" customHeight="1">
      <c r="A16" s="170" t="s">
        <v>7</v>
      </c>
      <c r="B16" s="170"/>
      <c r="C16" s="32">
        <f aca="true" t="shared" si="34" ref="C16:AI16">SUM(C8:C15)</f>
        <v>484684</v>
      </c>
      <c r="D16" s="32">
        <f t="shared" si="34"/>
        <v>278958</v>
      </c>
      <c r="E16" s="32">
        <f t="shared" si="34"/>
        <v>763642</v>
      </c>
      <c r="F16" s="32">
        <f t="shared" si="34"/>
        <v>189472</v>
      </c>
      <c r="G16" s="32">
        <f t="shared" si="34"/>
        <v>125985</v>
      </c>
      <c r="H16" s="32">
        <f t="shared" si="34"/>
        <v>315457</v>
      </c>
      <c r="I16" s="32">
        <f t="shared" si="34"/>
        <v>62548</v>
      </c>
      <c r="J16" s="32">
        <f t="shared" si="34"/>
        <v>36960</v>
      </c>
      <c r="K16" s="32">
        <f t="shared" si="34"/>
        <v>99508</v>
      </c>
      <c r="L16" s="32">
        <f t="shared" si="34"/>
        <v>25319</v>
      </c>
      <c r="M16" s="32">
        <f t="shared" si="34"/>
        <v>16858</v>
      </c>
      <c r="N16" s="32">
        <f t="shared" si="34"/>
        <v>42177</v>
      </c>
      <c r="O16" s="32">
        <f t="shared" si="34"/>
        <v>54022</v>
      </c>
      <c r="P16" s="32">
        <f t="shared" si="34"/>
        <v>34319</v>
      </c>
      <c r="Q16" s="32">
        <f t="shared" si="34"/>
        <v>88341</v>
      </c>
      <c r="R16" s="32">
        <f t="shared" si="34"/>
        <v>21400</v>
      </c>
      <c r="S16" s="32">
        <f t="shared" si="34"/>
        <v>14874</v>
      </c>
      <c r="T16" s="32">
        <f t="shared" si="34"/>
        <v>36274</v>
      </c>
      <c r="U16" s="32">
        <f t="shared" si="34"/>
        <v>10910</v>
      </c>
      <c r="V16" s="32">
        <f t="shared" si="34"/>
        <v>4062</v>
      </c>
      <c r="W16" s="32">
        <f t="shared" si="34"/>
        <v>14972</v>
      </c>
      <c r="X16" s="32">
        <f t="shared" si="34"/>
        <v>8376</v>
      </c>
      <c r="Y16" s="32">
        <f t="shared" si="34"/>
        <v>3552</v>
      </c>
      <c r="Z16" s="32">
        <f t="shared" si="34"/>
        <v>11928</v>
      </c>
      <c r="AA16" s="32">
        <f t="shared" si="34"/>
        <v>189472</v>
      </c>
      <c r="AB16" s="32">
        <f t="shared" si="34"/>
        <v>125985</v>
      </c>
      <c r="AC16" s="32">
        <f t="shared" si="34"/>
        <v>315457</v>
      </c>
      <c r="AD16" s="32">
        <f t="shared" si="34"/>
        <v>2908</v>
      </c>
      <c r="AE16" s="32">
        <f t="shared" si="34"/>
        <v>1576</v>
      </c>
      <c r="AF16" s="32">
        <f t="shared" si="34"/>
        <v>4484</v>
      </c>
      <c r="AG16" s="32">
        <f t="shared" si="34"/>
        <v>29889</v>
      </c>
      <c r="AH16" s="32">
        <f t="shared" si="34"/>
        <v>17841</v>
      </c>
      <c r="AI16" s="32">
        <f t="shared" si="34"/>
        <v>47730</v>
      </c>
      <c r="AJ16" s="33">
        <f>AD16/AA16%</f>
        <v>1.534791420368181</v>
      </c>
      <c r="AK16" s="33">
        <f>AE16/AB16%</f>
        <v>1.2509425725284757</v>
      </c>
      <c r="AL16" s="33">
        <f>AF16/AC16%</f>
        <v>1.4214298620731192</v>
      </c>
      <c r="AM16" s="33">
        <f t="shared" si="33"/>
        <v>15.77489022124641</v>
      </c>
      <c r="AN16" s="33">
        <f t="shared" si="33"/>
        <v>14.161209667817598</v>
      </c>
      <c r="AO16" s="33">
        <f t="shared" si="33"/>
        <v>15.130429820863064</v>
      </c>
      <c r="AP16" s="32">
        <f aca="true" t="shared" si="35" ref="AP16:AX16">SUM(AP8:AP15)</f>
        <v>25319</v>
      </c>
      <c r="AQ16" s="32">
        <f t="shared" si="35"/>
        <v>16858</v>
      </c>
      <c r="AR16" s="32">
        <f t="shared" si="35"/>
        <v>42177</v>
      </c>
      <c r="AS16" s="32">
        <f t="shared" si="35"/>
        <v>180</v>
      </c>
      <c r="AT16" s="32">
        <f t="shared" si="35"/>
        <v>117</v>
      </c>
      <c r="AU16" s="32">
        <f t="shared" si="35"/>
        <v>297</v>
      </c>
      <c r="AV16" s="32">
        <f t="shared" si="35"/>
        <v>2822</v>
      </c>
      <c r="AW16" s="32">
        <f t="shared" si="35"/>
        <v>2168</v>
      </c>
      <c r="AX16" s="32">
        <f t="shared" si="35"/>
        <v>4990</v>
      </c>
      <c r="AY16" s="33">
        <f>AS16/AP16%</f>
        <v>0.7109285516805561</v>
      </c>
      <c r="AZ16" s="33">
        <f t="shared" si="16"/>
        <v>0.6940325068216869</v>
      </c>
      <c r="BA16" s="33">
        <f t="shared" si="17"/>
        <v>0.7041752613983925</v>
      </c>
      <c r="BB16" s="33">
        <f>AV16/AP16%</f>
        <v>11.145779849125162</v>
      </c>
      <c r="BC16" s="33">
        <f t="shared" si="18"/>
        <v>12.860363032388182</v>
      </c>
      <c r="BD16" s="33">
        <f t="shared" si="19"/>
        <v>11.83109277568343</v>
      </c>
      <c r="BE16" s="32">
        <f aca="true" t="shared" si="36" ref="BE16:BM16">SUM(BE8:BE15)</f>
        <v>21400</v>
      </c>
      <c r="BF16" s="32">
        <f t="shared" si="36"/>
        <v>14874</v>
      </c>
      <c r="BG16" s="32">
        <f t="shared" si="36"/>
        <v>36274</v>
      </c>
      <c r="BH16" s="32">
        <f t="shared" si="36"/>
        <v>198</v>
      </c>
      <c r="BI16" s="32">
        <f t="shared" si="36"/>
        <v>219</v>
      </c>
      <c r="BJ16" s="32">
        <f t="shared" si="36"/>
        <v>417</v>
      </c>
      <c r="BK16" s="32">
        <f t="shared" si="36"/>
        <v>3579</v>
      </c>
      <c r="BL16" s="32">
        <f t="shared" si="36"/>
        <v>3688</v>
      </c>
      <c r="BM16" s="32">
        <f t="shared" si="36"/>
        <v>4827</v>
      </c>
      <c r="BN16" s="33">
        <f t="shared" si="23"/>
        <v>0.9252336448598131</v>
      </c>
      <c r="BO16" s="33">
        <f t="shared" si="24"/>
        <v>1.472367890278338</v>
      </c>
      <c r="BP16" s="33">
        <f t="shared" si="25"/>
        <v>1.1495837238793627</v>
      </c>
      <c r="BQ16" s="33">
        <f>BK16/BE16%</f>
        <v>16.72429906542056</v>
      </c>
      <c r="BR16" s="33">
        <f t="shared" si="26"/>
        <v>24.794944197929272</v>
      </c>
      <c r="BS16" s="33">
        <f t="shared" si="27"/>
        <v>13.307051882891328</v>
      </c>
    </row>
    <row r="17" spans="1:62" s="2" customFormat="1" ht="16.5">
      <c r="A17" s="41"/>
      <c r="B17" s="3"/>
      <c r="C17" s="41" t="s">
        <v>8</v>
      </c>
      <c r="D17" s="3"/>
      <c r="E17" s="3"/>
      <c r="F17" s="42"/>
      <c r="G17" s="3"/>
      <c r="H17" s="3"/>
      <c r="AA17" s="41" t="s">
        <v>8</v>
      </c>
      <c r="AB17" s="3"/>
      <c r="AC17" s="3"/>
      <c r="AD17" s="42"/>
      <c r="AE17" s="3"/>
      <c r="AF17" s="3"/>
      <c r="AP17" s="41" t="s">
        <v>8</v>
      </c>
      <c r="AQ17" s="3"/>
      <c r="AR17" s="3"/>
      <c r="AS17" s="42"/>
      <c r="AT17" s="3"/>
      <c r="AU17" s="3"/>
      <c r="BE17" s="41" t="s">
        <v>8</v>
      </c>
      <c r="BF17" s="3"/>
      <c r="BG17" s="3"/>
      <c r="BH17" s="42"/>
      <c r="BI17" s="3"/>
      <c r="BJ17" s="3"/>
    </row>
    <row r="18" spans="3:71" ht="12.75">
      <c r="C18" s="192" t="s">
        <v>94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AA18" s="192" t="s">
        <v>94</v>
      </c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 t="s">
        <v>94</v>
      </c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 t="s">
        <v>94</v>
      </c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</row>
    <row r="19" spans="3:71" ht="12.75">
      <c r="C19" s="148" t="s">
        <v>95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AA19" s="148" t="s">
        <v>95</v>
      </c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8" t="s">
        <v>95</v>
      </c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8" t="s">
        <v>95</v>
      </c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</row>
  </sheetData>
  <sheetProtection/>
  <mergeCells count="42">
    <mergeCell ref="BK5:BM5"/>
    <mergeCell ref="BN3:BS4"/>
    <mergeCell ref="BB5:BD5"/>
    <mergeCell ref="BH5:BJ5"/>
    <mergeCell ref="BQ5:BS5"/>
    <mergeCell ref="BN5:BP5"/>
    <mergeCell ref="AJ3:AO4"/>
    <mergeCell ref="AY3:BD4"/>
    <mergeCell ref="AG5:AI5"/>
    <mergeCell ref="AM5:AO5"/>
    <mergeCell ref="BE3:BG5"/>
    <mergeCell ref="AV5:AX5"/>
    <mergeCell ref="BE18:BS18"/>
    <mergeCell ref="AP18:BD18"/>
    <mergeCell ref="AP3:AR5"/>
    <mergeCell ref="AS5:AU5"/>
    <mergeCell ref="AY5:BA5"/>
    <mergeCell ref="O4:T4"/>
    <mergeCell ref="AD5:AF5"/>
    <mergeCell ref="AD3:AI4"/>
    <mergeCell ref="AS3:AX4"/>
    <mergeCell ref="BH3:BM4"/>
    <mergeCell ref="A16:B16"/>
    <mergeCell ref="A3:A6"/>
    <mergeCell ref="B3:B6"/>
    <mergeCell ref="C4:H4"/>
    <mergeCell ref="R5:T5"/>
    <mergeCell ref="I4:N4"/>
    <mergeCell ref="C3:N3"/>
    <mergeCell ref="O3:Z3"/>
    <mergeCell ref="I5:K5"/>
    <mergeCell ref="L5:N5"/>
    <mergeCell ref="C18:Q18"/>
    <mergeCell ref="AA18:AO18"/>
    <mergeCell ref="AA3:AC5"/>
    <mergeCell ref="X5:Z5"/>
    <mergeCell ref="O5:Q5"/>
    <mergeCell ref="C5:E5"/>
    <mergeCell ref="F5:H5"/>
    <mergeCell ref="AJ5:AL5"/>
    <mergeCell ref="U4:Z4"/>
    <mergeCell ref="U5:W5"/>
  </mergeCells>
  <printOptions horizontalCentered="1"/>
  <pageMargins left="0.4724409448818898" right="0.07874015748031496" top="0.7480314960629921" bottom="0.7480314960629921" header="0.31496062992125984" footer="0.5118110236220472"/>
  <pageSetup firstPageNumber="57" useFirstPageNumber="1" horizontalDpi="600" verticalDpi="600" orientation="landscape" paperSize="9" scale="66" r:id="rId1"/>
  <headerFooter alignWithMargins="0">
    <oddFooter>&amp;CXII-2016&amp;R&amp;P</oddFooter>
  </headerFooter>
  <colBreaks count="4" manualBreakCount="4">
    <brk id="14" max="18" man="1"/>
    <brk id="26" max="18" man="1"/>
    <brk id="41" max="18" man="1"/>
    <brk id="56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101"/>
  <sheetViews>
    <sheetView view="pageBreakPreview" zoomScale="85" zoomScaleSheetLayoutView="85" workbookViewId="0" topLeftCell="A1">
      <selection activeCell="CR64" sqref="CR64"/>
    </sheetView>
  </sheetViews>
  <sheetFormatPr defaultColWidth="9.140625" defaultRowHeight="12.75"/>
  <cols>
    <col min="1" max="1" width="5.140625" style="36" customWidth="1"/>
    <col min="2" max="2" width="31.140625" style="22" customWidth="1"/>
    <col min="3" max="4" width="9.140625" style="3" customWidth="1"/>
    <col min="5" max="5" width="12.7109375" style="3" customWidth="1"/>
    <col min="6" max="6" width="10.8515625" style="3" customWidth="1"/>
    <col min="7" max="8" width="9.421875" style="3" customWidth="1"/>
    <col min="9" max="10" width="8.57421875" style="3" customWidth="1"/>
    <col min="11" max="11" width="11.28125" style="3" customWidth="1"/>
    <col min="12" max="12" width="9.421875" style="3" customWidth="1"/>
    <col min="13" max="13" width="9.7109375" style="3" customWidth="1"/>
    <col min="14" max="14" width="9.8515625" style="3" customWidth="1"/>
    <col min="15" max="15" width="8.8515625" style="3" customWidth="1"/>
    <col min="16" max="16" width="7.7109375" style="3" customWidth="1"/>
    <col min="17" max="17" width="9.00390625" style="3" customWidth="1"/>
    <col min="18" max="29" width="9.140625" style="3" customWidth="1"/>
    <col min="30" max="30" width="10.140625" style="3" customWidth="1"/>
    <col min="31" max="31" width="9.140625" style="3" customWidth="1"/>
    <col min="32" max="32" width="9.7109375" style="3" customWidth="1"/>
    <col min="33" max="41" width="8.57421875" style="3" customWidth="1"/>
    <col min="42" max="44" width="7.7109375" style="3" customWidth="1"/>
    <col min="45" max="59" width="9.140625" style="3" customWidth="1"/>
    <col min="60" max="68" width="8.57421875" style="3" customWidth="1"/>
    <col min="69" max="71" width="7.7109375" style="3" customWidth="1"/>
    <col min="72" max="86" width="9.140625" style="3" customWidth="1"/>
    <col min="87" max="95" width="8.57421875" style="3" customWidth="1"/>
    <col min="96" max="98" width="7.7109375" style="3" customWidth="1"/>
    <col min="99" max="110" width="9.140625" style="3" customWidth="1"/>
  </cols>
  <sheetData>
    <row r="1" spans="1:110" ht="14.25" customHeight="1">
      <c r="A1" s="22"/>
      <c r="B1" s="23"/>
      <c r="C1" s="49" t="str">
        <f>Board!C1</f>
        <v>RESULTS OF HIGHER SECONDARY EXAMINATION- 2016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 t="str">
        <f>C1</f>
        <v>RESULTS OF HIGHER SECONDARY EXAMINATION- 2016</v>
      </c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49" t="str">
        <f>R1</f>
        <v>RESULTS OF HIGHER SECONDARY EXAMINATION- 2016</v>
      </c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 t="str">
        <f>AD1</f>
        <v>RESULTS OF HIGHER SECONDARY EXAMINATION- 2016</v>
      </c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49" t="str">
        <f>AS1</f>
        <v>RESULTS OF HIGHER SECONDARY EXAMINATION- 2016</v>
      </c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 t="str">
        <f>BE1</f>
        <v>RESULTS OF HIGHER SECONDARY EXAMINATION- 2016</v>
      </c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</row>
    <row r="2" spans="1:110" ht="12.75" customHeight="1">
      <c r="A2" s="24"/>
      <c r="B2" s="25"/>
      <c r="C2" s="163" t="s">
        <v>112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 t="s">
        <v>76</v>
      </c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163" t="s">
        <v>113</v>
      </c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 t="s">
        <v>77</v>
      </c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163" t="s">
        <v>114</v>
      </c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 t="s">
        <v>78</v>
      </c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</row>
    <row r="3" spans="1:110" ht="11.25" customHeight="1">
      <c r="A3" s="170" t="s">
        <v>18</v>
      </c>
      <c r="B3" s="172" t="s">
        <v>0</v>
      </c>
      <c r="C3" s="202" t="s">
        <v>68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195" t="s">
        <v>69</v>
      </c>
      <c r="S3" s="196"/>
      <c r="T3" s="196"/>
      <c r="U3" s="195" t="s">
        <v>70</v>
      </c>
      <c r="V3" s="196"/>
      <c r="W3" s="196"/>
      <c r="X3" s="195" t="s">
        <v>71</v>
      </c>
      <c r="Y3" s="196"/>
      <c r="Z3" s="196"/>
      <c r="AA3" s="173" t="s">
        <v>72</v>
      </c>
      <c r="AB3" s="173"/>
      <c r="AC3" s="173"/>
      <c r="AD3" s="202" t="s">
        <v>68</v>
      </c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195" t="s">
        <v>69</v>
      </c>
      <c r="AT3" s="196"/>
      <c r="AU3" s="196"/>
      <c r="AV3" s="195" t="s">
        <v>70</v>
      </c>
      <c r="AW3" s="196"/>
      <c r="AX3" s="196"/>
      <c r="AY3" s="195" t="s">
        <v>71</v>
      </c>
      <c r="AZ3" s="196"/>
      <c r="BA3" s="196"/>
      <c r="BB3" s="173" t="s">
        <v>72</v>
      </c>
      <c r="BC3" s="173"/>
      <c r="BD3" s="173"/>
      <c r="BE3" s="202" t="s">
        <v>68</v>
      </c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195" t="s">
        <v>69</v>
      </c>
      <c r="BU3" s="196"/>
      <c r="BV3" s="196"/>
      <c r="BW3" s="195" t="s">
        <v>70</v>
      </c>
      <c r="BX3" s="196"/>
      <c r="BY3" s="196"/>
      <c r="BZ3" s="195" t="s">
        <v>71</v>
      </c>
      <c r="CA3" s="196"/>
      <c r="CB3" s="196"/>
      <c r="CC3" s="173" t="s">
        <v>72</v>
      </c>
      <c r="CD3" s="173"/>
      <c r="CE3" s="17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</row>
    <row r="4" spans="1:110" ht="12" customHeight="1">
      <c r="A4" s="170"/>
      <c r="B4" s="172"/>
      <c r="C4" s="195" t="s">
        <v>73</v>
      </c>
      <c r="D4" s="196"/>
      <c r="E4" s="197"/>
      <c r="F4" s="173" t="s">
        <v>74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98"/>
      <c r="S4" s="199"/>
      <c r="T4" s="199"/>
      <c r="U4" s="198"/>
      <c r="V4" s="199"/>
      <c r="W4" s="199"/>
      <c r="X4" s="198"/>
      <c r="Y4" s="199"/>
      <c r="Z4" s="199"/>
      <c r="AA4" s="173"/>
      <c r="AB4" s="173"/>
      <c r="AC4" s="173"/>
      <c r="AD4" s="195" t="s">
        <v>73</v>
      </c>
      <c r="AE4" s="196"/>
      <c r="AF4" s="197"/>
      <c r="AG4" s="173" t="s">
        <v>74</v>
      </c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98"/>
      <c r="AT4" s="199"/>
      <c r="AU4" s="199"/>
      <c r="AV4" s="198"/>
      <c r="AW4" s="199"/>
      <c r="AX4" s="199"/>
      <c r="AY4" s="198"/>
      <c r="AZ4" s="199"/>
      <c r="BA4" s="199"/>
      <c r="BB4" s="173"/>
      <c r="BC4" s="173"/>
      <c r="BD4" s="173"/>
      <c r="BE4" s="195" t="s">
        <v>73</v>
      </c>
      <c r="BF4" s="196"/>
      <c r="BG4" s="197"/>
      <c r="BH4" s="173" t="s">
        <v>74</v>
      </c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98"/>
      <c r="BU4" s="199"/>
      <c r="BV4" s="199"/>
      <c r="BW4" s="198"/>
      <c r="BX4" s="199"/>
      <c r="BY4" s="199"/>
      <c r="BZ4" s="198"/>
      <c r="CA4" s="199"/>
      <c r="CB4" s="199"/>
      <c r="CC4" s="173"/>
      <c r="CD4" s="173"/>
      <c r="CE4" s="173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</row>
    <row r="5" spans="1:110" ht="9.75" customHeight="1">
      <c r="A5" s="170"/>
      <c r="B5" s="172"/>
      <c r="C5" s="198"/>
      <c r="D5" s="199"/>
      <c r="E5" s="200"/>
      <c r="F5" s="198" t="s">
        <v>69</v>
      </c>
      <c r="G5" s="199"/>
      <c r="H5" s="200"/>
      <c r="I5" s="198" t="s">
        <v>70</v>
      </c>
      <c r="J5" s="199"/>
      <c r="K5" s="200"/>
      <c r="L5" s="198" t="s">
        <v>71</v>
      </c>
      <c r="M5" s="199"/>
      <c r="N5" s="200"/>
      <c r="O5" s="198" t="s">
        <v>72</v>
      </c>
      <c r="P5" s="199"/>
      <c r="Q5" s="200"/>
      <c r="R5" s="195" t="s">
        <v>75</v>
      </c>
      <c r="S5" s="195" t="s">
        <v>6</v>
      </c>
      <c r="T5" s="195" t="s">
        <v>7</v>
      </c>
      <c r="U5" s="195" t="s">
        <v>75</v>
      </c>
      <c r="V5" s="195" t="s">
        <v>6</v>
      </c>
      <c r="W5" s="195" t="s">
        <v>7</v>
      </c>
      <c r="X5" s="195" t="s">
        <v>75</v>
      </c>
      <c r="Y5" s="195" t="s">
        <v>6</v>
      </c>
      <c r="Z5" s="195" t="s">
        <v>7</v>
      </c>
      <c r="AA5" s="173" t="s">
        <v>75</v>
      </c>
      <c r="AB5" s="173" t="s">
        <v>6</v>
      </c>
      <c r="AC5" s="173" t="s">
        <v>7</v>
      </c>
      <c r="AD5" s="198"/>
      <c r="AE5" s="199"/>
      <c r="AF5" s="200"/>
      <c r="AG5" s="198" t="s">
        <v>69</v>
      </c>
      <c r="AH5" s="199"/>
      <c r="AI5" s="200"/>
      <c r="AJ5" s="198" t="s">
        <v>70</v>
      </c>
      <c r="AK5" s="199"/>
      <c r="AL5" s="200"/>
      <c r="AM5" s="198" t="s">
        <v>71</v>
      </c>
      <c r="AN5" s="199"/>
      <c r="AO5" s="200"/>
      <c r="AP5" s="198" t="s">
        <v>72</v>
      </c>
      <c r="AQ5" s="199"/>
      <c r="AR5" s="200"/>
      <c r="AS5" s="195" t="s">
        <v>75</v>
      </c>
      <c r="AT5" s="195" t="s">
        <v>6</v>
      </c>
      <c r="AU5" s="195" t="s">
        <v>7</v>
      </c>
      <c r="AV5" s="195" t="s">
        <v>75</v>
      </c>
      <c r="AW5" s="195" t="s">
        <v>6</v>
      </c>
      <c r="AX5" s="195" t="s">
        <v>7</v>
      </c>
      <c r="AY5" s="195" t="s">
        <v>75</v>
      </c>
      <c r="AZ5" s="195" t="s">
        <v>6</v>
      </c>
      <c r="BA5" s="195" t="s">
        <v>7</v>
      </c>
      <c r="BB5" s="173" t="s">
        <v>75</v>
      </c>
      <c r="BC5" s="173" t="s">
        <v>6</v>
      </c>
      <c r="BD5" s="173" t="s">
        <v>7</v>
      </c>
      <c r="BE5" s="198"/>
      <c r="BF5" s="199"/>
      <c r="BG5" s="200"/>
      <c r="BH5" s="198" t="s">
        <v>69</v>
      </c>
      <c r="BI5" s="199"/>
      <c r="BJ5" s="200"/>
      <c r="BK5" s="198" t="s">
        <v>70</v>
      </c>
      <c r="BL5" s="199"/>
      <c r="BM5" s="200"/>
      <c r="BN5" s="198" t="s">
        <v>71</v>
      </c>
      <c r="BO5" s="199"/>
      <c r="BP5" s="200"/>
      <c r="BQ5" s="198" t="s">
        <v>72</v>
      </c>
      <c r="BR5" s="199"/>
      <c r="BS5" s="200"/>
      <c r="BT5" s="195" t="s">
        <v>75</v>
      </c>
      <c r="BU5" s="195" t="s">
        <v>6</v>
      </c>
      <c r="BV5" s="195" t="s">
        <v>7</v>
      </c>
      <c r="BW5" s="195" t="s">
        <v>75</v>
      </c>
      <c r="BX5" s="195" t="s">
        <v>6</v>
      </c>
      <c r="BY5" s="195" t="s">
        <v>7</v>
      </c>
      <c r="BZ5" s="195" t="s">
        <v>75</v>
      </c>
      <c r="CA5" s="195" t="s">
        <v>6</v>
      </c>
      <c r="CB5" s="195" t="s">
        <v>7</v>
      </c>
      <c r="CC5" s="173" t="s">
        <v>75</v>
      </c>
      <c r="CD5" s="173" t="s">
        <v>6</v>
      </c>
      <c r="CE5" s="173" t="s">
        <v>7</v>
      </c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</row>
    <row r="6" spans="1:110" ht="9" customHeight="1">
      <c r="A6" s="170"/>
      <c r="B6" s="172"/>
      <c r="C6" s="67" t="s">
        <v>75</v>
      </c>
      <c r="D6" s="67" t="s">
        <v>6</v>
      </c>
      <c r="E6" s="67" t="s">
        <v>7</v>
      </c>
      <c r="F6" s="67" t="s">
        <v>75</v>
      </c>
      <c r="G6" s="67" t="s">
        <v>6</v>
      </c>
      <c r="H6" s="67" t="s">
        <v>7</v>
      </c>
      <c r="I6" s="67" t="s">
        <v>75</v>
      </c>
      <c r="J6" s="67" t="s">
        <v>6</v>
      </c>
      <c r="K6" s="67" t="s">
        <v>7</v>
      </c>
      <c r="L6" s="67" t="s">
        <v>75</v>
      </c>
      <c r="M6" s="67" t="s">
        <v>6</v>
      </c>
      <c r="N6" s="67" t="s">
        <v>7</v>
      </c>
      <c r="O6" s="67" t="s">
        <v>75</v>
      </c>
      <c r="P6" s="67" t="s">
        <v>6</v>
      </c>
      <c r="Q6" s="67" t="s">
        <v>7</v>
      </c>
      <c r="R6" s="198"/>
      <c r="S6" s="198"/>
      <c r="T6" s="198"/>
      <c r="U6" s="198"/>
      <c r="V6" s="198"/>
      <c r="W6" s="198"/>
      <c r="X6" s="198"/>
      <c r="Y6" s="198"/>
      <c r="Z6" s="198"/>
      <c r="AA6" s="173"/>
      <c r="AB6" s="173"/>
      <c r="AC6" s="173"/>
      <c r="AD6" s="67" t="s">
        <v>75</v>
      </c>
      <c r="AE6" s="67" t="s">
        <v>6</v>
      </c>
      <c r="AF6" s="67" t="s">
        <v>7</v>
      </c>
      <c r="AG6" s="67" t="s">
        <v>75</v>
      </c>
      <c r="AH6" s="67" t="s">
        <v>6</v>
      </c>
      <c r="AI6" s="67" t="s">
        <v>7</v>
      </c>
      <c r="AJ6" s="67" t="s">
        <v>75</v>
      </c>
      <c r="AK6" s="67" t="s">
        <v>6</v>
      </c>
      <c r="AL6" s="67" t="s">
        <v>7</v>
      </c>
      <c r="AM6" s="67" t="s">
        <v>75</v>
      </c>
      <c r="AN6" s="67" t="s">
        <v>6</v>
      </c>
      <c r="AO6" s="67" t="s">
        <v>7</v>
      </c>
      <c r="AP6" s="67" t="s">
        <v>75</v>
      </c>
      <c r="AQ6" s="67" t="s">
        <v>6</v>
      </c>
      <c r="AR6" s="67" t="s">
        <v>7</v>
      </c>
      <c r="AS6" s="198"/>
      <c r="AT6" s="198"/>
      <c r="AU6" s="198"/>
      <c r="AV6" s="198"/>
      <c r="AW6" s="198"/>
      <c r="AX6" s="198"/>
      <c r="AY6" s="198"/>
      <c r="AZ6" s="198"/>
      <c r="BA6" s="198"/>
      <c r="BB6" s="173"/>
      <c r="BC6" s="173"/>
      <c r="BD6" s="173"/>
      <c r="BE6" s="67" t="s">
        <v>75</v>
      </c>
      <c r="BF6" s="67" t="s">
        <v>6</v>
      </c>
      <c r="BG6" s="67" t="s">
        <v>7</v>
      </c>
      <c r="BH6" s="67" t="s">
        <v>75</v>
      </c>
      <c r="BI6" s="67" t="s">
        <v>6</v>
      </c>
      <c r="BJ6" s="67" t="s">
        <v>7</v>
      </c>
      <c r="BK6" s="67" t="s">
        <v>75</v>
      </c>
      <c r="BL6" s="67" t="s">
        <v>6</v>
      </c>
      <c r="BM6" s="67" t="s">
        <v>7</v>
      </c>
      <c r="BN6" s="67" t="s">
        <v>75</v>
      </c>
      <c r="BO6" s="67" t="s">
        <v>6</v>
      </c>
      <c r="BP6" s="67" t="s">
        <v>7</v>
      </c>
      <c r="BQ6" s="67" t="s">
        <v>75</v>
      </c>
      <c r="BR6" s="67" t="s">
        <v>6</v>
      </c>
      <c r="BS6" s="67" t="s">
        <v>7</v>
      </c>
      <c r="BT6" s="198"/>
      <c r="BU6" s="198"/>
      <c r="BV6" s="198"/>
      <c r="BW6" s="198"/>
      <c r="BX6" s="198"/>
      <c r="BY6" s="198"/>
      <c r="BZ6" s="198"/>
      <c r="CA6" s="198"/>
      <c r="CB6" s="198"/>
      <c r="CC6" s="173"/>
      <c r="CD6" s="173"/>
      <c r="CE6" s="173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</row>
    <row r="7" spans="1:110" ht="12.75">
      <c r="A7" s="27">
        <v>1</v>
      </c>
      <c r="B7" s="27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68">
        <v>15</v>
      </c>
      <c r="P7" s="68">
        <v>16</v>
      </c>
      <c r="Q7" s="68">
        <v>17</v>
      </c>
      <c r="R7" s="68">
        <v>3</v>
      </c>
      <c r="S7" s="68">
        <v>4</v>
      </c>
      <c r="T7" s="68">
        <v>5</v>
      </c>
      <c r="U7" s="68">
        <v>6</v>
      </c>
      <c r="V7" s="68">
        <v>7</v>
      </c>
      <c r="W7" s="68">
        <v>8</v>
      </c>
      <c r="X7" s="68">
        <v>9</v>
      </c>
      <c r="Y7" s="68">
        <v>10</v>
      </c>
      <c r="Z7" s="68">
        <v>11</v>
      </c>
      <c r="AA7" s="68">
        <v>12</v>
      </c>
      <c r="AB7" s="68">
        <v>13</v>
      </c>
      <c r="AC7" s="68">
        <v>14</v>
      </c>
      <c r="AD7" s="68">
        <v>3</v>
      </c>
      <c r="AE7" s="68">
        <v>4</v>
      </c>
      <c r="AF7" s="68">
        <v>5</v>
      </c>
      <c r="AG7" s="68">
        <v>6</v>
      </c>
      <c r="AH7" s="68">
        <v>7</v>
      </c>
      <c r="AI7" s="68">
        <v>8</v>
      </c>
      <c r="AJ7" s="68">
        <v>9</v>
      </c>
      <c r="AK7" s="68">
        <v>10</v>
      </c>
      <c r="AL7" s="68">
        <v>11</v>
      </c>
      <c r="AM7" s="68">
        <v>12</v>
      </c>
      <c r="AN7" s="68">
        <v>13</v>
      </c>
      <c r="AO7" s="68">
        <v>14</v>
      </c>
      <c r="AP7" s="68">
        <v>15</v>
      </c>
      <c r="AQ7" s="68">
        <v>16</v>
      </c>
      <c r="AR7" s="68">
        <v>17</v>
      </c>
      <c r="AS7" s="68">
        <v>3</v>
      </c>
      <c r="AT7" s="68">
        <v>4</v>
      </c>
      <c r="AU7" s="68">
        <v>5</v>
      </c>
      <c r="AV7" s="68">
        <v>6</v>
      </c>
      <c r="AW7" s="68">
        <v>7</v>
      </c>
      <c r="AX7" s="68">
        <v>8</v>
      </c>
      <c r="AY7" s="68">
        <v>9</v>
      </c>
      <c r="AZ7" s="68">
        <v>10</v>
      </c>
      <c r="BA7" s="68">
        <v>11</v>
      </c>
      <c r="BB7" s="68">
        <v>12</v>
      </c>
      <c r="BC7" s="68">
        <v>13</v>
      </c>
      <c r="BD7" s="68">
        <v>14</v>
      </c>
      <c r="BE7" s="68">
        <v>3</v>
      </c>
      <c r="BF7" s="68">
        <v>4</v>
      </c>
      <c r="BG7" s="68">
        <v>5</v>
      </c>
      <c r="BH7" s="68">
        <v>6</v>
      </c>
      <c r="BI7" s="68">
        <v>7</v>
      </c>
      <c r="BJ7" s="68">
        <v>8</v>
      </c>
      <c r="BK7" s="68">
        <v>9</v>
      </c>
      <c r="BL7" s="68">
        <v>10</v>
      </c>
      <c r="BM7" s="68">
        <v>11</v>
      </c>
      <c r="BN7" s="68">
        <v>12</v>
      </c>
      <c r="BO7" s="68">
        <v>13</v>
      </c>
      <c r="BP7" s="68">
        <v>14</v>
      </c>
      <c r="BQ7" s="68">
        <v>15</v>
      </c>
      <c r="BR7" s="68">
        <v>16</v>
      </c>
      <c r="BS7" s="68">
        <v>17</v>
      </c>
      <c r="BT7" s="68">
        <v>3</v>
      </c>
      <c r="BU7" s="68">
        <v>4</v>
      </c>
      <c r="BV7" s="68">
        <v>5</v>
      </c>
      <c r="BW7" s="68">
        <v>6</v>
      </c>
      <c r="BX7" s="68">
        <v>7</v>
      </c>
      <c r="BY7" s="68">
        <v>8</v>
      </c>
      <c r="BZ7" s="68">
        <v>9</v>
      </c>
      <c r="CA7" s="68">
        <v>10</v>
      </c>
      <c r="CB7" s="68">
        <v>11</v>
      </c>
      <c r="CC7" s="68">
        <v>12</v>
      </c>
      <c r="CD7" s="68">
        <v>13</v>
      </c>
      <c r="CE7" s="68">
        <v>14</v>
      </c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</row>
    <row r="8" spans="1:110" ht="14.25">
      <c r="A8" s="171" t="s">
        <v>9</v>
      </c>
      <c r="B8" s="171"/>
      <c r="C8" s="203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5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5"/>
      <c r="AD8" s="203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5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5"/>
      <c r="BE8" s="203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5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5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</row>
    <row r="9" spans="1:110" ht="27" customHeight="1">
      <c r="A9" s="4">
        <v>1</v>
      </c>
      <c r="B9" s="6" t="str">
        <f>Board!B9</f>
        <v>Central Board of Secondary Education, New Delhi</v>
      </c>
      <c r="C9" s="69">
        <f>Board!AP9</f>
        <v>466627</v>
      </c>
      <c r="D9" s="69">
        <f>Board!AQ9</f>
        <v>392017</v>
      </c>
      <c r="E9" s="69">
        <f>Board!AR9</f>
        <v>858644</v>
      </c>
      <c r="F9" s="98"/>
      <c r="G9" s="98"/>
      <c r="H9" s="98"/>
      <c r="I9" s="98"/>
      <c r="J9" s="98"/>
      <c r="K9" s="98"/>
      <c r="L9" s="97"/>
      <c r="M9" s="97"/>
      <c r="N9" s="98"/>
      <c r="O9" s="97"/>
      <c r="P9" s="97"/>
      <c r="Q9" s="98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69">
        <f>Board!CI9</f>
        <v>35798</v>
      </c>
      <c r="AE9" s="69">
        <f>Board!CJ9</f>
        <v>31880</v>
      </c>
      <c r="AF9" s="69">
        <f>Board!CK9</f>
        <v>67678</v>
      </c>
      <c r="AG9" s="98"/>
      <c r="AH9" s="98"/>
      <c r="AI9" s="98"/>
      <c r="AJ9" s="144"/>
      <c r="AK9" s="144"/>
      <c r="AL9" s="98"/>
      <c r="AM9" s="97"/>
      <c r="AN9" s="97"/>
      <c r="AO9" s="98"/>
      <c r="AP9" s="97"/>
      <c r="AQ9" s="97"/>
      <c r="AR9" s="98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69">
        <f>Board!EB9</f>
        <v>15566</v>
      </c>
      <c r="BF9" s="69">
        <f>Board!EC9</f>
        <v>14912</v>
      </c>
      <c r="BG9" s="69">
        <f>Board!ED9</f>
        <v>30478</v>
      </c>
      <c r="BH9" s="98"/>
      <c r="BI9" s="98"/>
      <c r="BJ9" s="98"/>
      <c r="BK9" s="98"/>
      <c r="BL9" s="98"/>
      <c r="BM9" s="98"/>
      <c r="BN9" s="97"/>
      <c r="BO9" s="97"/>
      <c r="BP9" s="98"/>
      <c r="BQ9" s="97"/>
      <c r="BR9" s="97"/>
      <c r="BS9" s="98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</row>
    <row r="10" spans="1:110" ht="32.25" customHeight="1">
      <c r="A10" s="4">
        <v>2</v>
      </c>
      <c r="B10" s="6" t="str">
        <f>Board!B10</f>
        <v>Council for the Indian School Certificate Examinations, N.Delhi</v>
      </c>
      <c r="C10" s="69">
        <f>Board!AP10</f>
        <v>37028</v>
      </c>
      <c r="D10" s="69">
        <f>Board!AQ10</f>
        <v>32500</v>
      </c>
      <c r="E10" s="69">
        <f>Board!AR10</f>
        <v>69528</v>
      </c>
      <c r="F10" s="9">
        <v>1888</v>
      </c>
      <c r="G10" s="9">
        <v>4778</v>
      </c>
      <c r="H10" s="9">
        <f>F10+G10</f>
        <v>6666</v>
      </c>
      <c r="I10" s="9">
        <v>13097</v>
      </c>
      <c r="J10" s="9">
        <v>13145</v>
      </c>
      <c r="K10" s="9">
        <f aca="true" t="shared" si="0" ref="K10:K51">I10+J10</f>
        <v>26242</v>
      </c>
      <c r="L10" s="69">
        <v>22043</v>
      </c>
      <c r="M10" s="69">
        <v>14577</v>
      </c>
      <c r="N10" s="9">
        <f>L10+M10</f>
        <v>36620</v>
      </c>
      <c r="O10" s="97"/>
      <c r="P10" s="97"/>
      <c r="Q10" s="98"/>
      <c r="R10" s="70">
        <f aca="true" t="shared" si="1" ref="R10:T51">IF(C10=0,"",F10/C10%)</f>
        <v>5.098844117964783</v>
      </c>
      <c r="S10" s="70">
        <f t="shared" si="1"/>
        <v>14.701538461538462</v>
      </c>
      <c r="T10" s="70">
        <f t="shared" si="1"/>
        <v>9.587504314808422</v>
      </c>
      <c r="U10" s="70">
        <f aca="true" t="shared" si="2" ref="U10:W51">IF(C10=0,"",I10/C10%)</f>
        <v>35.3705304094199</v>
      </c>
      <c r="V10" s="70">
        <f t="shared" si="2"/>
        <v>40.44615384615385</v>
      </c>
      <c r="W10" s="70">
        <f t="shared" si="2"/>
        <v>37.74306754113451</v>
      </c>
      <c r="X10" s="70">
        <f aca="true" t="shared" si="3" ref="X10:Z51">IF(C10=0,"",L10/C10%)</f>
        <v>59.53062547261532</v>
      </c>
      <c r="Y10" s="70">
        <f t="shared" si="3"/>
        <v>44.85230769230769</v>
      </c>
      <c r="Z10" s="70">
        <f t="shared" si="3"/>
        <v>52.66942814405707</v>
      </c>
      <c r="AA10" s="70">
        <f aca="true" t="shared" si="4" ref="AA10:AC13">IF(C10=0,"",O10/C10%)</f>
        <v>0</v>
      </c>
      <c r="AB10" s="70">
        <f t="shared" si="4"/>
        <v>0</v>
      </c>
      <c r="AC10" s="70">
        <f t="shared" si="4"/>
        <v>0</v>
      </c>
      <c r="AD10" s="69">
        <f>Board!CI10</f>
        <v>1329</v>
      </c>
      <c r="AE10" s="69">
        <f>Board!CJ10</f>
        <v>998</v>
      </c>
      <c r="AF10" s="69">
        <f>Board!CK10</f>
        <v>2327</v>
      </c>
      <c r="AG10" s="9">
        <v>81</v>
      </c>
      <c r="AH10" s="9">
        <v>116</v>
      </c>
      <c r="AI10" s="9">
        <f>AG10+AH10</f>
        <v>197</v>
      </c>
      <c r="AJ10" s="9">
        <v>298</v>
      </c>
      <c r="AK10" s="9">
        <v>292</v>
      </c>
      <c r="AL10" s="9">
        <f>AJ10+AK10</f>
        <v>590</v>
      </c>
      <c r="AM10" s="69">
        <v>950</v>
      </c>
      <c r="AN10" s="69">
        <v>590</v>
      </c>
      <c r="AO10" s="9">
        <f>AM10+AN10</f>
        <v>1540</v>
      </c>
      <c r="AP10" s="97"/>
      <c r="AQ10" s="97"/>
      <c r="AR10" s="98"/>
      <c r="AS10" s="70">
        <f aca="true" t="shared" si="5" ref="AS10:AS51">IF(AD10=0,"",AG10/AD10%)</f>
        <v>6.094808126410836</v>
      </c>
      <c r="AT10" s="70">
        <f aca="true" t="shared" si="6" ref="AT10:AT51">IF(AE10=0,"",AH10/AE10%)</f>
        <v>11.623246492985972</v>
      </c>
      <c r="AU10" s="70">
        <f aca="true" t="shared" si="7" ref="AU10:AU51">IF(AF10=0,"",AI10/AF10%)</f>
        <v>8.465835840137517</v>
      </c>
      <c r="AV10" s="70">
        <f aca="true" t="shared" si="8" ref="AV10:AV51">IF(AD10=0,"",AJ10/AD10%)</f>
        <v>22.422874341610235</v>
      </c>
      <c r="AW10" s="70">
        <f aca="true" t="shared" si="9" ref="AW10:AW51">IF(AE10=0,"",AK10/AE10%)</f>
        <v>29.258517034068134</v>
      </c>
      <c r="AX10" s="70">
        <f aca="true" t="shared" si="10" ref="AX10:AX51">IF(AF10=0,"",AL10/AF10%)</f>
        <v>25.354533734422002</v>
      </c>
      <c r="AY10" s="70">
        <f aca="true" t="shared" si="11" ref="AY10:AY51">IF(AD10=0,"",AM10/AD10%)</f>
        <v>71.48231753197894</v>
      </c>
      <c r="AZ10" s="70">
        <f aca="true" t="shared" si="12" ref="AZ10:AZ51">IF(AE10=0,"",AN10/AE10%)</f>
        <v>59.11823647294589</v>
      </c>
      <c r="BA10" s="70">
        <f aca="true" t="shared" si="13" ref="BA10:BA51">IF(AF10=0,"",AO10/AF10%)</f>
        <v>66.17963042544048</v>
      </c>
      <c r="BB10" s="103"/>
      <c r="BC10" s="103"/>
      <c r="BD10" s="103"/>
      <c r="BE10" s="69">
        <f>Board!EB10</f>
        <v>1225</v>
      </c>
      <c r="BF10" s="69">
        <f>Board!EC10</f>
        <v>1238</v>
      </c>
      <c r="BG10" s="69">
        <f>Board!ED10</f>
        <v>2463</v>
      </c>
      <c r="BH10" s="9">
        <v>356</v>
      </c>
      <c r="BI10" s="9">
        <v>508</v>
      </c>
      <c r="BJ10" s="9">
        <f>BH10+BI10</f>
        <v>864</v>
      </c>
      <c r="BK10" s="9">
        <v>283</v>
      </c>
      <c r="BL10" s="9">
        <v>245</v>
      </c>
      <c r="BM10" s="9">
        <f>BK10+BL10</f>
        <v>528</v>
      </c>
      <c r="BN10" s="69">
        <v>586</v>
      </c>
      <c r="BO10" s="69">
        <v>485</v>
      </c>
      <c r="BP10" s="9">
        <f>BN10+BO10</f>
        <v>1071</v>
      </c>
      <c r="BQ10" s="97"/>
      <c r="BR10" s="97"/>
      <c r="BS10" s="98"/>
      <c r="BT10" s="70">
        <f aca="true" t="shared" si="14" ref="BT10:BT51">IF(BE10=0,"",BH10/BE10%)</f>
        <v>29.06122448979592</v>
      </c>
      <c r="BU10" s="70">
        <f aca="true" t="shared" si="15" ref="BU10:BU51">IF(BF10=0,"",BI10/BF10%)</f>
        <v>41.033925686591274</v>
      </c>
      <c r="BV10" s="70">
        <f aca="true" t="shared" si="16" ref="BV10:BV51">IF(BG10=0,"",BJ10/BG10%)</f>
        <v>35.07917174177832</v>
      </c>
      <c r="BW10" s="70">
        <f aca="true" t="shared" si="17" ref="BW10:BW51">IF(BE10=0,"",BK10/BE10%)</f>
        <v>23.102040816326532</v>
      </c>
      <c r="BX10" s="70">
        <f aca="true" t="shared" si="18" ref="BX10:BX51">IF(BF10=0,"",BL10/BF10%)</f>
        <v>19.789983844911145</v>
      </c>
      <c r="BY10" s="70">
        <f aca="true" t="shared" si="19" ref="BY10:BY51">IF(BG10=0,"",BM10/BG10%)</f>
        <v>21.43727161997564</v>
      </c>
      <c r="BZ10" s="70">
        <f aca="true" t="shared" si="20" ref="BZ10:BZ51">IF(BE10=0,"",BN10/BE10%)</f>
        <v>47.83673469387755</v>
      </c>
      <c r="CA10" s="70">
        <f aca="true" t="shared" si="21" ref="CA10:CA51">IF(BF10=0,"",BO10/BF10%)</f>
        <v>39.17609046849758</v>
      </c>
      <c r="CB10" s="70">
        <f aca="true" t="shared" si="22" ref="CB10:CB51">IF(BG10=0,"",BP10/BG10%)</f>
        <v>43.48355663824604</v>
      </c>
      <c r="CC10" s="103"/>
      <c r="CD10" s="103"/>
      <c r="CE10" s="103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</row>
    <row r="11" spans="1:110" ht="14.25">
      <c r="A11" s="171" t="s">
        <v>10</v>
      </c>
      <c r="B11" s="171"/>
      <c r="C11" s="206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8"/>
      <c r="R11" s="204">
        <f t="shared" si="1"/>
      </c>
      <c r="S11" s="204">
        <f t="shared" si="1"/>
      </c>
      <c r="T11" s="204">
        <f t="shared" si="1"/>
      </c>
      <c r="U11" s="204">
        <f t="shared" si="2"/>
      </c>
      <c r="V11" s="204">
        <f t="shared" si="2"/>
      </c>
      <c r="W11" s="204">
        <f t="shared" si="2"/>
      </c>
      <c r="X11" s="204">
        <f t="shared" si="3"/>
      </c>
      <c r="Y11" s="204">
        <f t="shared" si="3"/>
      </c>
      <c r="Z11" s="204">
        <f t="shared" si="3"/>
      </c>
      <c r="AA11" s="204">
        <f t="shared" si="4"/>
      </c>
      <c r="AB11" s="204">
        <f t="shared" si="4"/>
      </c>
      <c r="AC11" s="205">
        <f t="shared" si="4"/>
      </c>
      <c r="AD11" s="206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8"/>
      <c r="AS11" s="204">
        <f t="shared" si="5"/>
      </c>
      <c r="AT11" s="204">
        <f t="shared" si="6"/>
      </c>
      <c r="AU11" s="204">
        <f t="shared" si="7"/>
      </c>
      <c r="AV11" s="204">
        <f t="shared" si="8"/>
      </c>
      <c r="AW11" s="204">
        <f t="shared" si="9"/>
      </c>
      <c r="AX11" s="204">
        <f t="shared" si="10"/>
      </c>
      <c r="AY11" s="204">
        <f t="shared" si="11"/>
      </c>
      <c r="AZ11" s="204">
        <f t="shared" si="12"/>
      </c>
      <c r="BA11" s="204">
        <f t="shared" si="13"/>
      </c>
      <c r="BB11" s="204">
        <f aca="true" t="shared" si="23" ref="BB11:BD13">IF(AD11=0,"",AP11/AD11%)</f>
      </c>
      <c r="BC11" s="204">
        <f t="shared" si="23"/>
      </c>
      <c r="BD11" s="205">
        <f t="shared" si="23"/>
      </c>
      <c r="BE11" s="206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8"/>
      <c r="BT11" s="204">
        <f t="shared" si="14"/>
      </c>
      <c r="BU11" s="204">
        <f t="shared" si="15"/>
      </c>
      <c r="BV11" s="204">
        <f t="shared" si="16"/>
      </c>
      <c r="BW11" s="204">
        <f t="shared" si="17"/>
      </c>
      <c r="BX11" s="204">
        <f t="shared" si="18"/>
      </c>
      <c r="BY11" s="204">
        <f t="shared" si="19"/>
      </c>
      <c r="BZ11" s="204">
        <f t="shared" si="20"/>
      </c>
      <c r="CA11" s="204">
        <f t="shared" si="21"/>
      </c>
      <c r="CB11" s="204">
        <f t="shared" si="22"/>
      </c>
      <c r="CC11" s="204">
        <f aca="true" t="shared" si="24" ref="CC11:CC51">IF(BE11=0,"",BQ11/BE11%)</f>
      </c>
      <c r="CD11" s="204">
        <f aca="true" t="shared" si="25" ref="CD11:CD51">IF(BF11=0,"",BR11/BF11%)</f>
      </c>
      <c r="CE11" s="205">
        <f aca="true" t="shared" si="26" ref="CE11:CE51">IF(BG11=0,"",BS11/BG11%)</f>
      </c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</row>
    <row r="12" spans="1:110" ht="31.5" customHeight="1">
      <c r="A12" s="4">
        <v>3</v>
      </c>
      <c r="B12" s="6" t="str">
        <f>Board!B12</f>
        <v>Board of Intermediate Education, Andhra Pradesh</v>
      </c>
      <c r="C12" s="69">
        <f>Board!AP12</f>
        <v>201548</v>
      </c>
      <c r="D12" s="69">
        <f>Board!AQ12</f>
        <v>219499</v>
      </c>
      <c r="E12" s="69">
        <f>Board!AR12</f>
        <v>421047</v>
      </c>
      <c r="F12" s="9">
        <v>7268</v>
      </c>
      <c r="G12" s="9">
        <v>8100</v>
      </c>
      <c r="H12" s="9">
        <f aca="true" t="shared" si="27" ref="H12:H51">F12+G12</f>
        <v>15368</v>
      </c>
      <c r="I12" s="9">
        <v>40367</v>
      </c>
      <c r="J12" s="9">
        <v>37715</v>
      </c>
      <c r="K12" s="9">
        <f t="shared" si="0"/>
        <v>78082</v>
      </c>
      <c r="L12" s="69">
        <v>141783</v>
      </c>
      <c r="M12" s="69">
        <v>143693</v>
      </c>
      <c r="N12" s="9">
        <f aca="true" t="shared" si="28" ref="N12:N41">L12+M12</f>
        <v>285476</v>
      </c>
      <c r="O12" s="69">
        <v>12130</v>
      </c>
      <c r="P12" s="69">
        <v>6977</v>
      </c>
      <c r="Q12" s="9">
        <f>O12+P12</f>
        <v>19107</v>
      </c>
      <c r="R12" s="70">
        <f t="shared" si="1"/>
        <v>3.606088872129716</v>
      </c>
      <c r="S12" s="70">
        <f t="shared" si="1"/>
        <v>3.6902218233340474</v>
      </c>
      <c r="T12" s="70">
        <f t="shared" si="1"/>
        <v>3.6499488180654414</v>
      </c>
      <c r="U12" s="70">
        <f t="shared" si="2"/>
        <v>20.028479568142576</v>
      </c>
      <c r="V12" s="70">
        <f t="shared" si="2"/>
        <v>17.182310625560937</v>
      </c>
      <c r="W12" s="70">
        <f t="shared" si="2"/>
        <v>18.5447230356706</v>
      </c>
      <c r="X12" s="70">
        <f t="shared" si="3"/>
        <v>70.34701411078254</v>
      </c>
      <c r="Y12" s="70">
        <f t="shared" si="3"/>
        <v>65.46407956300484</v>
      </c>
      <c r="Z12" s="70">
        <f t="shared" si="3"/>
        <v>67.80145684448529</v>
      </c>
      <c r="AA12" s="70">
        <f t="shared" si="4"/>
        <v>6.018417448945164</v>
      </c>
      <c r="AB12" s="70">
        <f t="shared" si="4"/>
        <v>3.1786021804199565</v>
      </c>
      <c r="AC12" s="70">
        <f t="shared" si="4"/>
        <v>4.537973195391488</v>
      </c>
      <c r="AD12" s="69">
        <f>Board!CI12</f>
        <v>31779</v>
      </c>
      <c r="AE12" s="69">
        <f>Board!CJ12</f>
        <v>34515</v>
      </c>
      <c r="AF12" s="69">
        <f>Board!CK12</f>
        <v>66294</v>
      </c>
      <c r="AG12" s="9">
        <v>2026</v>
      </c>
      <c r="AH12" s="9">
        <v>2323</v>
      </c>
      <c r="AI12" s="9">
        <f aca="true" t="shared" si="29" ref="AI12:AI51">AG12+AH12</f>
        <v>4349</v>
      </c>
      <c r="AJ12" s="9">
        <v>8003</v>
      </c>
      <c r="AK12" s="9">
        <v>7834</v>
      </c>
      <c r="AL12" s="9">
        <f aca="true" t="shared" si="30" ref="AL12:AL51">AJ12+AK12</f>
        <v>15837</v>
      </c>
      <c r="AM12" s="69">
        <v>18390</v>
      </c>
      <c r="AN12" s="69">
        <v>22052</v>
      </c>
      <c r="AO12" s="9">
        <f aca="true" t="shared" si="31" ref="AO12:AO42">AM12+AN12</f>
        <v>40442</v>
      </c>
      <c r="AP12" s="69">
        <v>3360</v>
      </c>
      <c r="AQ12" s="69">
        <v>2306</v>
      </c>
      <c r="AR12" s="9">
        <f>AP12+AQ12</f>
        <v>5666</v>
      </c>
      <c r="AS12" s="70">
        <f t="shared" si="5"/>
        <v>6.375279272475534</v>
      </c>
      <c r="AT12" s="70">
        <f t="shared" si="6"/>
        <v>6.730407069390121</v>
      </c>
      <c r="AU12" s="70">
        <f t="shared" si="7"/>
        <v>6.560171357890608</v>
      </c>
      <c r="AV12" s="70">
        <f t="shared" si="8"/>
        <v>25.183297145913965</v>
      </c>
      <c r="AW12" s="70">
        <f t="shared" si="9"/>
        <v>22.69737795161524</v>
      </c>
      <c r="AX12" s="70">
        <f t="shared" si="10"/>
        <v>23.88903973210245</v>
      </c>
      <c r="AY12" s="70">
        <f t="shared" si="11"/>
        <v>57.86840366279618</v>
      </c>
      <c r="AZ12" s="70">
        <f t="shared" si="12"/>
        <v>63.89106185716356</v>
      </c>
      <c r="BA12" s="70">
        <f t="shared" si="13"/>
        <v>61.004012429480795</v>
      </c>
      <c r="BB12" s="70">
        <f t="shared" si="23"/>
        <v>10.57301991881431</v>
      </c>
      <c r="BC12" s="70">
        <f t="shared" si="23"/>
        <v>6.6811531218310884</v>
      </c>
      <c r="BD12" s="70">
        <f t="shared" si="23"/>
        <v>8.546776480526141</v>
      </c>
      <c r="BE12" s="69">
        <f>Board!EB12</f>
        <v>8835</v>
      </c>
      <c r="BF12" s="69">
        <f>Board!EC12</f>
        <v>8762</v>
      </c>
      <c r="BG12" s="69">
        <f>Board!ED12</f>
        <v>17597</v>
      </c>
      <c r="BH12" s="9">
        <v>1067</v>
      </c>
      <c r="BI12" s="9">
        <v>1041</v>
      </c>
      <c r="BJ12" s="9">
        <f aca="true" t="shared" si="32" ref="BJ12:BJ51">BH12+BI12</f>
        <v>2108</v>
      </c>
      <c r="BK12" s="9">
        <v>1842</v>
      </c>
      <c r="BL12" s="9">
        <v>1399</v>
      </c>
      <c r="BM12" s="9">
        <f aca="true" t="shared" si="33" ref="BM12:BM51">BK12+BL12</f>
        <v>3241</v>
      </c>
      <c r="BN12" s="69">
        <v>4748</v>
      </c>
      <c r="BO12" s="69">
        <v>5203</v>
      </c>
      <c r="BP12" s="9">
        <f aca="true" t="shared" si="34" ref="BP12:BP42">BN12+BO12</f>
        <v>9951</v>
      </c>
      <c r="BQ12" s="69">
        <v>1178</v>
      </c>
      <c r="BR12" s="69">
        <v>1119</v>
      </c>
      <c r="BS12" s="9">
        <f aca="true" t="shared" si="35" ref="BS12:BS49">BQ12+BR12</f>
        <v>2297</v>
      </c>
      <c r="BT12" s="70">
        <f t="shared" si="14"/>
        <v>12.076966610073573</v>
      </c>
      <c r="BU12" s="70">
        <f t="shared" si="15"/>
        <v>11.880849121205204</v>
      </c>
      <c r="BV12" s="70">
        <f t="shared" si="16"/>
        <v>11.979314655907258</v>
      </c>
      <c r="BW12" s="70">
        <f t="shared" si="17"/>
        <v>20.848896434634977</v>
      </c>
      <c r="BX12" s="70">
        <f t="shared" si="18"/>
        <v>15.966674275279615</v>
      </c>
      <c r="BY12" s="70">
        <f t="shared" si="19"/>
        <v>18.417912144115473</v>
      </c>
      <c r="BZ12" s="70">
        <f t="shared" si="20"/>
        <v>53.74080362195812</v>
      </c>
      <c r="CA12" s="70">
        <f t="shared" si="21"/>
        <v>59.38141976717644</v>
      </c>
      <c r="CB12" s="70">
        <f t="shared" si="22"/>
        <v>56.549411831562196</v>
      </c>
      <c r="CC12" s="70">
        <f t="shared" si="24"/>
        <v>13.333333333333334</v>
      </c>
      <c r="CD12" s="70">
        <f t="shared" si="25"/>
        <v>12.771056836338735</v>
      </c>
      <c r="CE12" s="70">
        <f t="shared" si="26"/>
        <v>13.053361368415072</v>
      </c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</row>
    <row r="13" spans="1:110" ht="30.75" customHeight="1">
      <c r="A13" s="4">
        <v>4</v>
      </c>
      <c r="B13" s="6" t="str">
        <f>Board!B13</f>
        <v>Assam Higher Secondary Education Council</v>
      </c>
      <c r="C13" s="69">
        <f>Board!AP13</f>
        <v>103437</v>
      </c>
      <c r="D13" s="69">
        <f>Board!AQ13</f>
        <v>94441</v>
      </c>
      <c r="E13" s="69">
        <f>Board!AR13</f>
        <v>197878</v>
      </c>
      <c r="F13" s="9">
        <v>70880</v>
      </c>
      <c r="G13" s="9">
        <v>81713</v>
      </c>
      <c r="H13" s="9">
        <f t="shared" si="27"/>
        <v>152593</v>
      </c>
      <c r="I13" s="9">
        <v>10229</v>
      </c>
      <c r="J13" s="9">
        <v>3483</v>
      </c>
      <c r="K13" s="9">
        <f t="shared" si="0"/>
        <v>13712</v>
      </c>
      <c r="L13" s="69">
        <v>21782</v>
      </c>
      <c r="M13" s="69">
        <v>9052</v>
      </c>
      <c r="N13" s="9">
        <f t="shared" si="28"/>
        <v>30834</v>
      </c>
      <c r="O13" s="69">
        <v>546</v>
      </c>
      <c r="P13" s="69">
        <v>193</v>
      </c>
      <c r="Q13" s="9">
        <f>O13+P13</f>
        <v>739</v>
      </c>
      <c r="R13" s="70">
        <f t="shared" si="1"/>
        <v>68.52480253680986</v>
      </c>
      <c r="S13" s="70">
        <f t="shared" si="1"/>
        <v>86.52280259632998</v>
      </c>
      <c r="T13" s="70">
        <f t="shared" si="1"/>
        <v>77.11468682723698</v>
      </c>
      <c r="U13" s="70">
        <f t="shared" si="2"/>
        <v>9.889111246459198</v>
      </c>
      <c r="V13" s="70">
        <f t="shared" si="2"/>
        <v>3.688016857085376</v>
      </c>
      <c r="W13" s="70">
        <f t="shared" si="2"/>
        <v>6.929522230869526</v>
      </c>
      <c r="X13" s="70">
        <f t="shared" si="3"/>
        <v>21.058228680259482</v>
      </c>
      <c r="Y13" s="70">
        <f t="shared" si="3"/>
        <v>9.584820152264378</v>
      </c>
      <c r="Z13" s="70">
        <f t="shared" si="3"/>
        <v>15.582328505442748</v>
      </c>
      <c r="AA13" s="70">
        <f t="shared" si="4"/>
        <v>0.5278575364714755</v>
      </c>
      <c r="AB13" s="70">
        <f t="shared" si="4"/>
        <v>0.20436039432026346</v>
      </c>
      <c r="AC13" s="70">
        <f t="shared" si="4"/>
        <v>0.3734624364507424</v>
      </c>
      <c r="AD13" s="69">
        <f>Board!CI13</f>
        <v>8979</v>
      </c>
      <c r="AE13" s="69">
        <f>Board!CJ13</f>
        <v>7660</v>
      </c>
      <c r="AF13" s="69">
        <f>Board!CK13</f>
        <v>16639</v>
      </c>
      <c r="AG13" s="9">
        <v>6490</v>
      </c>
      <c r="AH13" s="9">
        <v>6734</v>
      </c>
      <c r="AI13" s="9">
        <f t="shared" si="29"/>
        <v>13224</v>
      </c>
      <c r="AJ13" s="9">
        <v>945</v>
      </c>
      <c r="AK13" s="9">
        <v>279</v>
      </c>
      <c r="AL13" s="9">
        <f t="shared" si="30"/>
        <v>1224</v>
      </c>
      <c r="AM13" s="69">
        <v>1483</v>
      </c>
      <c r="AN13" s="69">
        <v>626</v>
      </c>
      <c r="AO13" s="9">
        <f t="shared" si="31"/>
        <v>2109</v>
      </c>
      <c r="AP13" s="69">
        <v>61</v>
      </c>
      <c r="AQ13" s="69">
        <v>21</v>
      </c>
      <c r="AR13" s="9">
        <f>AP13+AQ13</f>
        <v>82</v>
      </c>
      <c r="AS13" s="70">
        <f t="shared" si="5"/>
        <v>72.27976389352933</v>
      </c>
      <c r="AT13" s="70">
        <f t="shared" si="6"/>
        <v>87.911227154047</v>
      </c>
      <c r="AU13" s="70">
        <f t="shared" si="7"/>
        <v>79.47593004387284</v>
      </c>
      <c r="AV13" s="70">
        <f t="shared" si="8"/>
        <v>10.524557300367524</v>
      </c>
      <c r="AW13" s="70">
        <f t="shared" si="9"/>
        <v>3.6422976501305486</v>
      </c>
      <c r="AX13" s="70">
        <f t="shared" si="10"/>
        <v>7.356211310775889</v>
      </c>
      <c r="AY13" s="70">
        <f t="shared" si="11"/>
        <v>16.516315848089988</v>
      </c>
      <c r="AZ13" s="70">
        <f t="shared" si="12"/>
        <v>8.172323759791123</v>
      </c>
      <c r="BA13" s="70">
        <f t="shared" si="13"/>
        <v>12.675040567341789</v>
      </c>
      <c r="BB13" s="70">
        <f t="shared" si="23"/>
        <v>0.6793629580131417</v>
      </c>
      <c r="BC13" s="70">
        <f t="shared" si="23"/>
        <v>0.27415143603133163</v>
      </c>
      <c r="BD13" s="70">
        <f t="shared" si="23"/>
        <v>0.4928180780094958</v>
      </c>
      <c r="BE13" s="69">
        <f>Board!EB13</f>
        <v>17521</v>
      </c>
      <c r="BF13" s="69">
        <f>Board!EC13</f>
        <v>15781</v>
      </c>
      <c r="BG13" s="69">
        <f>Board!ED13</f>
        <v>33302</v>
      </c>
      <c r="BH13" s="9">
        <v>12838</v>
      </c>
      <c r="BI13" s="9">
        <v>13704</v>
      </c>
      <c r="BJ13" s="9">
        <f t="shared" si="32"/>
        <v>26542</v>
      </c>
      <c r="BK13" s="9">
        <v>1276</v>
      </c>
      <c r="BL13" s="9">
        <v>400</v>
      </c>
      <c r="BM13" s="9">
        <f t="shared" si="33"/>
        <v>1676</v>
      </c>
      <c r="BN13" s="69">
        <v>3328</v>
      </c>
      <c r="BO13" s="69">
        <v>1655</v>
      </c>
      <c r="BP13" s="9">
        <f t="shared" si="34"/>
        <v>4983</v>
      </c>
      <c r="BQ13" s="69">
        <v>79</v>
      </c>
      <c r="BR13" s="69">
        <v>22</v>
      </c>
      <c r="BS13" s="9">
        <f t="shared" si="35"/>
        <v>101</v>
      </c>
      <c r="BT13" s="70">
        <f t="shared" si="14"/>
        <v>73.27207351178585</v>
      </c>
      <c r="BU13" s="70">
        <f t="shared" si="15"/>
        <v>86.83860338381598</v>
      </c>
      <c r="BV13" s="70">
        <f t="shared" si="16"/>
        <v>79.70091886373191</v>
      </c>
      <c r="BW13" s="70">
        <f t="shared" si="17"/>
        <v>7.2826893442155125</v>
      </c>
      <c r="BX13" s="70">
        <f t="shared" si="18"/>
        <v>2.5346936189088143</v>
      </c>
      <c r="BY13" s="70">
        <f t="shared" si="19"/>
        <v>5.032730766920906</v>
      </c>
      <c r="BZ13" s="70">
        <f t="shared" si="20"/>
        <v>18.994349637577763</v>
      </c>
      <c r="CA13" s="70">
        <f t="shared" si="21"/>
        <v>10.48729484823522</v>
      </c>
      <c r="CB13" s="70">
        <f t="shared" si="22"/>
        <v>14.963065281364484</v>
      </c>
      <c r="CC13" s="70">
        <f t="shared" si="24"/>
        <v>0.4508875064208664</v>
      </c>
      <c r="CD13" s="70">
        <f t="shared" si="25"/>
        <v>0.1394081490399848</v>
      </c>
      <c r="CE13" s="70">
        <f t="shared" si="26"/>
        <v>0.30328508798270376</v>
      </c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</row>
    <row r="14" spans="1:110" ht="30.75" customHeight="1">
      <c r="A14" s="4">
        <v>5</v>
      </c>
      <c r="B14" s="80" t="s">
        <v>90</v>
      </c>
      <c r="C14" s="69">
        <f>Board!AP44</f>
        <v>676</v>
      </c>
      <c r="D14" s="69">
        <f>Board!AQ44</f>
        <v>428</v>
      </c>
      <c r="E14" s="69">
        <f>Board!AR44</f>
        <v>1104</v>
      </c>
      <c r="F14" s="9">
        <v>676</v>
      </c>
      <c r="G14" s="9">
        <v>428</v>
      </c>
      <c r="H14" s="9">
        <f t="shared" si="27"/>
        <v>1104</v>
      </c>
      <c r="I14" s="98"/>
      <c r="J14" s="98"/>
      <c r="K14" s="98"/>
      <c r="L14" s="97"/>
      <c r="M14" s="97"/>
      <c r="N14" s="98"/>
      <c r="O14" s="97"/>
      <c r="P14" s="97"/>
      <c r="Q14" s="98"/>
      <c r="R14" s="70">
        <f t="shared" si="1"/>
        <v>100</v>
      </c>
      <c r="S14" s="70">
        <f t="shared" si="1"/>
        <v>100</v>
      </c>
      <c r="T14" s="70">
        <f t="shared" si="1"/>
        <v>100.00000000000001</v>
      </c>
      <c r="U14" s="103"/>
      <c r="V14" s="103"/>
      <c r="W14" s="103"/>
      <c r="X14" s="103"/>
      <c r="Y14" s="103"/>
      <c r="Z14" s="103"/>
      <c r="AA14" s="103"/>
      <c r="AB14" s="103"/>
      <c r="AC14" s="103"/>
      <c r="AD14" s="69">
        <f>Board!CI44</f>
        <v>54</v>
      </c>
      <c r="AE14" s="69">
        <f>Board!CJ44</f>
        <v>57</v>
      </c>
      <c r="AF14" s="69">
        <f>Board!CK44</f>
        <v>111</v>
      </c>
      <c r="AG14" s="9">
        <v>54</v>
      </c>
      <c r="AH14" s="9">
        <v>57</v>
      </c>
      <c r="AI14" s="9">
        <f t="shared" si="29"/>
        <v>111</v>
      </c>
      <c r="AJ14" s="98"/>
      <c r="AK14" s="98"/>
      <c r="AL14" s="98"/>
      <c r="AM14" s="97"/>
      <c r="AN14" s="97"/>
      <c r="AO14" s="98"/>
      <c r="AP14" s="97"/>
      <c r="AQ14" s="97"/>
      <c r="AR14" s="98"/>
      <c r="AS14" s="70">
        <f t="shared" si="5"/>
        <v>100</v>
      </c>
      <c r="AT14" s="70">
        <f t="shared" si="6"/>
        <v>100.00000000000001</v>
      </c>
      <c r="AU14" s="70">
        <f t="shared" si="7"/>
        <v>99.99999999999999</v>
      </c>
      <c r="AV14" s="103"/>
      <c r="AW14" s="103"/>
      <c r="AX14" s="103"/>
      <c r="AY14" s="103"/>
      <c r="AZ14" s="103"/>
      <c r="BA14" s="103"/>
      <c r="BB14" s="103"/>
      <c r="BC14" s="103"/>
      <c r="BD14" s="103"/>
      <c r="BE14" s="69">
        <f>Board!EB44</f>
        <v>8</v>
      </c>
      <c r="BF14" s="69">
        <f>Board!EC44</f>
        <v>14</v>
      </c>
      <c r="BG14" s="69">
        <f>Board!ED44</f>
        <v>22</v>
      </c>
      <c r="BH14" s="9">
        <v>8</v>
      </c>
      <c r="BI14" s="9">
        <v>14</v>
      </c>
      <c r="BJ14" s="9">
        <f t="shared" si="32"/>
        <v>22</v>
      </c>
      <c r="BK14" s="98"/>
      <c r="BL14" s="98"/>
      <c r="BM14" s="98"/>
      <c r="BN14" s="97"/>
      <c r="BO14" s="97"/>
      <c r="BP14" s="98"/>
      <c r="BQ14" s="97"/>
      <c r="BR14" s="97"/>
      <c r="BS14" s="98"/>
      <c r="BT14" s="70">
        <f t="shared" si="14"/>
        <v>100</v>
      </c>
      <c r="BU14" s="70">
        <f t="shared" si="15"/>
        <v>99.99999999999999</v>
      </c>
      <c r="BV14" s="70">
        <f t="shared" si="16"/>
        <v>100</v>
      </c>
      <c r="BW14" s="103"/>
      <c r="BX14" s="103"/>
      <c r="BY14" s="103"/>
      <c r="BZ14" s="103"/>
      <c r="CA14" s="103"/>
      <c r="CB14" s="103"/>
      <c r="CC14" s="103"/>
      <c r="CD14" s="103"/>
      <c r="CE14" s="103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</row>
    <row r="15" spans="1:110" ht="30.75" customHeight="1">
      <c r="A15" s="4">
        <v>6</v>
      </c>
      <c r="B15" s="80" t="s">
        <v>118</v>
      </c>
      <c r="C15" s="69">
        <f>Board!AP45</f>
        <v>1373</v>
      </c>
      <c r="D15" s="69">
        <f>Board!AQ45</f>
        <v>988</v>
      </c>
      <c r="E15" s="69">
        <f>Board!AR45</f>
        <v>2361</v>
      </c>
      <c r="F15" s="98"/>
      <c r="G15" s="98"/>
      <c r="H15" s="98"/>
      <c r="I15" s="98"/>
      <c r="J15" s="98"/>
      <c r="K15" s="98"/>
      <c r="L15" s="97"/>
      <c r="M15" s="97"/>
      <c r="N15" s="98"/>
      <c r="O15" s="97"/>
      <c r="P15" s="97"/>
      <c r="Q15" s="98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97"/>
      <c r="AE15" s="97"/>
      <c r="AF15" s="97"/>
      <c r="AG15" s="98"/>
      <c r="AH15" s="98"/>
      <c r="AI15" s="98"/>
      <c r="AJ15" s="98"/>
      <c r="AK15" s="98"/>
      <c r="AL15" s="98"/>
      <c r="AM15" s="97"/>
      <c r="AN15" s="97"/>
      <c r="AO15" s="98"/>
      <c r="AP15" s="97"/>
      <c r="AQ15" s="97"/>
      <c r="AR15" s="98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97"/>
      <c r="BF15" s="97"/>
      <c r="BG15" s="97"/>
      <c r="BH15" s="98"/>
      <c r="BI15" s="98"/>
      <c r="BJ15" s="98"/>
      <c r="BK15" s="98"/>
      <c r="BL15" s="98"/>
      <c r="BM15" s="98"/>
      <c r="BN15" s="97"/>
      <c r="BO15" s="97"/>
      <c r="BP15" s="98"/>
      <c r="BQ15" s="97"/>
      <c r="BR15" s="97"/>
      <c r="BS15" s="98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</row>
    <row r="16" spans="1:110" ht="18" customHeight="1">
      <c r="A16" s="4">
        <v>7</v>
      </c>
      <c r="B16" s="6" t="str">
        <f>Board!B14</f>
        <v>Banasthali Vidyapith, Rajasthan#</v>
      </c>
      <c r="C16" s="69">
        <f>Board!AP14</f>
        <v>30</v>
      </c>
      <c r="D16" s="69">
        <f>Board!AQ14</f>
        <v>473</v>
      </c>
      <c r="E16" s="69">
        <f>Board!AR14</f>
        <v>503</v>
      </c>
      <c r="F16" s="47">
        <v>16</v>
      </c>
      <c r="G16" s="47">
        <v>95</v>
      </c>
      <c r="H16" s="9">
        <f t="shared" si="27"/>
        <v>111</v>
      </c>
      <c r="I16" s="9">
        <v>0</v>
      </c>
      <c r="J16" s="9">
        <v>137</v>
      </c>
      <c r="K16" s="9">
        <f t="shared" si="0"/>
        <v>137</v>
      </c>
      <c r="L16" s="47">
        <v>14</v>
      </c>
      <c r="M16" s="47">
        <v>202</v>
      </c>
      <c r="N16" s="9">
        <f t="shared" si="28"/>
        <v>216</v>
      </c>
      <c r="O16" s="47">
        <v>0</v>
      </c>
      <c r="P16" s="143">
        <v>39</v>
      </c>
      <c r="Q16" s="9">
        <f>O16+P16</f>
        <v>39</v>
      </c>
      <c r="R16" s="70">
        <f t="shared" si="1"/>
        <v>53.333333333333336</v>
      </c>
      <c r="S16" s="70">
        <f t="shared" si="1"/>
        <v>20.084566596194502</v>
      </c>
      <c r="T16" s="70">
        <f t="shared" si="1"/>
        <v>22.067594433399602</v>
      </c>
      <c r="U16" s="70">
        <f t="shared" si="2"/>
        <v>0</v>
      </c>
      <c r="V16" s="70">
        <f t="shared" si="2"/>
        <v>28.964059196617335</v>
      </c>
      <c r="W16" s="70">
        <f t="shared" si="2"/>
        <v>27.236580516898606</v>
      </c>
      <c r="X16" s="70">
        <f t="shared" si="3"/>
        <v>46.66666666666667</v>
      </c>
      <c r="Y16" s="70">
        <f t="shared" si="3"/>
        <v>42.7061310782241</v>
      </c>
      <c r="Z16" s="70">
        <f t="shared" si="3"/>
        <v>42.94234592445328</v>
      </c>
      <c r="AA16" s="70">
        <f aca="true" t="shared" si="36" ref="AA16:AC17">IF(C16=0,"",O16/C16%)</f>
        <v>0</v>
      </c>
      <c r="AB16" s="70">
        <f t="shared" si="36"/>
        <v>8.24524312896406</v>
      </c>
      <c r="AC16" s="70">
        <f t="shared" si="36"/>
        <v>7.753479125248509</v>
      </c>
      <c r="AD16" s="69">
        <f>Board!CI14</f>
        <v>0</v>
      </c>
      <c r="AE16" s="69">
        <f>Board!CJ14</f>
        <v>16</v>
      </c>
      <c r="AF16" s="69">
        <f>Board!CK14</f>
        <v>16</v>
      </c>
      <c r="AG16" s="47">
        <v>0</v>
      </c>
      <c r="AH16" s="47">
        <v>4</v>
      </c>
      <c r="AI16" s="9">
        <f t="shared" si="29"/>
        <v>4</v>
      </c>
      <c r="AJ16" s="9">
        <v>0</v>
      </c>
      <c r="AK16" s="9">
        <v>4</v>
      </c>
      <c r="AL16" s="9">
        <f t="shared" si="30"/>
        <v>4</v>
      </c>
      <c r="AM16" s="47">
        <v>0</v>
      </c>
      <c r="AN16" s="47">
        <v>7</v>
      </c>
      <c r="AO16" s="9">
        <f t="shared" si="31"/>
        <v>7</v>
      </c>
      <c r="AP16" s="47">
        <v>0</v>
      </c>
      <c r="AQ16" s="79">
        <v>1</v>
      </c>
      <c r="AR16" s="9">
        <f>AP16+AQ16</f>
        <v>1</v>
      </c>
      <c r="AS16" s="70">
        <v>0</v>
      </c>
      <c r="AT16" s="70">
        <f t="shared" si="6"/>
        <v>25</v>
      </c>
      <c r="AU16" s="70">
        <f t="shared" si="7"/>
        <v>25</v>
      </c>
      <c r="AV16" s="70">
        <v>0</v>
      </c>
      <c r="AW16" s="70">
        <f t="shared" si="9"/>
        <v>25</v>
      </c>
      <c r="AX16" s="70">
        <f t="shared" si="10"/>
        <v>25</v>
      </c>
      <c r="AY16" s="70">
        <v>0</v>
      </c>
      <c r="AZ16" s="70">
        <f t="shared" si="12"/>
        <v>43.75</v>
      </c>
      <c r="BA16" s="70">
        <f t="shared" si="13"/>
        <v>43.75</v>
      </c>
      <c r="BB16" s="70">
        <v>0</v>
      </c>
      <c r="BC16" s="70">
        <f aca="true" t="shared" si="37" ref="BB16:BD17">IF(AE16=0,"",AQ16/AE16%)</f>
        <v>6.25</v>
      </c>
      <c r="BD16" s="70">
        <f t="shared" si="37"/>
        <v>6.25</v>
      </c>
      <c r="BE16" s="69">
        <f>Board!EB14</f>
        <v>0</v>
      </c>
      <c r="BF16" s="69">
        <f>Board!EC14</f>
        <v>11</v>
      </c>
      <c r="BG16" s="69">
        <f>Board!ED14</f>
        <v>11</v>
      </c>
      <c r="BH16" s="47">
        <v>0</v>
      </c>
      <c r="BI16" s="47">
        <v>4</v>
      </c>
      <c r="BJ16" s="9">
        <f t="shared" si="32"/>
        <v>4</v>
      </c>
      <c r="BK16" s="9">
        <v>0</v>
      </c>
      <c r="BL16" s="9">
        <v>1</v>
      </c>
      <c r="BM16" s="9">
        <f t="shared" si="33"/>
        <v>1</v>
      </c>
      <c r="BN16" s="47">
        <v>0</v>
      </c>
      <c r="BO16" s="47">
        <v>5</v>
      </c>
      <c r="BP16" s="9">
        <f t="shared" si="34"/>
        <v>5</v>
      </c>
      <c r="BQ16" s="47">
        <v>0</v>
      </c>
      <c r="BR16" s="83">
        <v>1</v>
      </c>
      <c r="BS16" s="9">
        <f t="shared" si="35"/>
        <v>1</v>
      </c>
      <c r="BT16" s="70">
        <f t="shared" si="14"/>
      </c>
      <c r="BU16" s="70">
        <f t="shared" si="15"/>
        <v>36.36363636363637</v>
      </c>
      <c r="BV16" s="70">
        <f t="shared" si="16"/>
        <v>36.36363636363637</v>
      </c>
      <c r="BW16" s="70">
        <f t="shared" si="17"/>
      </c>
      <c r="BX16" s="70">
        <f t="shared" si="18"/>
        <v>9.090909090909092</v>
      </c>
      <c r="BY16" s="70">
        <f t="shared" si="19"/>
        <v>9.090909090909092</v>
      </c>
      <c r="BZ16" s="70">
        <f t="shared" si="20"/>
      </c>
      <c r="CA16" s="70">
        <f t="shared" si="21"/>
        <v>45.45454545454545</v>
      </c>
      <c r="CB16" s="70">
        <f t="shared" si="22"/>
        <v>45.45454545454545</v>
      </c>
      <c r="CC16" s="70">
        <f t="shared" si="24"/>
      </c>
      <c r="CD16" s="70">
        <f t="shared" si="25"/>
        <v>9.090909090909092</v>
      </c>
      <c r="CE16" s="70">
        <f t="shared" si="26"/>
        <v>9.090909090909092</v>
      </c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</row>
    <row r="17" spans="1:110" ht="27.75" customHeight="1">
      <c r="A17" s="4">
        <v>8</v>
      </c>
      <c r="B17" s="6" t="str">
        <f>Board!B15</f>
        <v>Bihar Intermediate Education Council</v>
      </c>
      <c r="C17" s="69">
        <f>Board!AP15</f>
        <v>397867</v>
      </c>
      <c r="D17" s="69">
        <f>Board!AQ15</f>
        <v>269124</v>
      </c>
      <c r="E17" s="69">
        <f>Board!AR15</f>
        <v>666991</v>
      </c>
      <c r="F17" s="9">
        <f>100522+5255</f>
        <v>105777</v>
      </c>
      <c r="G17" s="9">
        <f>156798+9643</f>
        <v>166441</v>
      </c>
      <c r="H17" s="9">
        <f t="shared" si="27"/>
        <v>272218</v>
      </c>
      <c r="I17" s="9">
        <f>35794+235</f>
        <v>36029</v>
      </c>
      <c r="J17" s="9">
        <f>16810+199</f>
        <v>17009</v>
      </c>
      <c r="K17" s="9">
        <f t="shared" si="0"/>
        <v>53038</v>
      </c>
      <c r="L17" s="69">
        <f>255401+149</f>
        <v>255550</v>
      </c>
      <c r="M17" s="69">
        <f>85173+45</f>
        <v>85218</v>
      </c>
      <c r="N17" s="9">
        <f t="shared" si="28"/>
        <v>340768</v>
      </c>
      <c r="O17" s="69">
        <v>511</v>
      </c>
      <c r="P17" s="69">
        <v>456</v>
      </c>
      <c r="Q17" s="9">
        <f>O17+P17</f>
        <v>967</v>
      </c>
      <c r="R17" s="70">
        <f t="shared" si="1"/>
        <v>26.586019951390792</v>
      </c>
      <c r="S17" s="70">
        <f t="shared" si="1"/>
        <v>61.8454690031361</v>
      </c>
      <c r="T17" s="70">
        <f t="shared" si="1"/>
        <v>40.81284455112588</v>
      </c>
      <c r="U17" s="70">
        <f t="shared" si="2"/>
        <v>9.055538659903938</v>
      </c>
      <c r="V17" s="70">
        <f t="shared" si="2"/>
        <v>6.320134956376987</v>
      </c>
      <c r="W17" s="70">
        <f t="shared" si="2"/>
        <v>7.951831434007356</v>
      </c>
      <c r="X17" s="70">
        <f t="shared" si="3"/>
        <v>64.23000650971305</v>
      </c>
      <c r="Y17" s="70">
        <f t="shared" si="3"/>
        <v>31.664957417398675</v>
      </c>
      <c r="Z17" s="70">
        <f t="shared" si="3"/>
        <v>51.090344547377704</v>
      </c>
      <c r="AA17" s="70">
        <f t="shared" si="36"/>
        <v>0.12843487899222605</v>
      </c>
      <c r="AB17" s="70">
        <f t="shared" si="36"/>
        <v>0.16943862308824187</v>
      </c>
      <c r="AC17" s="70">
        <f t="shared" si="36"/>
        <v>0.14497946748906657</v>
      </c>
      <c r="AD17" s="69">
        <f>Board!CI15</f>
        <v>48555</v>
      </c>
      <c r="AE17" s="69">
        <f>Board!CJ15</f>
        <v>24811</v>
      </c>
      <c r="AF17" s="69">
        <f>Board!CK15</f>
        <v>73366</v>
      </c>
      <c r="AG17" s="9">
        <f>17689+735</f>
        <v>18424</v>
      </c>
      <c r="AH17" s="9">
        <f>16602+912</f>
        <v>17514</v>
      </c>
      <c r="AI17" s="9">
        <f t="shared" si="29"/>
        <v>35938</v>
      </c>
      <c r="AJ17" s="9">
        <f>3357+19</f>
        <v>3376</v>
      </c>
      <c r="AK17" s="9">
        <f>937+16</f>
        <v>953</v>
      </c>
      <c r="AL17" s="9">
        <f t="shared" si="30"/>
        <v>4329</v>
      </c>
      <c r="AM17" s="69">
        <f>26673+15</f>
        <v>26688</v>
      </c>
      <c r="AN17" s="69">
        <f>6283+3</f>
        <v>6286</v>
      </c>
      <c r="AO17" s="9">
        <f t="shared" si="31"/>
        <v>32974</v>
      </c>
      <c r="AP17" s="69">
        <v>67</v>
      </c>
      <c r="AQ17" s="69">
        <v>59</v>
      </c>
      <c r="AR17" s="9">
        <f>AP17+AQ17</f>
        <v>126</v>
      </c>
      <c r="AS17" s="70">
        <f t="shared" si="5"/>
        <v>37.94459890845433</v>
      </c>
      <c r="AT17" s="70">
        <f t="shared" si="6"/>
        <v>70.58965781306678</v>
      </c>
      <c r="AU17" s="70">
        <f t="shared" si="7"/>
        <v>48.984543248916395</v>
      </c>
      <c r="AV17" s="70">
        <f t="shared" si="8"/>
        <v>6.952939964988158</v>
      </c>
      <c r="AW17" s="70">
        <f t="shared" si="9"/>
        <v>3.841038249163677</v>
      </c>
      <c r="AX17" s="70">
        <f t="shared" si="10"/>
        <v>5.900553389853611</v>
      </c>
      <c r="AY17" s="70">
        <f t="shared" si="11"/>
        <v>54.96447327772629</v>
      </c>
      <c r="AZ17" s="70">
        <f t="shared" si="12"/>
        <v>25.335536657127886</v>
      </c>
      <c r="BA17" s="70">
        <f t="shared" si="13"/>
        <v>44.944524711719325</v>
      </c>
      <c r="BB17" s="70">
        <f t="shared" si="37"/>
        <v>0.1379878488312223</v>
      </c>
      <c r="BC17" s="70">
        <f t="shared" si="37"/>
        <v>0.2377977509975414</v>
      </c>
      <c r="BD17" s="70">
        <f t="shared" si="37"/>
        <v>0.1717416787067579</v>
      </c>
      <c r="BE17" s="69">
        <f>Board!EB15</f>
        <v>5307</v>
      </c>
      <c r="BF17" s="69">
        <f>Board!EC15</f>
        <v>3431</v>
      </c>
      <c r="BG17" s="69">
        <f>Board!ED15</f>
        <v>8738</v>
      </c>
      <c r="BH17" s="9">
        <f>2327+161</f>
        <v>2488</v>
      </c>
      <c r="BI17" s="9">
        <f>2261+262</f>
        <v>2523</v>
      </c>
      <c r="BJ17" s="9">
        <f t="shared" si="32"/>
        <v>5011</v>
      </c>
      <c r="BK17" s="9">
        <f>448+9</f>
        <v>457</v>
      </c>
      <c r="BL17" s="9">
        <f>188+2</f>
        <v>190</v>
      </c>
      <c r="BM17" s="9">
        <f t="shared" si="33"/>
        <v>647</v>
      </c>
      <c r="BN17" s="69">
        <v>2361</v>
      </c>
      <c r="BO17" s="69">
        <v>717</v>
      </c>
      <c r="BP17" s="9">
        <f t="shared" si="34"/>
        <v>3078</v>
      </c>
      <c r="BQ17" s="69">
        <v>1</v>
      </c>
      <c r="BR17" s="69">
        <v>1</v>
      </c>
      <c r="BS17" s="9">
        <f t="shared" si="35"/>
        <v>2</v>
      </c>
      <c r="BT17" s="70">
        <f t="shared" si="14"/>
        <v>46.88147729413981</v>
      </c>
      <c r="BU17" s="70">
        <f t="shared" si="15"/>
        <v>73.53541241620518</v>
      </c>
      <c r="BV17" s="70">
        <f t="shared" si="16"/>
        <v>57.34721904325933</v>
      </c>
      <c r="BW17" s="70">
        <f t="shared" si="17"/>
        <v>8.611268136423591</v>
      </c>
      <c r="BX17" s="70">
        <f t="shared" si="18"/>
        <v>5.5377440979306325</v>
      </c>
      <c r="BY17" s="70">
        <f t="shared" si="19"/>
        <v>7.404440375371939</v>
      </c>
      <c r="BZ17" s="70">
        <f t="shared" si="20"/>
        <v>44.48841153193895</v>
      </c>
      <c r="CA17" s="70">
        <f t="shared" si="21"/>
        <v>20.897697464296122</v>
      </c>
      <c r="CB17" s="70">
        <f t="shared" si="22"/>
        <v>35.22545204852369</v>
      </c>
      <c r="CC17" s="70">
        <f t="shared" si="24"/>
        <v>0.01884303749764462</v>
      </c>
      <c r="CD17" s="70">
        <f t="shared" si="25"/>
        <v>0.029146021568055958</v>
      </c>
      <c r="CE17" s="70">
        <f t="shared" si="26"/>
        <v>0.022888532845044635</v>
      </c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</row>
    <row r="18" spans="1:110" ht="27" customHeight="1">
      <c r="A18" s="4">
        <v>9</v>
      </c>
      <c r="B18" s="6" t="str">
        <f>Board!B16</f>
        <v>Bihar State Madrasa Education Board</v>
      </c>
      <c r="C18" s="69">
        <f>Board!AP16</f>
        <v>15169</v>
      </c>
      <c r="D18" s="69">
        <f>Board!AQ16</f>
        <v>27253</v>
      </c>
      <c r="E18" s="69">
        <f>Board!AR16</f>
        <v>42422</v>
      </c>
      <c r="F18" s="98"/>
      <c r="G18" s="98"/>
      <c r="H18" s="98"/>
      <c r="I18" s="98"/>
      <c r="J18" s="98"/>
      <c r="K18" s="98"/>
      <c r="L18" s="97"/>
      <c r="M18" s="98"/>
      <c r="N18" s="98"/>
      <c r="O18" s="98"/>
      <c r="P18" s="98"/>
      <c r="Q18" s="144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97"/>
      <c r="AE18" s="97"/>
      <c r="AF18" s="97"/>
      <c r="AG18" s="98"/>
      <c r="AH18" s="98"/>
      <c r="AI18" s="98"/>
      <c r="AJ18" s="98"/>
      <c r="AK18" s="98"/>
      <c r="AL18" s="98"/>
      <c r="AM18" s="97"/>
      <c r="AN18" s="98"/>
      <c r="AO18" s="98"/>
      <c r="AP18" s="98"/>
      <c r="AQ18" s="98"/>
      <c r="AR18" s="98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97"/>
      <c r="BF18" s="97"/>
      <c r="BG18" s="97"/>
      <c r="BH18" s="98"/>
      <c r="BI18" s="98"/>
      <c r="BJ18" s="98"/>
      <c r="BK18" s="98"/>
      <c r="BL18" s="98"/>
      <c r="BM18" s="98"/>
      <c r="BN18" s="97"/>
      <c r="BO18" s="98"/>
      <c r="BP18" s="98"/>
      <c r="BQ18" s="98"/>
      <c r="BR18" s="98"/>
      <c r="BS18" s="98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</row>
    <row r="19" spans="1:110" ht="32.25" customHeight="1">
      <c r="A19" s="4">
        <v>10</v>
      </c>
      <c r="B19" s="6" t="str">
        <f>Board!B17</f>
        <v>Chhattisgarh Board of Secondary Education</v>
      </c>
      <c r="C19" s="69">
        <f>Board!AP17</f>
        <v>108094</v>
      </c>
      <c r="D19" s="69">
        <f>Board!AQ17</f>
        <v>108036</v>
      </c>
      <c r="E19" s="69">
        <f>Board!AR17</f>
        <v>216130</v>
      </c>
      <c r="F19" s="9">
        <v>31732</v>
      </c>
      <c r="G19" s="9">
        <v>42241</v>
      </c>
      <c r="H19" s="9">
        <f t="shared" si="27"/>
        <v>73973</v>
      </c>
      <c r="I19" s="9">
        <v>16161</v>
      </c>
      <c r="J19" s="9">
        <v>12565</v>
      </c>
      <c r="K19" s="9">
        <f t="shared" si="0"/>
        <v>28726</v>
      </c>
      <c r="L19" s="69">
        <v>47534</v>
      </c>
      <c r="M19" s="69">
        <v>43239</v>
      </c>
      <c r="N19" s="9">
        <f t="shared" si="28"/>
        <v>90773</v>
      </c>
      <c r="O19" s="69">
        <v>1170</v>
      </c>
      <c r="P19" s="69">
        <v>876</v>
      </c>
      <c r="Q19" s="9">
        <f>O19+P19</f>
        <v>2046</v>
      </c>
      <c r="R19" s="70">
        <f t="shared" si="1"/>
        <v>29.355930948988842</v>
      </c>
      <c r="S19" s="70">
        <f t="shared" si="1"/>
        <v>39.09900403569181</v>
      </c>
      <c r="T19" s="70">
        <f t="shared" si="1"/>
        <v>34.22616018137232</v>
      </c>
      <c r="U19" s="70">
        <f t="shared" si="2"/>
        <v>14.950876089329658</v>
      </c>
      <c r="V19" s="70">
        <f t="shared" si="2"/>
        <v>11.630382465104226</v>
      </c>
      <c r="W19" s="70">
        <f t="shared" si="2"/>
        <v>13.291074816082912</v>
      </c>
      <c r="X19" s="70">
        <f t="shared" si="3"/>
        <v>43.97468869687494</v>
      </c>
      <c r="Y19" s="70">
        <f t="shared" si="3"/>
        <v>40.02277018771521</v>
      </c>
      <c r="Z19" s="70">
        <f t="shared" si="3"/>
        <v>41.99925970480729</v>
      </c>
      <c r="AA19" s="70">
        <f>IF(C19=0,"",O19/C19%)</f>
        <v>1.0823912520583936</v>
      </c>
      <c r="AB19" s="70">
        <f>IF(D19=0,"",P19/D19%)</f>
        <v>0.8108408308341665</v>
      </c>
      <c r="AC19" s="70">
        <f>IF(E19=0,"",Q19/E19%)</f>
        <v>0.946652477675473</v>
      </c>
      <c r="AD19" s="69">
        <f>Board!CI17</f>
        <v>15382</v>
      </c>
      <c r="AE19" s="69">
        <f>Board!CJ17</f>
        <v>14494</v>
      </c>
      <c r="AF19" s="69">
        <f>Board!CK17</f>
        <v>29876</v>
      </c>
      <c r="AG19" s="9">
        <v>4490</v>
      </c>
      <c r="AH19" s="9">
        <v>5736</v>
      </c>
      <c r="AI19" s="9">
        <f t="shared" si="29"/>
        <v>10226</v>
      </c>
      <c r="AJ19" s="9">
        <v>1922</v>
      </c>
      <c r="AK19" s="9">
        <v>1402</v>
      </c>
      <c r="AL19" s="9">
        <f t="shared" si="30"/>
        <v>3324</v>
      </c>
      <c r="AM19" s="69">
        <v>7179</v>
      </c>
      <c r="AN19" s="69">
        <v>5975</v>
      </c>
      <c r="AO19" s="9">
        <f t="shared" si="31"/>
        <v>13154</v>
      </c>
      <c r="AP19" s="69">
        <v>213</v>
      </c>
      <c r="AQ19" s="69">
        <v>153</v>
      </c>
      <c r="AR19" s="9">
        <f>AP19+AQ19</f>
        <v>366</v>
      </c>
      <c r="AS19" s="70">
        <f t="shared" si="5"/>
        <v>29.18996229358991</v>
      </c>
      <c r="AT19" s="70">
        <f t="shared" si="6"/>
        <v>39.574996550296675</v>
      </c>
      <c r="AU19" s="70">
        <f t="shared" si="7"/>
        <v>34.22814299102959</v>
      </c>
      <c r="AV19" s="70">
        <f t="shared" si="8"/>
        <v>12.495124171109088</v>
      </c>
      <c r="AW19" s="70">
        <f t="shared" si="9"/>
        <v>9.672968124741272</v>
      </c>
      <c r="AX19" s="70">
        <f t="shared" si="10"/>
        <v>11.12598741464721</v>
      </c>
      <c r="AY19" s="70">
        <f t="shared" si="11"/>
        <v>46.67143414380445</v>
      </c>
      <c r="AZ19" s="70">
        <f t="shared" si="12"/>
        <v>41.22395473989237</v>
      </c>
      <c r="BA19" s="70">
        <f t="shared" si="13"/>
        <v>44.02865176061052</v>
      </c>
      <c r="BB19" s="70">
        <f>IF(AD19=0,"",AP19/AD19%)</f>
        <v>1.3847354050188532</v>
      </c>
      <c r="BC19" s="70">
        <f>IF(AE19=0,"",AQ19/AE19%)</f>
        <v>1.0556092176072858</v>
      </c>
      <c r="BD19" s="70">
        <f>IF(AF19=0,"",AR19/AF19%)</f>
        <v>1.2250635961976168</v>
      </c>
      <c r="BE19" s="69">
        <f>Board!EB17</f>
        <v>26856</v>
      </c>
      <c r="BF19" s="69">
        <f>Board!EC17</f>
        <v>27647</v>
      </c>
      <c r="BG19" s="69">
        <f>Board!ED17</f>
        <v>54503</v>
      </c>
      <c r="BH19" s="9">
        <v>9567</v>
      </c>
      <c r="BI19" s="9">
        <v>12498</v>
      </c>
      <c r="BJ19" s="9">
        <f t="shared" si="32"/>
        <v>22065</v>
      </c>
      <c r="BK19" s="9">
        <v>2682</v>
      </c>
      <c r="BL19" s="9">
        <v>1910</v>
      </c>
      <c r="BM19" s="9">
        <f t="shared" si="33"/>
        <v>4592</v>
      </c>
      <c r="BN19" s="69">
        <v>10600</v>
      </c>
      <c r="BO19" s="69">
        <v>9885</v>
      </c>
      <c r="BP19" s="9">
        <f t="shared" si="34"/>
        <v>20485</v>
      </c>
      <c r="BQ19" s="69">
        <v>310</v>
      </c>
      <c r="BR19" s="69">
        <v>164</v>
      </c>
      <c r="BS19" s="9">
        <f t="shared" si="35"/>
        <v>474</v>
      </c>
      <c r="BT19" s="70">
        <f t="shared" si="14"/>
        <v>35.62332439678284</v>
      </c>
      <c r="BU19" s="70">
        <f t="shared" si="15"/>
        <v>45.20562809708105</v>
      </c>
      <c r="BV19" s="70">
        <f t="shared" si="16"/>
        <v>40.484010054492416</v>
      </c>
      <c r="BW19" s="70">
        <f t="shared" si="17"/>
        <v>9.986595174262735</v>
      </c>
      <c r="BX19" s="70">
        <f t="shared" si="18"/>
        <v>6.908525337287951</v>
      </c>
      <c r="BY19" s="70">
        <f t="shared" si="19"/>
        <v>8.42522429957984</v>
      </c>
      <c r="BZ19" s="70">
        <f t="shared" si="20"/>
        <v>39.46976467083706</v>
      </c>
      <c r="CA19" s="70">
        <f t="shared" si="21"/>
        <v>35.754331392194445</v>
      </c>
      <c r="CB19" s="70">
        <f t="shared" si="22"/>
        <v>37.58508705942792</v>
      </c>
      <c r="CC19" s="70">
        <f t="shared" si="24"/>
        <v>1.154304438486744</v>
      </c>
      <c r="CD19" s="70">
        <f t="shared" si="25"/>
        <v>0.5931927514739392</v>
      </c>
      <c r="CE19" s="70">
        <f t="shared" si="26"/>
        <v>0.8696768985193476</v>
      </c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</row>
    <row r="20" spans="1:110" ht="25.5" customHeight="1">
      <c r="A20" s="4">
        <v>11</v>
      </c>
      <c r="B20" s="80" t="s">
        <v>117</v>
      </c>
      <c r="C20" s="69">
        <f>Board!AP18</f>
        <v>32</v>
      </c>
      <c r="D20" s="69">
        <f>Board!AQ18</f>
        <v>32</v>
      </c>
      <c r="E20" s="69">
        <f>Board!AR18</f>
        <v>64</v>
      </c>
      <c r="F20" s="9">
        <v>32</v>
      </c>
      <c r="G20" s="9">
        <v>32</v>
      </c>
      <c r="H20" s="9">
        <f t="shared" si="27"/>
        <v>64</v>
      </c>
      <c r="I20" s="98"/>
      <c r="J20" s="98"/>
      <c r="K20" s="98"/>
      <c r="L20" s="97"/>
      <c r="M20" s="97"/>
      <c r="N20" s="98"/>
      <c r="O20" s="97"/>
      <c r="P20" s="97"/>
      <c r="Q20" s="98"/>
      <c r="R20" s="70">
        <f t="shared" si="1"/>
        <v>100</v>
      </c>
      <c r="S20" s="70">
        <f t="shared" si="1"/>
        <v>100</v>
      </c>
      <c r="T20" s="70">
        <f t="shared" si="1"/>
        <v>100</v>
      </c>
      <c r="U20" s="103"/>
      <c r="V20" s="103"/>
      <c r="W20" s="103"/>
      <c r="X20" s="103"/>
      <c r="Y20" s="103"/>
      <c r="Z20" s="103"/>
      <c r="AA20" s="103"/>
      <c r="AB20" s="103"/>
      <c r="AC20" s="103"/>
      <c r="AD20" s="97"/>
      <c r="AE20" s="97"/>
      <c r="AF20" s="97"/>
      <c r="AG20" s="98"/>
      <c r="AH20" s="98"/>
      <c r="AI20" s="98">
        <f t="shared" si="29"/>
        <v>0</v>
      </c>
      <c r="AJ20" s="98"/>
      <c r="AK20" s="98"/>
      <c r="AL20" s="98"/>
      <c r="AM20" s="97"/>
      <c r="AN20" s="97"/>
      <c r="AO20" s="98"/>
      <c r="AP20" s="97"/>
      <c r="AQ20" s="97"/>
      <c r="AR20" s="98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97"/>
      <c r="BF20" s="97"/>
      <c r="BG20" s="97"/>
      <c r="BH20" s="98"/>
      <c r="BI20" s="98"/>
      <c r="BJ20" s="98"/>
      <c r="BK20" s="98"/>
      <c r="BL20" s="98"/>
      <c r="BM20" s="98"/>
      <c r="BN20" s="97"/>
      <c r="BO20" s="97"/>
      <c r="BP20" s="98"/>
      <c r="BQ20" s="97"/>
      <c r="BR20" s="97"/>
      <c r="BS20" s="98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</row>
    <row r="21" spans="1:110" ht="30.75" customHeight="1">
      <c r="A21" s="4">
        <v>12</v>
      </c>
      <c r="B21" s="6" t="str">
        <f>Board!B19</f>
        <v>Chhatisgarh Sanskriti Vidya Mandalam</v>
      </c>
      <c r="C21" s="69">
        <f>Board!AP19</f>
        <v>250</v>
      </c>
      <c r="D21" s="69">
        <f>Board!AQ19</f>
        <v>189</v>
      </c>
      <c r="E21" s="69">
        <f>Board!AR19</f>
        <v>439</v>
      </c>
      <c r="F21" s="9">
        <v>250</v>
      </c>
      <c r="G21" s="9">
        <v>189</v>
      </c>
      <c r="H21" s="9">
        <f t="shared" si="27"/>
        <v>439</v>
      </c>
      <c r="I21" s="98"/>
      <c r="J21" s="98"/>
      <c r="K21" s="98"/>
      <c r="L21" s="97"/>
      <c r="M21" s="97"/>
      <c r="N21" s="98"/>
      <c r="O21" s="98"/>
      <c r="P21" s="98"/>
      <c r="Q21" s="98"/>
      <c r="R21" s="70">
        <f t="shared" si="1"/>
        <v>100</v>
      </c>
      <c r="S21" s="70">
        <f t="shared" si="1"/>
        <v>100</v>
      </c>
      <c r="T21" s="70">
        <f t="shared" si="1"/>
        <v>100.00000000000001</v>
      </c>
      <c r="U21" s="103"/>
      <c r="V21" s="103"/>
      <c r="W21" s="103"/>
      <c r="X21" s="103"/>
      <c r="Y21" s="103"/>
      <c r="Z21" s="103"/>
      <c r="AA21" s="103"/>
      <c r="AB21" s="103"/>
      <c r="AC21" s="103"/>
      <c r="AD21" s="69">
        <f>Board!CI19</f>
        <v>14</v>
      </c>
      <c r="AE21" s="69">
        <f>Board!CJ19</f>
        <v>27</v>
      </c>
      <c r="AF21" s="69">
        <f>Board!CK19</f>
        <v>41</v>
      </c>
      <c r="AG21" s="9">
        <v>14</v>
      </c>
      <c r="AH21" s="9">
        <v>27</v>
      </c>
      <c r="AI21" s="9">
        <f t="shared" si="29"/>
        <v>41</v>
      </c>
      <c r="AJ21" s="98"/>
      <c r="AK21" s="98"/>
      <c r="AL21" s="98"/>
      <c r="AM21" s="97"/>
      <c r="AN21" s="97"/>
      <c r="AO21" s="98"/>
      <c r="AP21" s="98"/>
      <c r="AQ21" s="98"/>
      <c r="AR21" s="98"/>
      <c r="AS21" s="70">
        <f t="shared" si="5"/>
        <v>99.99999999999999</v>
      </c>
      <c r="AT21" s="70">
        <f t="shared" si="6"/>
        <v>100</v>
      </c>
      <c r="AU21" s="70">
        <f t="shared" si="7"/>
        <v>100</v>
      </c>
      <c r="AV21" s="103"/>
      <c r="AW21" s="103"/>
      <c r="AX21" s="103"/>
      <c r="AY21" s="103"/>
      <c r="AZ21" s="103"/>
      <c r="BA21" s="103"/>
      <c r="BB21" s="103"/>
      <c r="BC21" s="103"/>
      <c r="BD21" s="103"/>
      <c r="BE21" s="69">
        <f>Board!EB19</f>
        <v>99</v>
      </c>
      <c r="BF21" s="69">
        <f>Board!EC19</f>
        <v>83</v>
      </c>
      <c r="BG21" s="69">
        <f>Board!ED19</f>
        <v>182</v>
      </c>
      <c r="BH21" s="9">
        <v>99</v>
      </c>
      <c r="BI21" s="9">
        <v>83</v>
      </c>
      <c r="BJ21" s="9">
        <f t="shared" si="32"/>
        <v>182</v>
      </c>
      <c r="BK21" s="98"/>
      <c r="BL21" s="98"/>
      <c r="BM21" s="98"/>
      <c r="BN21" s="97"/>
      <c r="BO21" s="97"/>
      <c r="BP21" s="98"/>
      <c r="BQ21" s="98"/>
      <c r="BR21" s="98"/>
      <c r="BS21" s="98"/>
      <c r="BT21" s="70">
        <f t="shared" si="14"/>
        <v>100</v>
      </c>
      <c r="BU21" s="70">
        <f t="shared" si="15"/>
        <v>100</v>
      </c>
      <c r="BV21" s="70">
        <f t="shared" si="16"/>
        <v>100</v>
      </c>
      <c r="BW21" s="103"/>
      <c r="BX21" s="103"/>
      <c r="BY21" s="103"/>
      <c r="BZ21" s="103"/>
      <c r="CA21" s="103"/>
      <c r="CB21" s="103"/>
      <c r="CC21" s="103"/>
      <c r="CD21" s="103"/>
      <c r="CE21" s="103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</row>
    <row r="22" spans="1:110" ht="28.5" customHeight="1">
      <c r="A22" s="4">
        <v>13</v>
      </c>
      <c r="B22" s="6" t="str">
        <f>Board!B20</f>
        <v>Goa Board of Secondary &amp; Higher Secondary Education</v>
      </c>
      <c r="C22" s="69">
        <f>Board!AP20</f>
        <v>6894</v>
      </c>
      <c r="D22" s="69">
        <f>Board!AQ20</f>
        <v>7805</v>
      </c>
      <c r="E22" s="69">
        <f>Board!AR20</f>
        <v>14699</v>
      </c>
      <c r="F22" s="9">
        <v>742</v>
      </c>
      <c r="G22" s="9">
        <v>2211</v>
      </c>
      <c r="H22" s="9">
        <f t="shared" si="27"/>
        <v>2953</v>
      </c>
      <c r="I22" s="9">
        <v>2155</v>
      </c>
      <c r="J22" s="9">
        <v>2352</v>
      </c>
      <c r="K22" s="9">
        <f t="shared" si="0"/>
        <v>4507</v>
      </c>
      <c r="L22" s="69">
        <v>1980</v>
      </c>
      <c r="M22" s="69">
        <v>2243</v>
      </c>
      <c r="N22" s="9">
        <f t="shared" si="28"/>
        <v>4223</v>
      </c>
      <c r="O22" s="69">
        <v>1711</v>
      </c>
      <c r="P22" s="69">
        <v>716</v>
      </c>
      <c r="Q22" s="9">
        <f>O22+P22</f>
        <v>2427</v>
      </c>
      <c r="R22" s="70">
        <f t="shared" si="1"/>
        <v>10.762982303452278</v>
      </c>
      <c r="S22" s="70">
        <f t="shared" si="1"/>
        <v>28.327994875080076</v>
      </c>
      <c r="T22" s="70">
        <f t="shared" si="1"/>
        <v>20.0898020273488</v>
      </c>
      <c r="U22" s="70">
        <f t="shared" si="2"/>
        <v>31.259065854366117</v>
      </c>
      <c r="V22" s="70">
        <f t="shared" si="2"/>
        <v>30.134529147982065</v>
      </c>
      <c r="W22" s="70">
        <f t="shared" si="2"/>
        <v>30.661949792502888</v>
      </c>
      <c r="X22" s="70">
        <f t="shared" si="3"/>
        <v>28.720626631853786</v>
      </c>
      <c r="Y22" s="70">
        <f t="shared" si="3"/>
        <v>28.737988468930173</v>
      </c>
      <c r="Z22" s="70">
        <f t="shared" si="3"/>
        <v>28.729845567725693</v>
      </c>
      <c r="AA22" s="70">
        <f>IF(C22=0,"",O22/C22%)</f>
        <v>24.81868291267769</v>
      </c>
      <c r="AB22" s="70">
        <f>IF(D22=0,"",P22/D22%)</f>
        <v>9.173606662395901</v>
      </c>
      <c r="AC22" s="70">
        <f>IF(E22=0,"",Q22/E22%)</f>
        <v>16.51132730117695</v>
      </c>
      <c r="AD22" s="69">
        <f>Board!CI20</f>
        <v>73</v>
      </c>
      <c r="AE22" s="69">
        <f>Board!CJ20</f>
        <v>141</v>
      </c>
      <c r="AF22" s="69">
        <f>Board!CK20</f>
        <v>214</v>
      </c>
      <c r="AG22" s="9">
        <v>20</v>
      </c>
      <c r="AH22" s="9">
        <v>45</v>
      </c>
      <c r="AI22" s="9">
        <f t="shared" si="29"/>
        <v>65</v>
      </c>
      <c r="AJ22" s="9">
        <v>23</v>
      </c>
      <c r="AK22" s="9">
        <v>39</v>
      </c>
      <c r="AL22" s="9">
        <f t="shared" si="30"/>
        <v>62</v>
      </c>
      <c r="AM22" s="69">
        <v>14</v>
      </c>
      <c r="AN22" s="69">
        <v>40</v>
      </c>
      <c r="AO22" s="9">
        <f t="shared" si="31"/>
        <v>54</v>
      </c>
      <c r="AP22" s="69">
        <v>14</v>
      </c>
      <c r="AQ22" s="69">
        <v>13</v>
      </c>
      <c r="AR22" s="9">
        <f>AP22+AQ22</f>
        <v>27</v>
      </c>
      <c r="AS22" s="70">
        <f t="shared" si="5"/>
        <v>27.397260273972602</v>
      </c>
      <c r="AT22" s="70">
        <f t="shared" si="6"/>
        <v>31.914893617021278</v>
      </c>
      <c r="AU22" s="70">
        <f t="shared" si="7"/>
        <v>30.373831775700932</v>
      </c>
      <c r="AV22" s="70">
        <f t="shared" si="8"/>
        <v>31.506849315068493</v>
      </c>
      <c r="AW22" s="70">
        <f t="shared" si="9"/>
        <v>27.659574468085108</v>
      </c>
      <c r="AX22" s="70">
        <f t="shared" si="10"/>
        <v>28.971962616822427</v>
      </c>
      <c r="AY22" s="70">
        <f t="shared" si="11"/>
        <v>19.178082191780824</v>
      </c>
      <c r="AZ22" s="70">
        <f t="shared" si="12"/>
        <v>28.368794326241137</v>
      </c>
      <c r="BA22" s="70">
        <f t="shared" si="13"/>
        <v>25.233644859813083</v>
      </c>
      <c r="BB22" s="70">
        <f>IF(AD22=0,"",AP22/AD22%)</f>
        <v>19.178082191780824</v>
      </c>
      <c r="BC22" s="70">
        <f>IF(AE22=0,"",AQ22/AE22%)</f>
        <v>9.21985815602837</v>
      </c>
      <c r="BD22" s="70">
        <f>IF(AF22=0,"",AR22/AF22%)</f>
        <v>12.616822429906541</v>
      </c>
      <c r="BE22" s="69">
        <f>Board!EB20</f>
        <v>791</v>
      </c>
      <c r="BF22" s="69">
        <f>Board!EC20</f>
        <v>899</v>
      </c>
      <c r="BG22" s="69">
        <f>Board!ED20</f>
        <v>1690</v>
      </c>
      <c r="BH22" s="9">
        <v>134</v>
      </c>
      <c r="BI22" s="9">
        <v>296</v>
      </c>
      <c r="BJ22" s="9">
        <f t="shared" si="32"/>
        <v>430</v>
      </c>
      <c r="BK22" s="9">
        <v>212</v>
      </c>
      <c r="BL22" s="9">
        <v>263</v>
      </c>
      <c r="BM22" s="9">
        <f t="shared" si="33"/>
        <v>475</v>
      </c>
      <c r="BN22" s="69">
        <v>159</v>
      </c>
      <c r="BO22" s="69">
        <v>196</v>
      </c>
      <c r="BP22" s="9">
        <f t="shared" si="34"/>
        <v>355</v>
      </c>
      <c r="BQ22" s="69">
        <v>275</v>
      </c>
      <c r="BR22" s="69">
        <v>130</v>
      </c>
      <c r="BS22" s="9">
        <f t="shared" si="35"/>
        <v>405</v>
      </c>
      <c r="BT22" s="70">
        <f t="shared" si="14"/>
        <v>16.940581542351453</v>
      </c>
      <c r="BU22" s="70">
        <f t="shared" si="15"/>
        <v>32.92547274749722</v>
      </c>
      <c r="BV22" s="70">
        <f t="shared" si="16"/>
        <v>25.443786982248522</v>
      </c>
      <c r="BW22" s="70">
        <f t="shared" si="17"/>
        <v>26.801517067003793</v>
      </c>
      <c r="BX22" s="70">
        <f t="shared" si="18"/>
        <v>29.254727474972192</v>
      </c>
      <c r="BY22" s="70">
        <f t="shared" si="19"/>
        <v>28.106508875739646</v>
      </c>
      <c r="BZ22" s="70">
        <f t="shared" si="20"/>
        <v>20.101137800252843</v>
      </c>
      <c r="CA22" s="70">
        <f t="shared" si="21"/>
        <v>21.802002224694103</v>
      </c>
      <c r="CB22" s="70">
        <f t="shared" si="22"/>
        <v>21.005917159763314</v>
      </c>
      <c r="CC22" s="70">
        <f t="shared" si="24"/>
        <v>34.7661188369153</v>
      </c>
      <c r="CD22" s="70">
        <f t="shared" si="25"/>
        <v>14.460511679644048</v>
      </c>
      <c r="CE22" s="70">
        <f t="shared" si="26"/>
        <v>23.96449704142012</v>
      </c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</row>
    <row r="23" spans="1:110" ht="27.75" customHeight="1">
      <c r="A23" s="4">
        <v>14</v>
      </c>
      <c r="B23" s="6" t="str">
        <f>Board!B21</f>
        <v>Gujarat Secondary &amp; Higher Secondary Education Board</v>
      </c>
      <c r="C23" s="69">
        <f>Board!AP21</f>
        <v>210254</v>
      </c>
      <c r="D23" s="69">
        <f>Board!AQ21</f>
        <v>179456</v>
      </c>
      <c r="E23" s="69">
        <f>Board!AR21</f>
        <v>389710</v>
      </c>
      <c r="F23" s="98"/>
      <c r="G23" s="98"/>
      <c r="H23" s="98"/>
      <c r="I23" s="9">
        <v>141821</v>
      </c>
      <c r="J23" s="9">
        <v>140121</v>
      </c>
      <c r="K23" s="9">
        <f t="shared" si="0"/>
        <v>281942</v>
      </c>
      <c r="L23" s="69">
        <v>68433</v>
      </c>
      <c r="M23" s="69">
        <v>39335</v>
      </c>
      <c r="N23" s="9">
        <f t="shared" si="28"/>
        <v>107768</v>
      </c>
      <c r="O23" s="97"/>
      <c r="P23" s="97"/>
      <c r="Q23" s="98"/>
      <c r="R23" s="103"/>
      <c r="S23" s="103"/>
      <c r="T23" s="103"/>
      <c r="U23" s="70">
        <f t="shared" si="2"/>
        <v>67.45222445232909</v>
      </c>
      <c r="V23" s="70">
        <f t="shared" si="2"/>
        <v>78.08097806704708</v>
      </c>
      <c r="W23" s="70">
        <f t="shared" si="2"/>
        <v>72.3466167149932</v>
      </c>
      <c r="X23" s="70">
        <f t="shared" si="3"/>
        <v>32.547775547670916</v>
      </c>
      <c r="Y23" s="70">
        <f t="shared" si="3"/>
        <v>21.919021932952926</v>
      </c>
      <c r="Z23" s="70">
        <f t="shared" si="3"/>
        <v>27.6533832850068</v>
      </c>
      <c r="AA23" s="103"/>
      <c r="AB23" s="103"/>
      <c r="AC23" s="103"/>
      <c r="AD23" s="69">
        <f>Board!CI21</f>
        <v>15488</v>
      </c>
      <c r="AE23" s="69">
        <f>Board!CJ21</f>
        <v>14373</v>
      </c>
      <c r="AF23" s="69">
        <f>Board!CK21</f>
        <v>29861</v>
      </c>
      <c r="AG23" s="98"/>
      <c r="AH23" s="98"/>
      <c r="AI23" s="98"/>
      <c r="AJ23" s="9">
        <v>11727</v>
      </c>
      <c r="AK23" s="9">
        <v>11886</v>
      </c>
      <c r="AL23" s="9">
        <f t="shared" si="30"/>
        <v>23613</v>
      </c>
      <c r="AM23" s="69">
        <v>3761</v>
      </c>
      <c r="AN23" s="69">
        <v>2487</v>
      </c>
      <c r="AO23" s="9">
        <f t="shared" si="31"/>
        <v>6248</v>
      </c>
      <c r="AP23" s="97"/>
      <c r="AQ23" s="97"/>
      <c r="AR23" s="98"/>
      <c r="AS23" s="103"/>
      <c r="AT23" s="103"/>
      <c r="AU23" s="103"/>
      <c r="AV23" s="70">
        <f t="shared" si="8"/>
        <v>75.71668388429752</v>
      </c>
      <c r="AW23" s="70">
        <f t="shared" si="9"/>
        <v>82.69672302233354</v>
      </c>
      <c r="AX23" s="70">
        <f t="shared" si="10"/>
        <v>79.07638726097585</v>
      </c>
      <c r="AY23" s="70">
        <f t="shared" si="11"/>
        <v>24.28331611570248</v>
      </c>
      <c r="AZ23" s="70">
        <f t="shared" si="12"/>
        <v>17.30327697766646</v>
      </c>
      <c r="BA23" s="70">
        <f t="shared" si="13"/>
        <v>20.923612739024144</v>
      </c>
      <c r="BB23" s="103"/>
      <c r="BC23" s="103"/>
      <c r="BD23" s="103"/>
      <c r="BE23" s="69">
        <f>Board!EB21</f>
        <v>21692</v>
      </c>
      <c r="BF23" s="69">
        <f>Board!EC21</f>
        <v>23664</v>
      </c>
      <c r="BG23" s="69">
        <f>Board!ED21</f>
        <v>45356</v>
      </c>
      <c r="BH23" s="98"/>
      <c r="BI23" s="98"/>
      <c r="BJ23" s="98"/>
      <c r="BK23" s="9">
        <v>17974</v>
      </c>
      <c r="BL23" s="9">
        <v>20333</v>
      </c>
      <c r="BM23" s="9">
        <f t="shared" si="33"/>
        <v>38307</v>
      </c>
      <c r="BN23" s="69">
        <v>3718</v>
      </c>
      <c r="BO23" s="69">
        <v>3331</v>
      </c>
      <c r="BP23" s="9">
        <f t="shared" si="34"/>
        <v>7049</v>
      </c>
      <c r="BQ23" s="97"/>
      <c r="BR23" s="97"/>
      <c r="BS23" s="98"/>
      <c r="BT23" s="103"/>
      <c r="BU23" s="103"/>
      <c r="BV23" s="103"/>
      <c r="BW23" s="70">
        <f t="shared" si="17"/>
        <v>82.86004056795133</v>
      </c>
      <c r="BX23" s="70">
        <f t="shared" si="18"/>
        <v>85.92376605814741</v>
      </c>
      <c r="BY23" s="70">
        <f t="shared" si="19"/>
        <v>84.4585060410971</v>
      </c>
      <c r="BZ23" s="70">
        <f t="shared" si="20"/>
        <v>17.139959432048684</v>
      </c>
      <c r="CA23" s="70">
        <f t="shared" si="21"/>
        <v>14.076233941852603</v>
      </c>
      <c r="CB23" s="70">
        <f t="shared" si="22"/>
        <v>15.541493958902901</v>
      </c>
      <c r="CC23" s="103"/>
      <c r="CD23" s="103"/>
      <c r="CE23" s="10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</row>
    <row r="24" spans="1:110" ht="30.75" customHeight="1">
      <c r="A24" s="4">
        <v>15</v>
      </c>
      <c r="B24" s="6" t="str">
        <f>Board!B22</f>
        <v>Board of School Education Haryana, Bhiwani</v>
      </c>
      <c r="C24" s="69">
        <f>Board!AP22</f>
        <v>126004</v>
      </c>
      <c r="D24" s="69">
        <f>Board!AQ22</f>
        <v>88615</v>
      </c>
      <c r="E24" s="69">
        <f>Board!AR22</f>
        <v>214619</v>
      </c>
      <c r="F24" s="9">
        <v>48337</v>
      </c>
      <c r="G24" s="9">
        <v>50728</v>
      </c>
      <c r="H24" s="9">
        <f t="shared" si="27"/>
        <v>99065</v>
      </c>
      <c r="I24" s="9">
        <v>16307</v>
      </c>
      <c r="J24" s="9">
        <v>18116</v>
      </c>
      <c r="K24" s="9">
        <f t="shared" si="0"/>
        <v>34423</v>
      </c>
      <c r="L24" s="69">
        <v>34181</v>
      </c>
      <c r="M24" s="69">
        <v>18200</v>
      </c>
      <c r="N24" s="9">
        <f t="shared" si="28"/>
        <v>52381</v>
      </c>
      <c r="O24" s="97"/>
      <c r="P24" s="97"/>
      <c r="Q24" s="98"/>
      <c r="R24" s="70">
        <f t="shared" si="1"/>
        <v>38.361480587917846</v>
      </c>
      <c r="S24" s="70">
        <f t="shared" si="1"/>
        <v>57.245387349771484</v>
      </c>
      <c r="T24" s="70">
        <f t="shared" si="1"/>
        <v>46.158541415252145</v>
      </c>
      <c r="U24" s="70">
        <f t="shared" si="2"/>
        <v>12.941652645947748</v>
      </c>
      <c r="V24" s="70">
        <f t="shared" si="2"/>
        <v>20.44349150820967</v>
      </c>
      <c r="W24" s="70">
        <f t="shared" si="2"/>
        <v>16.039120487934433</v>
      </c>
      <c r="X24" s="70">
        <f t="shared" si="3"/>
        <v>27.12691660582204</v>
      </c>
      <c r="Y24" s="70">
        <f t="shared" si="3"/>
        <v>20.538283586300288</v>
      </c>
      <c r="Z24" s="70">
        <f t="shared" si="3"/>
        <v>24.40650641369124</v>
      </c>
      <c r="AA24" s="103"/>
      <c r="AB24" s="103"/>
      <c r="AC24" s="103"/>
      <c r="AD24" s="69">
        <f>Board!CI22</f>
        <v>22246</v>
      </c>
      <c r="AE24" s="69">
        <f>Board!CJ22</f>
        <v>16958</v>
      </c>
      <c r="AF24" s="69">
        <f>Board!CK22</f>
        <v>39204</v>
      </c>
      <c r="AG24" s="9">
        <v>10459</v>
      </c>
      <c r="AH24" s="9">
        <v>12188</v>
      </c>
      <c r="AI24" s="9">
        <f t="shared" si="29"/>
        <v>22647</v>
      </c>
      <c r="AJ24" s="9">
        <v>2399</v>
      </c>
      <c r="AK24" s="9">
        <v>2477</v>
      </c>
      <c r="AL24" s="9">
        <f t="shared" si="30"/>
        <v>4876</v>
      </c>
      <c r="AM24" s="69">
        <v>3898</v>
      </c>
      <c r="AN24" s="69">
        <v>1953</v>
      </c>
      <c r="AO24" s="9">
        <f t="shared" si="31"/>
        <v>5851</v>
      </c>
      <c r="AP24" s="97"/>
      <c r="AQ24" s="97"/>
      <c r="AR24" s="98"/>
      <c r="AS24" s="70">
        <f t="shared" si="5"/>
        <v>47.01519374269532</v>
      </c>
      <c r="AT24" s="70">
        <f t="shared" si="6"/>
        <v>71.87168298148366</v>
      </c>
      <c r="AU24" s="70">
        <f t="shared" si="7"/>
        <v>57.7670645852464</v>
      </c>
      <c r="AV24" s="70">
        <f t="shared" si="8"/>
        <v>10.783961161557134</v>
      </c>
      <c r="AW24" s="70">
        <f t="shared" si="9"/>
        <v>14.606675315485315</v>
      </c>
      <c r="AX24" s="70">
        <f t="shared" si="10"/>
        <v>12.437506376900316</v>
      </c>
      <c r="AY24" s="70">
        <f t="shared" si="11"/>
        <v>17.522251191225386</v>
      </c>
      <c r="AZ24" s="70">
        <f t="shared" si="12"/>
        <v>11.51668828871329</v>
      </c>
      <c r="BA24" s="70">
        <f t="shared" si="13"/>
        <v>14.924497500255075</v>
      </c>
      <c r="BB24" s="103"/>
      <c r="BC24" s="103"/>
      <c r="BD24" s="103"/>
      <c r="BE24" s="97"/>
      <c r="BF24" s="97"/>
      <c r="BG24" s="97"/>
      <c r="BH24" s="98"/>
      <c r="BI24" s="98"/>
      <c r="BJ24" s="98"/>
      <c r="BK24" s="98"/>
      <c r="BL24" s="98"/>
      <c r="BM24" s="98"/>
      <c r="BN24" s="97"/>
      <c r="BO24" s="97"/>
      <c r="BP24" s="98"/>
      <c r="BQ24" s="97"/>
      <c r="BR24" s="97"/>
      <c r="BS24" s="98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</row>
    <row r="25" spans="1:110" ht="27" customHeight="1">
      <c r="A25" s="4">
        <v>16</v>
      </c>
      <c r="B25" s="6" t="str">
        <f>Board!B23</f>
        <v>H.P. Board of School Education, Dharamshala</v>
      </c>
      <c r="C25" s="69">
        <f>Board!AP23</f>
        <v>47736</v>
      </c>
      <c r="D25" s="69">
        <f>Board!AQ23</f>
        <v>45673</v>
      </c>
      <c r="E25" s="69">
        <f>Board!AR23</f>
        <v>93409</v>
      </c>
      <c r="F25" s="9">
        <v>20758</v>
      </c>
      <c r="G25" s="9">
        <v>24870</v>
      </c>
      <c r="H25" s="9">
        <f t="shared" si="27"/>
        <v>45628</v>
      </c>
      <c r="I25" s="9">
        <v>7276</v>
      </c>
      <c r="J25" s="9">
        <v>5322</v>
      </c>
      <c r="K25" s="9">
        <f t="shared" si="0"/>
        <v>12598</v>
      </c>
      <c r="L25" s="69">
        <v>13638</v>
      </c>
      <c r="M25" s="69">
        <v>10740</v>
      </c>
      <c r="N25" s="9">
        <f t="shared" si="28"/>
        <v>24378</v>
      </c>
      <c r="O25" s="97"/>
      <c r="P25" s="97"/>
      <c r="Q25" s="98"/>
      <c r="R25" s="70">
        <f t="shared" si="1"/>
        <v>43.48500083794201</v>
      </c>
      <c r="S25" s="70">
        <f t="shared" si="1"/>
        <v>54.45230223545639</v>
      </c>
      <c r="T25" s="70">
        <f t="shared" si="1"/>
        <v>48.84754145746127</v>
      </c>
      <c r="U25" s="70">
        <f t="shared" si="2"/>
        <v>15.242165242165242</v>
      </c>
      <c r="V25" s="70">
        <f t="shared" si="2"/>
        <v>11.652398572460752</v>
      </c>
      <c r="W25" s="70">
        <f t="shared" si="2"/>
        <v>13.486923101628323</v>
      </c>
      <c r="X25" s="70">
        <f t="shared" si="3"/>
        <v>28.569632981397685</v>
      </c>
      <c r="Y25" s="70">
        <f t="shared" si="3"/>
        <v>23.514986972609638</v>
      </c>
      <c r="Z25" s="70">
        <f t="shared" si="3"/>
        <v>26.098127589418578</v>
      </c>
      <c r="AA25" s="103"/>
      <c r="AB25" s="103"/>
      <c r="AC25" s="103"/>
      <c r="AD25" s="69">
        <f>Board!CI23</f>
        <v>11715</v>
      </c>
      <c r="AE25" s="69">
        <f>Board!CJ23</f>
        <v>11646</v>
      </c>
      <c r="AF25" s="69">
        <f>Board!CK23</f>
        <v>23361</v>
      </c>
      <c r="AG25" s="9">
        <v>6098</v>
      </c>
      <c r="AH25" s="9">
        <v>7076</v>
      </c>
      <c r="AI25" s="9">
        <f t="shared" si="29"/>
        <v>13174</v>
      </c>
      <c r="AJ25" s="9">
        <v>1674</v>
      </c>
      <c r="AK25" s="9">
        <v>1304</v>
      </c>
      <c r="AL25" s="9">
        <f t="shared" si="30"/>
        <v>2978</v>
      </c>
      <c r="AM25" s="69">
        <v>2389</v>
      </c>
      <c r="AN25" s="69">
        <v>1987</v>
      </c>
      <c r="AO25" s="9">
        <f t="shared" si="31"/>
        <v>4376</v>
      </c>
      <c r="AP25" s="97"/>
      <c r="AQ25" s="97"/>
      <c r="AR25" s="98"/>
      <c r="AS25" s="70">
        <f t="shared" si="5"/>
        <v>52.05292360221937</v>
      </c>
      <c r="AT25" s="70">
        <f t="shared" si="6"/>
        <v>60.75905890434484</v>
      </c>
      <c r="AU25" s="70">
        <f t="shared" si="7"/>
        <v>56.39313385557125</v>
      </c>
      <c r="AV25" s="70">
        <f t="shared" si="8"/>
        <v>14.289372599231754</v>
      </c>
      <c r="AW25" s="70">
        <f t="shared" si="9"/>
        <v>11.196977503005325</v>
      </c>
      <c r="AX25" s="70">
        <f t="shared" si="10"/>
        <v>12.747741963100895</v>
      </c>
      <c r="AY25" s="70">
        <f t="shared" si="11"/>
        <v>20.39265898420828</v>
      </c>
      <c r="AZ25" s="70">
        <f t="shared" si="12"/>
        <v>17.061652069380045</v>
      </c>
      <c r="BA25" s="70">
        <f t="shared" si="13"/>
        <v>18.732074825563974</v>
      </c>
      <c r="BB25" s="103"/>
      <c r="BC25" s="103"/>
      <c r="BD25" s="103"/>
      <c r="BE25" s="69">
        <f>Board!EB23</f>
        <v>2892</v>
      </c>
      <c r="BF25" s="69">
        <f>Board!EC23</f>
        <v>2825</v>
      </c>
      <c r="BG25" s="69">
        <f>Board!ED23</f>
        <v>5717</v>
      </c>
      <c r="BH25" s="9">
        <v>1477</v>
      </c>
      <c r="BI25" s="9">
        <v>1729</v>
      </c>
      <c r="BJ25" s="9">
        <f t="shared" si="32"/>
        <v>3206</v>
      </c>
      <c r="BK25" s="9">
        <v>360</v>
      </c>
      <c r="BL25" s="9">
        <v>217</v>
      </c>
      <c r="BM25" s="9">
        <f t="shared" si="33"/>
        <v>577</v>
      </c>
      <c r="BN25" s="69">
        <v>684</v>
      </c>
      <c r="BO25" s="69">
        <v>548</v>
      </c>
      <c r="BP25" s="9">
        <f t="shared" si="34"/>
        <v>1232</v>
      </c>
      <c r="BQ25" s="97"/>
      <c r="BR25" s="97"/>
      <c r="BS25" s="98">
        <f t="shared" si="35"/>
        <v>0</v>
      </c>
      <c r="BT25" s="70">
        <f t="shared" si="14"/>
        <v>51.07192254495159</v>
      </c>
      <c r="BU25" s="70">
        <f t="shared" si="15"/>
        <v>61.203539823008846</v>
      </c>
      <c r="BV25" s="70">
        <f t="shared" si="16"/>
        <v>56.0783627776806</v>
      </c>
      <c r="BW25" s="70">
        <f t="shared" si="17"/>
        <v>12.448132780082986</v>
      </c>
      <c r="BX25" s="70">
        <f t="shared" si="18"/>
        <v>7.68141592920354</v>
      </c>
      <c r="BY25" s="70">
        <f t="shared" si="19"/>
        <v>10.092705964666782</v>
      </c>
      <c r="BZ25" s="70">
        <f t="shared" si="20"/>
        <v>23.651452282157674</v>
      </c>
      <c r="CA25" s="70">
        <f t="shared" si="21"/>
        <v>19.398230088495577</v>
      </c>
      <c r="CB25" s="70">
        <f t="shared" si="22"/>
        <v>21.54976386216547</v>
      </c>
      <c r="CC25" s="103"/>
      <c r="CD25" s="103"/>
      <c r="CE25" s="103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</row>
    <row r="26" spans="1:110" ht="27.75" customHeight="1">
      <c r="A26" s="4">
        <v>17</v>
      </c>
      <c r="B26" s="6" t="str">
        <f>Board!B24</f>
        <v>J.K State Board of School Education</v>
      </c>
      <c r="C26" s="69">
        <f>Board!AP24</f>
        <v>52738</v>
      </c>
      <c r="D26" s="69">
        <f>Board!AQ24</f>
        <v>46085</v>
      </c>
      <c r="E26" s="69">
        <f>Board!AR24</f>
        <v>98823</v>
      </c>
      <c r="F26" s="9">
        <v>19874</v>
      </c>
      <c r="G26" s="9">
        <v>25392</v>
      </c>
      <c r="H26" s="9">
        <f t="shared" si="27"/>
        <v>45266</v>
      </c>
      <c r="I26" s="9">
        <v>4392</v>
      </c>
      <c r="J26" s="9">
        <v>1915</v>
      </c>
      <c r="K26" s="9">
        <f t="shared" si="0"/>
        <v>6307</v>
      </c>
      <c r="L26" s="69">
        <v>28472</v>
      </c>
      <c r="M26" s="69">
        <v>18677</v>
      </c>
      <c r="N26" s="9">
        <f t="shared" si="28"/>
        <v>47149</v>
      </c>
      <c r="O26" s="69">
        <v>0</v>
      </c>
      <c r="P26" s="69">
        <v>101</v>
      </c>
      <c r="Q26" s="9">
        <f>O26+P26</f>
        <v>101</v>
      </c>
      <c r="R26" s="70">
        <f t="shared" si="1"/>
        <v>37.68440213887519</v>
      </c>
      <c r="S26" s="70">
        <f t="shared" si="1"/>
        <v>55.09818813062819</v>
      </c>
      <c r="T26" s="70">
        <f t="shared" si="1"/>
        <v>45.805126336986326</v>
      </c>
      <c r="U26" s="70">
        <f t="shared" si="2"/>
        <v>8.327960863134741</v>
      </c>
      <c r="V26" s="70">
        <f t="shared" si="2"/>
        <v>4.155365086253662</v>
      </c>
      <c r="W26" s="70">
        <f t="shared" si="2"/>
        <v>6.3821175232486365</v>
      </c>
      <c r="X26" s="70">
        <f t="shared" si="3"/>
        <v>53.987636997990066</v>
      </c>
      <c r="Y26" s="70">
        <f t="shared" si="3"/>
        <v>40.527286535749155</v>
      </c>
      <c r="Z26" s="70">
        <f t="shared" si="3"/>
        <v>47.71055321129696</v>
      </c>
      <c r="AA26" s="70">
        <f>IF(C26=0,"",O26/C26%)</f>
        <v>0</v>
      </c>
      <c r="AB26" s="70">
        <f>IF(D26=0,"",P26/D26%)</f>
        <v>0.21916024736899206</v>
      </c>
      <c r="AC26" s="70">
        <f>IF(E26=0,"",Q26/E26%)</f>
        <v>0.10220292846806918</v>
      </c>
      <c r="AD26" s="69">
        <f>Board!CI24</f>
        <v>2326</v>
      </c>
      <c r="AE26" s="69">
        <f>Board!CJ24</f>
        <v>2322</v>
      </c>
      <c r="AF26" s="69">
        <f>Board!CK24</f>
        <v>4648</v>
      </c>
      <c r="AG26" s="9">
        <v>906</v>
      </c>
      <c r="AH26" s="9">
        <v>1341</v>
      </c>
      <c r="AI26" s="9">
        <f t="shared" si="29"/>
        <v>2247</v>
      </c>
      <c r="AJ26" s="9">
        <v>135</v>
      </c>
      <c r="AK26" s="9">
        <v>71</v>
      </c>
      <c r="AL26" s="9">
        <f t="shared" si="30"/>
        <v>206</v>
      </c>
      <c r="AM26" s="69">
        <v>1285</v>
      </c>
      <c r="AN26" s="69">
        <v>910</v>
      </c>
      <c r="AO26" s="9">
        <f t="shared" si="31"/>
        <v>2195</v>
      </c>
      <c r="AP26" s="97"/>
      <c r="AQ26" s="97"/>
      <c r="AR26" s="98"/>
      <c r="AS26" s="70">
        <f t="shared" si="5"/>
        <v>38.950988822012036</v>
      </c>
      <c r="AT26" s="70">
        <f t="shared" si="6"/>
        <v>57.751937984496124</v>
      </c>
      <c r="AU26" s="70">
        <f t="shared" si="7"/>
        <v>48.3433734939759</v>
      </c>
      <c r="AV26" s="70">
        <f t="shared" si="8"/>
        <v>5.803955288048151</v>
      </c>
      <c r="AW26" s="70">
        <f t="shared" si="9"/>
        <v>3.0577088716623604</v>
      </c>
      <c r="AX26" s="70">
        <f t="shared" si="10"/>
        <v>4.432013769363167</v>
      </c>
      <c r="AY26" s="70">
        <f t="shared" si="11"/>
        <v>55.245055889939806</v>
      </c>
      <c r="AZ26" s="70">
        <f t="shared" si="12"/>
        <v>39.19035314384152</v>
      </c>
      <c r="BA26" s="70">
        <f t="shared" si="13"/>
        <v>47.22461273666093</v>
      </c>
      <c r="BB26" s="103"/>
      <c r="BC26" s="103"/>
      <c r="BD26" s="103"/>
      <c r="BE26" s="69">
        <f>Board!EB24</f>
        <v>1956</v>
      </c>
      <c r="BF26" s="69">
        <f>Board!EC24</f>
        <v>1584</v>
      </c>
      <c r="BG26" s="69">
        <f>Board!ED24</f>
        <v>3540</v>
      </c>
      <c r="BH26" s="9">
        <v>933</v>
      </c>
      <c r="BI26" s="9">
        <v>903</v>
      </c>
      <c r="BJ26" s="9">
        <f t="shared" si="32"/>
        <v>1836</v>
      </c>
      <c r="BK26" s="9">
        <v>33</v>
      </c>
      <c r="BL26" s="9">
        <v>19</v>
      </c>
      <c r="BM26" s="9">
        <f t="shared" si="33"/>
        <v>52</v>
      </c>
      <c r="BN26" s="69">
        <v>990</v>
      </c>
      <c r="BO26" s="69">
        <v>661</v>
      </c>
      <c r="BP26" s="9">
        <f t="shared" si="34"/>
        <v>1651</v>
      </c>
      <c r="BQ26" s="69"/>
      <c r="BR26" s="69">
        <v>1</v>
      </c>
      <c r="BS26" s="9">
        <f t="shared" si="35"/>
        <v>1</v>
      </c>
      <c r="BT26" s="70">
        <f t="shared" si="14"/>
        <v>47.69938650306749</v>
      </c>
      <c r="BU26" s="70">
        <f t="shared" si="15"/>
        <v>57.00757575757576</v>
      </c>
      <c r="BV26" s="70">
        <f t="shared" si="16"/>
        <v>51.86440677966102</v>
      </c>
      <c r="BW26" s="70">
        <f t="shared" si="17"/>
        <v>1.687116564417178</v>
      </c>
      <c r="BX26" s="70">
        <f t="shared" si="18"/>
        <v>1.1994949494949496</v>
      </c>
      <c r="BY26" s="70">
        <f t="shared" si="19"/>
        <v>1.4689265536723164</v>
      </c>
      <c r="BZ26" s="70">
        <f t="shared" si="20"/>
        <v>50.61349693251534</v>
      </c>
      <c r="CA26" s="70">
        <f t="shared" si="21"/>
        <v>41.72979797979798</v>
      </c>
      <c r="CB26" s="70">
        <f t="shared" si="22"/>
        <v>46.63841807909605</v>
      </c>
      <c r="CC26" s="70">
        <f t="shared" si="24"/>
        <v>0</v>
      </c>
      <c r="CD26" s="70">
        <f t="shared" si="25"/>
        <v>0.06313131313131314</v>
      </c>
      <c r="CE26" s="70">
        <f t="shared" si="26"/>
        <v>0.02824858757062147</v>
      </c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</row>
    <row r="27" spans="1:110" ht="29.25" customHeight="1">
      <c r="A27" s="4">
        <v>18</v>
      </c>
      <c r="B27" s="6" t="str">
        <f>Board!B25</f>
        <v>Jharkhand Academic Council, Ranchi</v>
      </c>
      <c r="C27" s="69">
        <f>Board!AP25</f>
        <v>110691</v>
      </c>
      <c r="D27" s="69">
        <f>Board!AQ25</f>
        <v>109452</v>
      </c>
      <c r="E27" s="69">
        <f>Board!AR25</f>
        <v>220143</v>
      </c>
      <c r="F27" s="9">
        <v>56561</v>
      </c>
      <c r="G27" s="9">
        <v>81177</v>
      </c>
      <c r="H27" s="9">
        <f t="shared" si="27"/>
        <v>137738</v>
      </c>
      <c r="I27" s="9">
        <v>17042</v>
      </c>
      <c r="J27" s="9">
        <v>14140</v>
      </c>
      <c r="K27" s="9">
        <f t="shared" si="0"/>
        <v>31182</v>
      </c>
      <c r="L27" s="69">
        <v>37088</v>
      </c>
      <c r="M27" s="69">
        <v>14135</v>
      </c>
      <c r="N27" s="9">
        <f t="shared" si="28"/>
        <v>51223</v>
      </c>
      <c r="O27" s="145"/>
      <c r="P27" s="145"/>
      <c r="Q27" s="144"/>
      <c r="R27" s="70">
        <f t="shared" si="1"/>
        <v>51.09810192337227</v>
      </c>
      <c r="S27" s="70">
        <f t="shared" si="1"/>
        <v>74.16675803091766</v>
      </c>
      <c r="T27" s="70">
        <f t="shared" si="1"/>
        <v>62.56751293477422</v>
      </c>
      <c r="U27" s="70">
        <f t="shared" si="2"/>
        <v>15.396012322591718</v>
      </c>
      <c r="V27" s="70">
        <f t="shared" si="2"/>
        <v>12.918905090816066</v>
      </c>
      <c r="W27" s="70">
        <f t="shared" si="2"/>
        <v>14.164429484471459</v>
      </c>
      <c r="X27" s="70">
        <f t="shared" si="3"/>
        <v>33.50588575403601</v>
      </c>
      <c r="Y27" s="70">
        <f t="shared" si="3"/>
        <v>12.914336878266273</v>
      </c>
      <c r="Z27" s="70">
        <f t="shared" si="3"/>
        <v>23.26805758075433</v>
      </c>
      <c r="AA27" s="103"/>
      <c r="AB27" s="103"/>
      <c r="AC27" s="103"/>
      <c r="AD27" s="69">
        <f>Board!CI25</f>
        <v>12088</v>
      </c>
      <c r="AE27" s="69">
        <f>Board!CJ25</f>
        <v>9369</v>
      </c>
      <c r="AF27" s="69">
        <f>Board!CK25</f>
        <v>21457</v>
      </c>
      <c r="AG27" s="9">
        <v>6712</v>
      </c>
      <c r="AH27" s="9">
        <v>7208</v>
      </c>
      <c r="AI27" s="9">
        <f t="shared" si="29"/>
        <v>13920</v>
      </c>
      <c r="AJ27" s="9">
        <v>1525</v>
      </c>
      <c r="AK27" s="9">
        <v>1015</v>
      </c>
      <c r="AL27" s="9">
        <f t="shared" si="30"/>
        <v>2540</v>
      </c>
      <c r="AM27" s="69">
        <v>3851</v>
      </c>
      <c r="AN27" s="69">
        <v>1146</v>
      </c>
      <c r="AO27" s="9">
        <f t="shared" si="31"/>
        <v>4997</v>
      </c>
      <c r="AP27" s="145"/>
      <c r="AQ27" s="145"/>
      <c r="AR27" s="144"/>
      <c r="AS27" s="106">
        <f t="shared" si="5"/>
        <v>55.52614162806089</v>
      </c>
      <c r="AT27" s="70">
        <f t="shared" si="6"/>
        <v>76.93457145906714</v>
      </c>
      <c r="AU27" s="70">
        <f t="shared" si="7"/>
        <v>64.87393391434031</v>
      </c>
      <c r="AV27" s="70">
        <f t="shared" si="8"/>
        <v>12.615817339510258</v>
      </c>
      <c r="AW27" s="70">
        <f t="shared" si="9"/>
        <v>10.833600170775963</v>
      </c>
      <c r="AX27" s="70">
        <f t="shared" si="10"/>
        <v>11.837628745863821</v>
      </c>
      <c r="AY27" s="70">
        <f t="shared" si="11"/>
        <v>31.858041032428858</v>
      </c>
      <c r="AZ27" s="70">
        <f t="shared" si="12"/>
        <v>12.2318283701569</v>
      </c>
      <c r="BA27" s="70">
        <f t="shared" si="13"/>
        <v>23.288437339795873</v>
      </c>
      <c r="BB27" s="103"/>
      <c r="BC27" s="103"/>
      <c r="BD27" s="103"/>
      <c r="BE27" s="69">
        <f>Board!EB25</f>
        <v>24279</v>
      </c>
      <c r="BF27" s="69">
        <f>Board!EC25</f>
        <v>28108</v>
      </c>
      <c r="BG27" s="69">
        <f>Board!ED25</f>
        <v>52387</v>
      </c>
      <c r="BH27" s="9">
        <v>16600</v>
      </c>
      <c r="BI27" s="9">
        <v>23291</v>
      </c>
      <c r="BJ27" s="9">
        <f t="shared" si="32"/>
        <v>39891</v>
      </c>
      <c r="BK27" s="9">
        <v>3396</v>
      </c>
      <c r="BL27" s="9">
        <v>2305</v>
      </c>
      <c r="BM27" s="9">
        <f t="shared" si="33"/>
        <v>5701</v>
      </c>
      <c r="BN27" s="69">
        <v>4283</v>
      </c>
      <c r="BO27" s="69">
        <v>2512</v>
      </c>
      <c r="BP27" s="9">
        <f t="shared" si="34"/>
        <v>6795</v>
      </c>
      <c r="BQ27" s="97"/>
      <c r="BR27" s="97"/>
      <c r="BS27" s="98"/>
      <c r="BT27" s="70">
        <f t="shared" si="14"/>
        <v>68.37184398039459</v>
      </c>
      <c r="BU27" s="70">
        <f t="shared" si="15"/>
        <v>82.86253024050093</v>
      </c>
      <c r="BV27" s="70">
        <f t="shared" si="16"/>
        <v>76.14675396567851</v>
      </c>
      <c r="BW27" s="70">
        <f t="shared" si="17"/>
        <v>13.987396515507228</v>
      </c>
      <c r="BX27" s="70">
        <f t="shared" si="18"/>
        <v>8.20051230966273</v>
      </c>
      <c r="BY27" s="70">
        <f t="shared" si="19"/>
        <v>10.882470842002787</v>
      </c>
      <c r="BZ27" s="70">
        <f t="shared" si="20"/>
        <v>17.64075950409819</v>
      </c>
      <c r="CA27" s="70">
        <f t="shared" si="21"/>
        <v>8.936957449836346</v>
      </c>
      <c r="CB27" s="70">
        <f t="shared" si="22"/>
        <v>12.970775192318705</v>
      </c>
      <c r="CC27" s="103"/>
      <c r="CD27" s="103"/>
      <c r="CE27" s="103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</row>
    <row r="28" spans="1:110" ht="30.75" customHeight="1">
      <c r="A28" s="4">
        <v>19</v>
      </c>
      <c r="B28" s="6" t="str">
        <f>Board!B26</f>
        <v>Department of Pre-University Education, Karnataka</v>
      </c>
      <c r="C28" s="69">
        <f>Board!AP26</f>
        <v>187672</v>
      </c>
      <c r="D28" s="69">
        <f>Board!AQ26</f>
        <v>222457</v>
      </c>
      <c r="E28" s="69">
        <f>Board!AR26</f>
        <v>410129</v>
      </c>
      <c r="F28" s="9">
        <f>39956+9505</f>
        <v>49461</v>
      </c>
      <c r="G28" s="9">
        <f>52432+8831</f>
        <v>61263</v>
      </c>
      <c r="H28" s="9">
        <f t="shared" si="27"/>
        <v>110724</v>
      </c>
      <c r="I28" s="9">
        <f>60381+8018</f>
        <v>68399</v>
      </c>
      <c r="J28" s="9">
        <f>83447+6536</f>
        <v>89983</v>
      </c>
      <c r="K28" s="9">
        <f t="shared" si="0"/>
        <v>158382</v>
      </c>
      <c r="L28" s="69">
        <f>63356+6456</f>
        <v>69812</v>
      </c>
      <c r="M28" s="69">
        <f>64802+6409</f>
        <v>71211</v>
      </c>
      <c r="N28" s="9">
        <f t="shared" si="28"/>
        <v>141023</v>
      </c>
      <c r="O28" s="97"/>
      <c r="P28" s="97"/>
      <c r="Q28" s="98"/>
      <c r="R28" s="70">
        <f t="shared" si="1"/>
        <v>26.355023658297455</v>
      </c>
      <c r="S28" s="70">
        <f t="shared" si="1"/>
        <v>27.539254777327752</v>
      </c>
      <c r="T28" s="70">
        <f t="shared" si="1"/>
        <v>26.997359367418543</v>
      </c>
      <c r="U28" s="70">
        <f t="shared" si="2"/>
        <v>36.4460335052645</v>
      </c>
      <c r="V28" s="70">
        <f t="shared" si="2"/>
        <v>40.44961498177175</v>
      </c>
      <c r="W28" s="70">
        <f t="shared" si="2"/>
        <v>38.61760568016405</v>
      </c>
      <c r="X28" s="70">
        <f t="shared" si="3"/>
        <v>37.19894283643804</v>
      </c>
      <c r="Y28" s="70">
        <f t="shared" si="3"/>
        <v>32.011130240900485</v>
      </c>
      <c r="Z28" s="70">
        <f t="shared" si="3"/>
        <v>34.38503495241741</v>
      </c>
      <c r="AA28" s="103"/>
      <c r="AB28" s="103"/>
      <c r="AC28" s="103"/>
      <c r="AD28" s="69">
        <f>Board!CI26</f>
        <v>28529</v>
      </c>
      <c r="AE28" s="69">
        <f>Board!CJ26</f>
        <v>31760</v>
      </c>
      <c r="AF28" s="69">
        <f>Board!CK26</f>
        <v>60289</v>
      </c>
      <c r="AG28" s="9">
        <f>9418+2509</f>
        <v>11927</v>
      </c>
      <c r="AH28" s="9">
        <f>10820+2355</f>
        <v>13175</v>
      </c>
      <c r="AI28" s="9">
        <f t="shared" si="29"/>
        <v>25102</v>
      </c>
      <c r="AJ28" s="9">
        <f>7873+1239</f>
        <v>9112</v>
      </c>
      <c r="AK28" s="9">
        <f>10131+1151</f>
        <v>11282</v>
      </c>
      <c r="AL28" s="9">
        <f t="shared" si="30"/>
        <v>20394</v>
      </c>
      <c r="AM28" s="69">
        <f>6479+1011</f>
        <v>7490</v>
      </c>
      <c r="AN28" s="69">
        <f>6305+998</f>
        <v>7303</v>
      </c>
      <c r="AO28" s="9">
        <f t="shared" si="31"/>
        <v>14793</v>
      </c>
      <c r="AP28" s="97"/>
      <c r="AQ28" s="97"/>
      <c r="AR28" s="98"/>
      <c r="AS28" s="70">
        <f t="shared" si="5"/>
        <v>41.8065827754215</v>
      </c>
      <c r="AT28" s="70">
        <f t="shared" si="6"/>
        <v>41.482997481108306</v>
      </c>
      <c r="AU28" s="70">
        <f t="shared" si="7"/>
        <v>41.63611935842359</v>
      </c>
      <c r="AV28" s="70">
        <f t="shared" si="8"/>
        <v>31.93943005362964</v>
      </c>
      <c r="AW28" s="70">
        <f t="shared" si="9"/>
        <v>35.522670025188916</v>
      </c>
      <c r="AX28" s="70">
        <f t="shared" si="10"/>
        <v>33.827066297334504</v>
      </c>
      <c r="AY28" s="70">
        <f t="shared" si="11"/>
        <v>26.253987170948857</v>
      </c>
      <c r="AZ28" s="70">
        <f t="shared" si="12"/>
        <v>22.994332493702768</v>
      </c>
      <c r="BA28" s="70">
        <f t="shared" si="13"/>
        <v>24.5368143442419</v>
      </c>
      <c r="BB28" s="103"/>
      <c r="BC28" s="103"/>
      <c r="BD28" s="103"/>
      <c r="BE28" s="69">
        <f>Board!EB26</f>
        <v>10096</v>
      </c>
      <c r="BF28" s="69">
        <f>Board!EC26</f>
        <v>10914</v>
      </c>
      <c r="BG28" s="69">
        <f>Board!ED26</f>
        <v>21010</v>
      </c>
      <c r="BH28" s="9">
        <f>3632+965</f>
        <v>4597</v>
      </c>
      <c r="BI28" s="9">
        <f>4071+818</f>
        <v>4889</v>
      </c>
      <c r="BJ28" s="9">
        <f t="shared" si="32"/>
        <v>9486</v>
      </c>
      <c r="BK28" s="9">
        <f>2717+391</f>
        <v>3108</v>
      </c>
      <c r="BL28" s="9">
        <f>3295+308</f>
        <v>3603</v>
      </c>
      <c r="BM28" s="9">
        <f t="shared" si="33"/>
        <v>6711</v>
      </c>
      <c r="BN28" s="69">
        <f>2080+311</f>
        <v>2391</v>
      </c>
      <c r="BO28" s="69">
        <f>2080+342</f>
        <v>2422</v>
      </c>
      <c r="BP28" s="9">
        <f t="shared" si="34"/>
        <v>4813</v>
      </c>
      <c r="BQ28" s="97"/>
      <c r="BR28" s="97"/>
      <c r="BS28" s="98"/>
      <c r="BT28" s="70">
        <f t="shared" si="14"/>
        <v>45.53288431061807</v>
      </c>
      <c r="BU28" s="70">
        <f t="shared" si="15"/>
        <v>44.795675279457576</v>
      </c>
      <c r="BV28" s="70">
        <f t="shared" si="16"/>
        <v>45.14992860542599</v>
      </c>
      <c r="BW28" s="70">
        <f t="shared" si="17"/>
        <v>30.784469096671952</v>
      </c>
      <c r="BX28" s="70">
        <f t="shared" si="18"/>
        <v>33.01264431006047</v>
      </c>
      <c r="BY28" s="70">
        <f t="shared" si="19"/>
        <v>31.941932413136602</v>
      </c>
      <c r="BZ28" s="70">
        <f t="shared" si="20"/>
        <v>23.682646592709986</v>
      </c>
      <c r="CA28" s="70">
        <f t="shared" si="21"/>
        <v>22.19168041048195</v>
      </c>
      <c r="CB28" s="70">
        <f t="shared" si="22"/>
        <v>22.90813898143741</v>
      </c>
      <c r="CC28" s="103"/>
      <c r="CD28" s="103"/>
      <c r="CE28" s="103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</row>
    <row r="29" spans="1:110" ht="27" customHeight="1">
      <c r="A29" s="4">
        <v>20</v>
      </c>
      <c r="B29" s="6" t="str">
        <f>Board!B27</f>
        <v>Kerala Board of Higher Secondary Examination</v>
      </c>
      <c r="C29" s="69">
        <f>Board!AP27</f>
        <v>153838</v>
      </c>
      <c r="D29" s="69">
        <f>Board!AQ27</f>
        <v>190583</v>
      </c>
      <c r="E29" s="69">
        <f>Board!AR27</f>
        <v>344421</v>
      </c>
      <c r="F29" s="9">
        <f>27359+13</f>
        <v>27372</v>
      </c>
      <c r="G29" s="9">
        <f>42+41215</f>
        <v>41257</v>
      </c>
      <c r="H29" s="9">
        <f t="shared" si="27"/>
        <v>68629</v>
      </c>
      <c r="I29" s="9">
        <v>49191</v>
      </c>
      <c r="J29" s="9">
        <v>55547</v>
      </c>
      <c r="K29" s="9">
        <f t="shared" si="0"/>
        <v>104738</v>
      </c>
      <c r="L29" s="69">
        <v>66303</v>
      </c>
      <c r="M29" s="69">
        <v>86690</v>
      </c>
      <c r="N29" s="9">
        <f t="shared" si="28"/>
        <v>152993</v>
      </c>
      <c r="O29" s="97"/>
      <c r="P29" s="97"/>
      <c r="Q29" s="98"/>
      <c r="R29" s="70">
        <f t="shared" si="1"/>
        <v>17.792743015379813</v>
      </c>
      <c r="S29" s="70">
        <f t="shared" si="1"/>
        <v>21.64778600399826</v>
      </c>
      <c r="T29" s="70">
        <f t="shared" si="1"/>
        <v>19.92590463415413</v>
      </c>
      <c r="U29" s="70">
        <f t="shared" si="2"/>
        <v>31.975844719770144</v>
      </c>
      <c r="V29" s="70">
        <f t="shared" si="2"/>
        <v>29.145831475000396</v>
      </c>
      <c r="W29" s="70">
        <f t="shared" si="2"/>
        <v>30.409876285127794</v>
      </c>
      <c r="X29" s="70">
        <f t="shared" si="3"/>
        <v>43.099234259415745</v>
      </c>
      <c r="Y29" s="70">
        <f t="shared" si="3"/>
        <v>45.486743308689654</v>
      </c>
      <c r="Z29" s="70">
        <f t="shared" si="3"/>
        <v>44.42034603000398</v>
      </c>
      <c r="AA29" s="103"/>
      <c r="AB29" s="103"/>
      <c r="AC29" s="103"/>
      <c r="AD29" s="69">
        <f>Board!CI27</f>
        <v>10959</v>
      </c>
      <c r="AE29" s="69">
        <f>Board!CJ27</f>
        <v>15883</v>
      </c>
      <c r="AF29" s="69">
        <f>Board!CK27</f>
        <v>26842</v>
      </c>
      <c r="AG29" s="9">
        <v>3067</v>
      </c>
      <c r="AH29" s="9">
        <v>4620</v>
      </c>
      <c r="AI29" s="9">
        <f t="shared" si="29"/>
        <v>7687</v>
      </c>
      <c r="AJ29" s="9">
        <v>3386</v>
      </c>
      <c r="AK29" s="9">
        <v>4851</v>
      </c>
      <c r="AL29" s="9">
        <f t="shared" si="30"/>
        <v>8237</v>
      </c>
      <c r="AM29" s="69">
        <v>3341</v>
      </c>
      <c r="AN29" s="69">
        <v>5344</v>
      </c>
      <c r="AO29" s="9">
        <f t="shared" si="31"/>
        <v>8685</v>
      </c>
      <c r="AP29" s="97"/>
      <c r="AQ29" s="97"/>
      <c r="AR29" s="98"/>
      <c r="AS29" s="70">
        <f t="shared" si="5"/>
        <v>27.986130121361438</v>
      </c>
      <c r="AT29" s="70">
        <f t="shared" si="6"/>
        <v>29.08770383428823</v>
      </c>
      <c r="AU29" s="70">
        <f t="shared" si="7"/>
        <v>28.637955442962518</v>
      </c>
      <c r="AV29" s="70">
        <f t="shared" si="8"/>
        <v>30.896979651428047</v>
      </c>
      <c r="AW29" s="70">
        <f t="shared" si="9"/>
        <v>30.542089026002643</v>
      </c>
      <c r="AX29" s="70">
        <f t="shared" si="10"/>
        <v>30.68698308620818</v>
      </c>
      <c r="AY29" s="70">
        <f t="shared" si="11"/>
        <v>30.48635824436536</v>
      </c>
      <c r="AZ29" s="70">
        <f t="shared" si="12"/>
        <v>33.64603664295158</v>
      </c>
      <c r="BA29" s="70">
        <f t="shared" si="13"/>
        <v>32.35600923925192</v>
      </c>
      <c r="BB29" s="103"/>
      <c r="BC29" s="103"/>
      <c r="BD29" s="103"/>
      <c r="BE29" s="69">
        <f>Board!EB27</f>
        <v>1502</v>
      </c>
      <c r="BF29" s="69">
        <f>Board!EC27</f>
        <v>2075</v>
      </c>
      <c r="BG29" s="69">
        <f>Board!ED27</f>
        <v>3577</v>
      </c>
      <c r="BH29" s="9">
        <v>616</v>
      </c>
      <c r="BI29" s="9">
        <v>852</v>
      </c>
      <c r="BJ29" s="9">
        <f t="shared" si="32"/>
        <v>1468</v>
      </c>
      <c r="BK29" s="9">
        <v>429</v>
      </c>
      <c r="BL29" s="9">
        <v>513</v>
      </c>
      <c r="BM29" s="9">
        <f t="shared" si="33"/>
        <v>942</v>
      </c>
      <c r="BN29" s="69">
        <v>363</v>
      </c>
      <c r="BO29" s="69">
        <v>587</v>
      </c>
      <c r="BP29" s="9">
        <f t="shared" si="34"/>
        <v>950</v>
      </c>
      <c r="BQ29" s="97"/>
      <c r="BR29" s="97"/>
      <c r="BS29" s="98"/>
      <c r="BT29" s="70">
        <f t="shared" si="14"/>
        <v>41.011984021304926</v>
      </c>
      <c r="BU29" s="70">
        <f t="shared" si="15"/>
        <v>41.06024096385542</v>
      </c>
      <c r="BV29" s="70">
        <f t="shared" si="16"/>
        <v>41.03997763488957</v>
      </c>
      <c r="BW29" s="70">
        <f t="shared" si="17"/>
        <v>28.561917443408788</v>
      </c>
      <c r="BX29" s="70">
        <f t="shared" si="18"/>
        <v>24.72289156626506</v>
      </c>
      <c r="BY29" s="70">
        <f t="shared" si="19"/>
        <v>26.334917528655296</v>
      </c>
      <c r="BZ29" s="70">
        <f t="shared" si="20"/>
        <v>24.167776298268976</v>
      </c>
      <c r="CA29" s="70">
        <f t="shared" si="21"/>
        <v>28.289156626506024</v>
      </c>
      <c r="CB29" s="70">
        <f t="shared" si="22"/>
        <v>26.558568632932623</v>
      </c>
      <c r="CC29" s="103"/>
      <c r="CD29" s="103"/>
      <c r="CE29" s="103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</row>
    <row r="30" spans="1:110" ht="43.5" customHeight="1">
      <c r="A30" s="4">
        <v>21</v>
      </c>
      <c r="B30" s="6" t="str">
        <f>Board!B28</f>
        <v>Maharashtra State Board of Secondary &amp; Higher Secondary Education</v>
      </c>
      <c r="C30" s="69">
        <f>Board!AP28</f>
        <v>648872</v>
      </c>
      <c r="D30" s="69">
        <f>Board!AQ28</f>
        <v>549723</v>
      </c>
      <c r="E30" s="69">
        <f>Board!AR28</f>
        <v>1198595</v>
      </c>
      <c r="F30" s="9">
        <v>169977</v>
      </c>
      <c r="G30" s="9">
        <v>182573</v>
      </c>
      <c r="H30" s="9">
        <f t="shared" si="27"/>
        <v>352550</v>
      </c>
      <c r="I30" s="9">
        <v>153297</v>
      </c>
      <c r="J30" s="9">
        <v>154311</v>
      </c>
      <c r="K30" s="9">
        <f t="shared" si="0"/>
        <v>307608</v>
      </c>
      <c r="L30" s="69">
        <v>266416</v>
      </c>
      <c r="M30" s="69">
        <v>190108</v>
      </c>
      <c r="N30" s="9">
        <f t="shared" si="28"/>
        <v>456524</v>
      </c>
      <c r="O30" s="69">
        <v>35571</v>
      </c>
      <c r="P30" s="69">
        <v>11804</v>
      </c>
      <c r="Q30" s="9">
        <f>O30+P30</f>
        <v>47375</v>
      </c>
      <c r="R30" s="70">
        <f t="shared" si="1"/>
        <v>26.19576742408364</v>
      </c>
      <c r="S30" s="70">
        <f t="shared" si="1"/>
        <v>33.21181758813075</v>
      </c>
      <c r="T30" s="70">
        <f t="shared" si="1"/>
        <v>29.413605095966524</v>
      </c>
      <c r="U30" s="70">
        <f t="shared" si="2"/>
        <v>23.625152572464213</v>
      </c>
      <c r="V30" s="70">
        <f t="shared" si="2"/>
        <v>28.070682871191494</v>
      </c>
      <c r="W30" s="70">
        <f t="shared" si="2"/>
        <v>25.66404832324513</v>
      </c>
      <c r="X30" s="70">
        <f t="shared" si="3"/>
        <v>41.05832891541012</v>
      </c>
      <c r="Y30" s="70">
        <f t="shared" si="3"/>
        <v>34.58250791762397</v>
      </c>
      <c r="Z30" s="70">
        <f t="shared" si="3"/>
        <v>38.08826167304218</v>
      </c>
      <c r="AA30" s="70">
        <f aca="true" t="shared" si="38" ref="AA30:AC31">IF(C30=0,"",O30/C30%)</f>
        <v>5.48197487331862</v>
      </c>
      <c r="AB30" s="70">
        <f t="shared" si="38"/>
        <v>2.147263258040868</v>
      </c>
      <c r="AC30" s="70">
        <f t="shared" si="38"/>
        <v>3.9525444374455088</v>
      </c>
      <c r="AD30" s="69">
        <f>Board!CI28</f>
        <v>83781</v>
      </c>
      <c r="AE30" s="69">
        <f>Board!CJ28</f>
        <v>74178</v>
      </c>
      <c r="AF30" s="69">
        <f>Board!CK28</f>
        <v>157959</v>
      </c>
      <c r="AG30" s="9">
        <v>29218</v>
      </c>
      <c r="AH30" s="9">
        <v>30110</v>
      </c>
      <c r="AI30" s="9">
        <f t="shared" si="29"/>
        <v>59328</v>
      </c>
      <c r="AJ30" s="9">
        <v>15357</v>
      </c>
      <c r="AK30" s="9">
        <v>16623</v>
      </c>
      <c r="AL30" s="9">
        <f t="shared" si="30"/>
        <v>31980</v>
      </c>
      <c r="AM30" s="69">
        <v>29330</v>
      </c>
      <c r="AN30" s="69">
        <v>22872</v>
      </c>
      <c r="AO30" s="9">
        <f t="shared" si="31"/>
        <v>52202</v>
      </c>
      <c r="AP30" s="69">
        <v>6316</v>
      </c>
      <c r="AQ30" s="69">
        <v>2503</v>
      </c>
      <c r="AR30" s="9">
        <f>AP30+AQ30</f>
        <v>8819</v>
      </c>
      <c r="AS30" s="70">
        <f t="shared" si="5"/>
        <v>34.87425549945692</v>
      </c>
      <c r="AT30" s="70">
        <f t="shared" si="6"/>
        <v>40.59155005527246</v>
      </c>
      <c r="AU30" s="70">
        <f t="shared" si="7"/>
        <v>37.559113440829584</v>
      </c>
      <c r="AV30" s="70">
        <f t="shared" si="8"/>
        <v>18.329931607405022</v>
      </c>
      <c r="AW30" s="70">
        <f t="shared" si="9"/>
        <v>22.40960931812667</v>
      </c>
      <c r="AX30" s="70">
        <f t="shared" si="10"/>
        <v>20.245759975689896</v>
      </c>
      <c r="AY30" s="70">
        <f t="shared" si="11"/>
        <v>35.0079373604994</v>
      </c>
      <c r="AZ30" s="70">
        <f t="shared" si="12"/>
        <v>30.833939982204967</v>
      </c>
      <c r="BA30" s="70">
        <f t="shared" si="13"/>
        <v>33.047816205471044</v>
      </c>
      <c r="BB30" s="70">
        <f aca="true" t="shared" si="39" ref="BB30:BD31">IF(AD30=0,"",AP30/AD30%)</f>
        <v>7.538702092359843</v>
      </c>
      <c r="BC30" s="70">
        <f t="shared" si="39"/>
        <v>3.3743158348836584</v>
      </c>
      <c r="BD30" s="70">
        <f t="shared" si="39"/>
        <v>5.58309434726733</v>
      </c>
      <c r="BE30" s="69">
        <f>Board!EB28</f>
        <v>41166</v>
      </c>
      <c r="BF30" s="69">
        <f>Board!EC28</f>
        <v>33554</v>
      </c>
      <c r="BG30" s="69">
        <f>Board!ED28</f>
        <v>74720</v>
      </c>
      <c r="BH30" s="9">
        <v>21729</v>
      </c>
      <c r="BI30" s="9">
        <v>19805</v>
      </c>
      <c r="BJ30" s="9">
        <f t="shared" si="32"/>
        <v>41534</v>
      </c>
      <c r="BK30" s="9">
        <v>3727</v>
      </c>
      <c r="BL30" s="9">
        <v>3250</v>
      </c>
      <c r="BM30" s="9">
        <f t="shared" si="33"/>
        <v>6977</v>
      </c>
      <c r="BN30" s="69">
        <v>12772</v>
      </c>
      <c r="BO30" s="69">
        <v>8997</v>
      </c>
      <c r="BP30" s="9">
        <f t="shared" si="34"/>
        <v>21769</v>
      </c>
      <c r="BQ30" s="69">
        <v>1558</v>
      </c>
      <c r="BR30" s="69">
        <v>639</v>
      </c>
      <c r="BS30" s="9">
        <f t="shared" si="35"/>
        <v>2197</v>
      </c>
      <c r="BT30" s="70">
        <f t="shared" si="14"/>
        <v>52.78385075061944</v>
      </c>
      <c r="BU30" s="70">
        <f t="shared" si="15"/>
        <v>59.02425940275376</v>
      </c>
      <c r="BV30" s="70">
        <f t="shared" si="16"/>
        <v>55.58618843683083</v>
      </c>
      <c r="BW30" s="70">
        <f t="shared" si="17"/>
        <v>9.053587912354855</v>
      </c>
      <c r="BX30" s="70">
        <f t="shared" si="18"/>
        <v>9.685879477856588</v>
      </c>
      <c r="BY30" s="70">
        <f t="shared" si="19"/>
        <v>9.337526766595289</v>
      </c>
      <c r="BZ30" s="70">
        <f t="shared" si="20"/>
        <v>31.02560365350046</v>
      </c>
      <c r="CA30" s="70">
        <f t="shared" si="21"/>
        <v>26.81349466531561</v>
      </c>
      <c r="CB30" s="70">
        <f t="shared" si="22"/>
        <v>29.134100642398284</v>
      </c>
      <c r="CC30" s="70">
        <f t="shared" si="24"/>
        <v>3.7846766749259095</v>
      </c>
      <c r="CD30" s="70">
        <f t="shared" si="25"/>
        <v>1.9043929188770339</v>
      </c>
      <c r="CE30" s="70">
        <f t="shared" si="26"/>
        <v>2.940310492505353</v>
      </c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</row>
    <row r="31" spans="1:110" ht="27.75" customHeight="1">
      <c r="A31" s="4">
        <v>22</v>
      </c>
      <c r="B31" s="6" t="str">
        <f>Board!B29</f>
        <v>Board of Secondary Education, Madhya Pradesh</v>
      </c>
      <c r="C31" s="69">
        <f>Board!AP29</f>
        <v>269247</v>
      </c>
      <c r="D31" s="69">
        <f>Board!AQ29</f>
        <v>229315</v>
      </c>
      <c r="E31" s="69">
        <f>Board!AR29</f>
        <v>498562</v>
      </c>
      <c r="F31" s="9">
        <v>53465</v>
      </c>
      <c r="G31" s="9">
        <v>69461</v>
      </c>
      <c r="H31" s="9">
        <f t="shared" si="27"/>
        <v>122926</v>
      </c>
      <c r="I31" s="9">
        <v>40428</v>
      </c>
      <c r="J31" s="9">
        <v>36982</v>
      </c>
      <c r="K31" s="9">
        <f t="shared" si="0"/>
        <v>77410</v>
      </c>
      <c r="L31" s="69">
        <v>116194</v>
      </c>
      <c r="M31" s="69">
        <v>82663</v>
      </c>
      <c r="N31" s="9">
        <f t="shared" si="28"/>
        <v>198857</v>
      </c>
      <c r="O31" s="69">
        <v>1513</v>
      </c>
      <c r="P31" s="69">
        <v>1016</v>
      </c>
      <c r="Q31" s="9">
        <f>O31+P31</f>
        <v>2529</v>
      </c>
      <c r="R31" s="70">
        <f t="shared" si="1"/>
        <v>19.857231464046027</v>
      </c>
      <c r="S31" s="70">
        <f t="shared" si="1"/>
        <v>30.290648234960642</v>
      </c>
      <c r="T31" s="70">
        <f t="shared" si="1"/>
        <v>24.656110975164573</v>
      </c>
      <c r="U31" s="70">
        <f t="shared" si="2"/>
        <v>15.015209083109562</v>
      </c>
      <c r="V31" s="70">
        <f t="shared" si="2"/>
        <v>16.12716132830386</v>
      </c>
      <c r="W31" s="70">
        <f t="shared" si="2"/>
        <v>15.526654658798705</v>
      </c>
      <c r="X31" s="70">
        <f t="shared" si="3"/>
        <v>43.15516978833562</v>
      </c>
      <c r="Y31" s="70">
        <f t="shared" si="3"/>
        <v>36.047794518457145</v>
      </c>
      <c r="Z31" s="70">
        <f t="shared" si="3"/>
        <v>39.88611245943333</v>
      </c>
      <c r="AA31" s="70">
        <f t="shared" si="38"/>
        <v>0.5619375517647365</v>
      </c>
      <c r="AB31" s="70">
        <f t="shared" si="38"/>
        <v>0.4430586747487081</v>
      </c>
      <c r="AC31" s="70">
        <f t="shared" si="38"/>
        <v>0.5072588765288971</v>
      </c>
      <c r="AD31" s="69">
        <f>Board!CI29</f>
        <v>41154</v>
      </c>
      <c r="AE31" s="69">
        <f>Board!CJ29</f>
        <v>31956</v>
      </c>
      <c r="AF31" s="69">
        <f>Board!CK29</f>
        <v>73110</v>
      </c>
      <c r="AG31" s="9">
        <v>10263</v>
      </c>
      <c r="AH31" s="9">
        <v>11151</v>
      </c>
      <c r="AI31" s="9">
        <f t="shared" si="29"/>
        <v>21414</v>
      </c>
      <c r="AJ31" s="9">
        <v>4955</v>
      </c>
      <c r="AK31" s="9">
        <v>4457</v>
      </c>
      <c r="AL31" s="9">
        <f t="shared" si="30"/>
        <v>9412</v>
      </c>
      <c r="AM31" s="69">
        <v>16685</v>
      </c>
      <c r="AN31" s="69">
        <v>10498</v>
      </c>
      <c r="AO31" s="9">
        <f t="shared" si="31"/>
        <v>27183</v>
      </c>
      <c r="AP31" s="69">
        <v>234</v>
      </c>
      <c r="AQ31" s="69">
        <v>158</v>
      </c>
      <c r="AR31" s="9">
        <f>AP31+AQ31</f>
        <v>392</v>
      </c>
      <c r="AS31" s="70">
        <f t="shared" si="5"/>
        <v>24.938037614812654</v>
      </c>
      <c r="AT31" s="70">
        <f t="shared" si="6"/>
        <v>34.89485542621104</v>
      </c>
      <c r="AU31" s="70">
        <f t="shared" si="7"/>
        <v>29.290110791957325</v>
      </c>
      <c r="AV31" s="70">
        <f t="shared" si="8"/>
        <v>12.040141906011566</v>
      </c>
      <c r="AW31" s="70">
        <f t="shared" si="9"/>
        <v>13.947302540993867</v>
      </c>
      <c r="AX31" s="70">
        <f t="shared" si="10"/>
        <v>12.87375188072767</v>
      </c>
      <c r="AY31" s="70">
        <f t="shared" si="11"/>
        <v>40.542839092190306</v>
      </c>
      <c r="AZ31" s="70">
        <f t="shared" si="12"/>
        <v>32.85142070346727</v>
      </c>
      <c r="BA31" s="70">
        <f t="shared" si="13"/>
        <v>37.180960196963476</v>
      </c>
      <c r="BB31" s="70">
        <f t="shared" si="39"/>
        <v>0.5685960052485785</v>
      </c>
      <c r="BC31" s="70">
        <f t="shared" si="39"/>
        <v>0.4944298410314182</v>
      </c>
      <c r="BD31" s="70">
        <f t="shared" si="39"/>
        <v>0.5361783613732731</v>
      </c>
      <c r="BE31" s="69">
        <f>Board!EB29</f>
        <v>34696</v>
      </c>
      <c r="BF31" s="69">
        <f>Board!EC29</f>
        <v>31311</v>
      </c>
      <c r="BG31" s="69">
        <f>Board!ED29</f>
        <v>66007</v>
      </c>
      <c r="BH31" s="9">
        <v>10372</v>
      </c>
      <c r="BI31" s="9">
        <v>11897</v>
      </c>
      <c r="BJ31" s="9">
        <f t="shared" si="32"/>
        <v>22269</v>
      </c>
      <c r="BK31" s="9">
        <v>2227</v>
      </c>
      <c r="BL31" s="9">
        <v>1616</v>
      </c>
      <c r="BM31" s="9">
        <f t="shared" si="33"/>
        <v>3843</v>
      </c>
      <c r="BN31" s="69">
        <v>11026</v>
      </c>
      <c r="BO31" s="69">
        <v>9223</v>
      </c>
      <c r="BP31" s="9">
        <f t="shared" si="34"/>
        <v>20249</v>
      </c>
      <c r="BQ31" s="69">
        <v>281</v>
      </c>
      <c r="BR31" s="69">
        <v>167</v>
      </c>
      <c r="BS31" s="9">
        <f t="shared" si="35"/>
        <v>448</v>
      </c>
      <c r="BT31" s="70">
        <f t="shared" si="14"/>
        <v>29.893935900391977</v>
      </c>
      <c r="BU31" s="70">
        <f t="shared" si="15"/>
        <v>37.99623135639232</v>
      </c>
      <c r="BV31" s="70">
        <f t="shared" si="16"/>
        <v>33.73733088914812</v>
      </c>
      <c r="BW31" s="70">
        <f t="shared" si="17"/>
        <v>6.418607332257321</v>
      </c>
      <c r="BX31" s="70">
        <f t="shared" si="18"/>
        <v>5.161125483057073</v>
      </c>
      <c r="BY31" s="70">
        <f t="shared" si="19"/>
        <v>5.822109776235854</v>
      </c>
      <c r="BZ31" s="70">
        <f t="shared" si="20"/>
        <v>31.77887940973023</v>
      </c>
      <c r="CA31" s="70">
        <f t="shared" si="21"/>
        <v>29.45610168950209</v>
      </c>
      <c r="CB31" s="70">
        <f t="shared" si="22"/>
        <v>30.677049403851104</v>
      </c>
      <c r="CC31" s="70">
        <f t="shared" si="24"/>
        <v>0.8098916301590962</v>
      </c>
      <c r="CD31" s="70">
        <f t="shared" si="25"/>
        <v>0.533358883459487</v>
      </c>
      <c r="CE31" s="70">
        <f t="shared" si="26"/>
        <v>0.6787158937688427</v>
      </c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</row>
    <row r="32" spans="1:110" ht="27.75" customHeight="1">
      <c r="A32" s="4">
        <v>23</v>
      </c>
      <c r="B32" s="80" t="s">
        <v>86</v>
      </c>
      <c r="C32" s="69">
        <f>Board!AP46</f>
        <v>374</v>
      </c>
      <c r="D32" s="69">
        <f>Board!AQ46</f>
        <v>17</v>
      </c>
      <c r="E32" s="69">
        <f>Board!AR46</f>
        <v>391</v>
      </c>
      <c r="F32" s="98"/>
      <c r="G32" s="98"/>
      <c r="H32" s="98"/>
      <c r="I32" s="98"/>
      <c r="J32" s="98"/>
      <c r="K32" s="98"/>
      <c r="L32" s="97"/>
      <c r="M32" s="97"/>
      <c r="N32" s="98"/>
      <c r="O32" s="97"/>
      <c r="P32" s="97"/>
      <c r="Q32" s="98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69">
        <f>Board!CI46</f>
        <v>3</v>
      </c>
      <c r="AE32" s="69">
        <f>Board!CJ46</f>
        <v>2</v>
      </c>
      <c r="AF32" s="69">
        <f>Board!CK46</f>
        <v>5</v>
      </c>
      <c r="AG32" s="98"/>
      <c r="AH32" s="98"/>
      <c r="AI32" s="98"/>
      <c r="AJ32" s="98"/>
      <c r="AK32" s="98"/>
      <c r="AL32" s="98"/>
      <c r="AM32" s="97"/>
      <c r="AN32" s="97"/>
      <c r="AO32" s="98"/>
      <c r="AP32" s="97"/>
      <c r="AQ32" s="97"/>
      <c r="AR32" s="98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69">
        <f>Board!EB46</f>
        <v>1</v>
      </c>
      <c r="BF32" s="69">
        <f>Board!EC46</f>
        <v>0</v>
      </c>
      <c r="BG32" s="69">
        <f>Board!ED46</f>
        <v>1</v>
      </c>
      <c r="BH32" s="98"/>
      <c r="BI32" s="98"/>
      <c r="BJ32" s="98"/>
      <c r="BK32" s="98"/>
      <c r="BL32" s="98"/>
      <c r="BM32" s="98"/>
      <c r="BN32" s="97"/>
      <c r="BO32" s="97"/>
      <c r="BP32" s="98"/>
      <c r="BQ32" s="97"/>
      <c r="BR32" s="97"/>
      <c r="BS32" s="98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</row>
    <row r="33" spans="1:110" ht="29.25" customHeight="1">
      <c r="A33" s="4">
        <v>24</v>
      </c>
      <c r="B33" s="6" t="str">
        <f>Board!B30</f>
        <v>Council of Higher Secondary Education, Imphal, Manipur</v>
      </c>
      <c r="C33" s="69">
        <f>Board!AP30</f>
        <v>10513</v>
      </c>
      <c r="D33" s="69">
        <f>Board!AQ30</f>
        <v>10099</v>
      </c>
      <c r="E33" s="69">
        <f>Board!AR30</f>
        <v>20612</v>
      </c>
      <c r="F33" s="9">
        <v>2289</v>
      </c>
      <c r="G33" s="9">
        <v>2356</v>
      </c>
      <c r="H33" s="9">
        <f t="shared" si="27"/>
        <v>4645</v>
      </c>
      <c r="I33" s="9">
        <v>235</v>
      </c>
      <c r="J33" s="9">
        <v>168</v>
      </c>
      <c r="K33" s="9">
        <f t="shared" si="0"/>
        <v>403</v>
      </c>
      <c r="L33" s="69">
        <v>7989</v>
      </c>
      <c r="M33" s="69">
        <v>7575</v>
      </c>
      <c r="N33" s="9">
        <f t="shared" si="28"/>
        <v>15564</v>
      </c>
      <c r="O33" s="145"/>
      <c r="P33" s="145"/>
      <c r="Q33" s="144"/>
      <c r="R33" s="70">
        <f t="shared" si="1"/>
        <v>21.773042899267576</v>
      </c>
      <c r="S33" s="70">
        <f t="shared" si="1"/>
        <v>23.329042479453413</v>
      </c>
      <c r="T33" s="70">
        <f t="shared" si="1"/>
        <v>22.535416262371434</v>
      </c>
      <c r="U33" s="70">
        <f t="shared" si="2"/>
        <v>2.235327689527252</v>
      </c>
      <c r="V33" s="70">
        <f t="shared" si="2"/>
        <v>1.663531042677493</v>
      </c>
      <c r="W33" s="70">
        <f t="shared" si="2"/>
        <v>1.9551717446147874</v>
      </c>
      <c r="X33" s="70">
        <f t="shared" si="3"/>
        <v>75.99162941120518</v>
      </c>
      <c r="Y33" s="70">
        <f t="shared" si="3"/>
        <v>75.0074264778691</v>
      </c>
      <c r="Z33" s="70">
        <f t="shared" si="3"/>
        <v>75.50941199301377</v>
      </c>
      <c r="AA33" s="146"/>
      <c r="AB33" s="146"/>
      <c r="AC33" s="146"/>
      <c r="AD33" s="69">
        <f>Board!CI30</f>
        <v>415</v>
      </c>
      <c r="AE33" s="69">
        <f>Board!CJ30</f>
        <v>459</v>
      </c>
      <c r="AF33" s="69">
        <f>Board!CK30</f>
        <v>874</v>
      </c>
      <c r="AG33" s="9">
        <v>60</v>
      </c>
      <c r="AH33" s="9">
        <v>66</v>
      </c>
      <c r="AI33" s="9">
        <f t="shared" si="29"/>
        <v>126</v>
      </c>
      <c r="AJ33" s="9">
        <v>9</v>
      </c>
      <c r="AK33" s="9">
        <v>10</v>
      </c>
      <c r="AL33" s="9">
        <f t="shared" si="30"/>
        <v>19</v>
      </c>
      <c r="AM33" s="69">
        <v>346</v>
      </c>
      <c r="AN33" s="69">
        <v>383</v>
      </c>
      <c r="AO33" s="9">
        <f t="shared" si="31"/>
        <v>729</v>
      </c>
      <c r="AP33" s="97"/>
      <c r="AQ33" s="97"/>
      <c r="AR33" s="98"/>
      <c r="AS33" s="70">
        <f t="shared" si="5"/>
        <v>14.457831325301203</v>
      </c>
      <c r="AT33" s="70">
        <f t="shared" si="6"/>
        <v>14.379084967320262</v>
      </c>
      <c r="AU33" s="70">
        <f t="shared" si="7"/>
        <v>14.416475972540045</v>
      </c>
      <c r="AV33" s="70">
        <f t="shared" si="8"/>
        <v>2.1686746987951806</v>
      </c>
      <c r="AW33" s="70">
        <f t="shared" si="9"/>
        <v>2.178649237472767</v>
      </c>
      <c r="AX33" s="70">
        <f t="shared" si="10"/>
        <v>2.1739130434782608</v>
      </c>
      <c r="AY33" s="70">
        <f t="shared" si="11"/>
        <v>83.37349397590361</v>
      </c>
      <c r="AZ33" s="70">
        <f t="shared" si="12"/>
        <v>83.44226579520698</v>
      </c>
      <c r="BA33" s="70">
        <f t="shared" si="13"/>
        <v>83.4096109839817</v>
      </c>
      <c r="BB33" s="103"/>
      <c r="BC33" s="103"/>
      <c r="BD33" s="103"/>
      <c r="BE33" s="69">
        <f>Board!EB30</f>
        <v>3771</v>
      </c>
      <c r="BF33" s="69">
        <f>Board!EC30</f>
        <v>3734</v>
      </c>
      <c r="BG33" s="69">
        <f>Board!ED30</f>
        <v>7505</v>
      </c>
      <c r="BH33" s="9">
        <v>1848</v>
      </c>
      <c r="BI33" s="9">
        <v>1700</v>
      </c>
      <c r="BJ33" s="9">
        <f t="shared" si="32"/>
        <v>3548</v>
      </c>
      <c r="BK33" s="9">
        <v>147</v>
      </c>
      <c r="BL33" s="9">
        <v>79</v>
      </c>
      <c r="BM33" s="9">
        <f t="shared" si="33"/>
        <v>226</v>
      </c>
      <c r="BN33" s="69">
        <v>1776</v>
      </c>
      <c r="BO33" s="69">
        <v>1955</v>
      </c>
      <c r="BP33" s="9">
        <f t="shared" si="34"/>
        <v>3731</v>
      </c>
      <c r="BQ33" s="97"/>
      <c r="BR33" s="97"/>
      <c r="BS33" s="98">
        <f t="shared" si="35"/>
        <v>0</v>
      </c>
      <c r="BT33" s="70">
        <f t="shared" si="14"/>
        <v>49.005568814638025</v>
      </c>
      <c r="BU33" s="70">
        <f t="shared" si="15"/>
        <v>45.52758435993572</v>
      </c>
      <c r="BV33" s="70">
        <f t="shared" si="16"/>
        <v>47.27514990006662</v>
      </c>
      <c r="BW33" s="70">
        <f t="shared" si="17"/>
        <v>3.898170246618934</v>
      </c>
      <c r="BX33" s="70">
        <f t="shared" si="18"/>
        <v>2.1156936261381896</v>
      </c>
      <c r="BY33" s="70">
        <f t="shared" si="19"/>
        <v>3.011325782811459</v>
      </c>
      <c r="BZ33" s="70">
        <f t="shared" si="20"/>
        <v>47.096260938743036</v>
      </c>
      <c r="CA33" s="70">
        <f t="shared" si="21"/>
        <v>52.35672201392608</v>
      </c>
      <c r="CB33" s="70">
        <f t="shared" si="22"/>
        <v>49.71352431712192</v>
      </c>
      <c r="CC33" s="103">
        <f t="shared" si="24"/>
        <v>0</v>
      </c>
      <c r="CD33" s="103">
        <f t="shared" si="25"/>
        <v>0</v>
      </c>
      <c r="CE33" s="103">
        <f t="shared" si="26"/>
        <v>0</v>
      </c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</row>
    <row r="34" spans="1:110" ht="28.5" customHeight="1">
      <c r="A34" s="4">
        <v>25</v>
      </c>
      <c r="B34" s="6" t="str">
        <f>Board!B31</f>
        <v>Meghalaya Board of School Education</v>
      </c>
      <c r="C34" s="69">
        <f>Board!AP31</f>
        <v>8595</v>
      </c>
      <c r="D34" s="69">
        <f>Board!AQ31</f>
        <v>11257</v>
      </c>
      <c r="E34" s="69">
        <f>Board!AR31</f>
        <v>19852</v>
      </c>
      <c r="F34" s="9">
        <v>6457</v>
      </c>
      <c r="G34" s="9">
        <v>9176</v>
      </c>
      <c r="H34" s="9">
        <f t="shared" si="27"/>
        <v>15633</v>
      </c>
      <c r="I34" s="9">
        <v>888</v>
      </c>
      <c r="J34" s="9">
        <v>658</v>
      </c>
      <c r="K34" s="9">
        <f t="shared" si="0"/>
        <v>1546</v>
      </c>
      <c r="L34" s="69">
        <v>1250</v>
      </c>
      <c r="M34" s="69">
        <v>1423</v>
      </c>
      <c r="N34" s="9">
        <f t="shared" si="28"/>
        <v>2673</v>
      </c>
      <c r="O34" s="97"/>
      <c r="P34" s="97"/>
      <c r="Q34" s="98"/>
      <c r="R34" s="70">
        <f t="shared" si="1"/>
        <v>75.12507271669575</v>
      </c>
      <c r="S34" s="70">
        <f t="shared" si="1"/>
        <v>81.51372479346185</v>
      </c>
      <c r="T34" s="70">
        <f t="shared" si="1"/>
        <v>78.74773322587144</v>
      </c>
      <c r="U34" s="70">
        <f t="shared" si="2"/>
        <v>10.331588132635252</v>
      </c>
      <c r="V34" s="70">
        <f t="shared" si="2"/>
        <v>5.845251843297504</v>
      </c>
      <c r="W34" s="70">
        <f t="shared" si="2"/>
        <v>7.787628450533951</v>
      </c>
      <c r="X34" s="70">
        <f t="shared" si="3"/>
        <v>14.543339150668993</v>
      </c>
      <c r="Y34" s="70">
        <f t="shared" si="3"/>
        <v>12.64102336324065</v>
      </c>
      <c r="Z34" s="70">
        <f t="shared" si="3"/>
        <v>13.464638323594599</v>
      </c>
      <c r="AA34" s="103"/>
      <c r="AB34" s="103"/>
      <c r="AC34" s="103"/>
      <c r="AD34" s="69">
        <f>Board!CI31</f>
        <v>67</v>
      </c>
      <c r="AE34" s="69">
        <f>Board!CJ31</f>
        <v>55</v>
      </c>
      <c r="AF34" s="69">
        <f>Board!CK31</f>
        <v>122</v>
      </c>
      <c r="AG34" s="9">
        <v>44</v>
      </c>
      <c r="AH34" s="9">
        <v>36</v>
      </c>
      <c r="AI34" s="9">
        <f t="shared" si="29"/>
        <v>80</v>
      </c>
      <c r="AJ34" s="9">
        <v>10</v>
      </c>
      <c r="AK34" s="9">
        <v>8</v>
      </c>
      <c r="AL34" s="9">
        <f t="shared" si="30"/>
        <v>18</v>
      </c>
      <c r="AM34" s="69">
        <v>13</v>
      </c>
      <c r="AN34" s="69">
        <v>11</v>
      </c>
      <c r="AO34" s="9">
        <f t="shared" si="31"/>
        <v>24</v>
      </c>
      <c r="AP34" s="97"/>
      <c r="AQ34" s="97"/>
      <c r="AR34" s="98"/>
      <c r="AS34" s="70">
        <f t="shared" si="5"/>
        <v>65.67164179104478</v>
      </c>
      <c r="AT34" s="70">
        <f t="shared" si="6"/>
        <v>65.45454545454545</v>
      </c>
      <c r="AU34" s="70">
        <f t="shared" si="7"/>
        <v>65.57377049180327</v>
      </c>
      <c r="AV34" s="70">
        <f t="shared" si="8"/>
        <v>14.925373134328357</v>
      </c>
      <c r="AW34" s="70">
        <f t="shared" si="9"/>
        <v>14.545454545454545</v>
      </c>
      <c r="AX34" s="70">
        <f t="shared" si="10"/>
        <v>14.754098360655737</v>
      </c>
      <c r="AY34" s="70">
        <f t="shared" si="11"/>
        <v>19.402985074626866</v>
      </c>
      <c r="AZ34" s="70">
        <f t="shared" si="12"/>
        <v>20</v>
      </c>
      <c r="BA34" s="70">
        <f t="shared" si="13"/>
        <v>19.672131147540984</v>
      </c>
      <c r="BB34" s="103"/>
      <c r="BC34" s="103"/>
      <c r="BD34" s="103"/>
      <c r="BE34" s="69">
        <f>Board!EB31</f>
        <v>7685</v>
      </c>
      <c r="BF34" s="69">
        <f>Board!EC31</f>
        <v>10398</v>
      </c>
      <c r="BG34" s="69">
        <f>Board!ED31</f>
        <v>18083</v>
      </c>
      <c r="BH34" s="83">
        <v>13</v>
      </c>
      <c r="BI34" s="83">
        <v>11</v>
      </c>
      <c r="BJ34" s="83">
        <f t="shared" si="32"/>
        <v>24</v>
      </c>
      <c r="BK34" s="9">
        <v>634</v>
      </c>
      <c r="BL34" s="9">
        <v>473</v>
      </c>
      <c r="BM34" s="9">
        <f t="shared" si="33"/>
        <v>1107</v>
      </c>
      <c r="BN34" s="69">
        <v>995</v>
      </c>
      <c r="BO34" s="69">
        <v>1272</v>
      </c>
      <c r="BP34" s="9">
        <f t="shared" si="34"/>
        <v>2267</v>
      </c>
      <c r="BQ34" s="97"/>
      <c r="BR34" s="97"/>
      <c r="BS34" s="98"/>
      <c r="BT34" s="70">
        <f t="shared" si="14"/>
        <v>0.16916070266753416</v>
      </c>
      <c r="BU34" s="70">
        <f t="shared" si="15"/>
        <v>0.10578957491825351</v>
      </c>
      <c r="BV34" s="70">
        <f t="shared" si="16"/>
        <v>0.1327213404855389</v>
      </c>
      <c r="BW34" s="70">
        <f t="shared" si="17"/>
        <v>8.249837345478205</v>
      </c>
      <c r="BX34" s="70">
        <f t="shared" si="18"/>
        <v>4.548951721484901</v>
      </c>
      <c r="BY34" s="70">
        <f t="shared" si="19"/>
        <v>6.121771829895482</v>
      </c>
      <c r="BZ34" s="70">
        <f t="shared" si="20"/>
        <v>12.947299934938192</v>
      </c>
      <c r="CA34" s="70">
        <f t="shared" si="21"/>
        <v>12.233121754183497</v>
      </c>
      <c r="CB34" s="70">
        <f t="shared" si="22"/>
        <v>12.536636620029862</v>
      </c>
      <c r="CC34" s="103"/>
      <c r="CD34" s="103"/>
      <c r="CE34" s="103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1:110" ht="32.25" customHeight="1">
      <c r="A35" s="4">
        <v>26</v>
      </c>
      <c r="B35" s="6" t="str">
        <f>Board!B32</f>
        <v>Mizoram Board of School Education</v>
      </c>
      <c r="C35" s="69">
        <f>Board!AP32</f>
        <v>4222</v>
      </c>
      <c r="D35" s="69">
        <f>Board!AQ32</f>
        <v>4415</v>
      </c>
      <c r="E35" s="69">
        <f>Board!AR32</f>
        <v>8637</v>
      </c>
      <c r="F35" s="9">
        <v>3167</v>
      </c>
      <c r="G35" s="9">
        <v>3439</v>
      </c>
      <c r="H35" s="9">
        <f t="shared" si="27"/>
        <v>6606</v>
      </c>
      <c r="I35" s="9">
        <v>239</v>
      </c>
      <c r="J35" s="9">
        <v>225</v>
      </c>
      <c r="K35" s="9">
        <f t="shared" si="0"/>
        <v>464</v>
      </c>
      <c r="L35" s="69">
        <v>751</v>
      </c>
      <c r="M35" s="69">
        <v>688</v>
      </c>
      <c r="N35" s="9">
        <f t="shared" si="28"/>
        <v>1439</v>
      </c>
      <c r="O35" s="97"/>
      <c r="P35" s="97"/>
      <c r="Q35" s="98"/>
      <c r="R35" s="70">
        <f t="shared" si="1"/>
        <v>75.01184272856466</v>
      </c>
      <c r="S35" s="70">
        <f t="shared" si="1"/>
        <v>77.89354473386183</v>
      </c>
      <c r="T35" s="70">
        <f t="shared" si="1"/>
        <v>76.48489058700937</v>
      </c>
      <c r="U35" s="70">
        <f t="shared" si="2"/>
        <v>5.660824253908101</v>
      </c>
      <c r="V35" s="70">
        <f t="shared" si="2"/>
        <v>5.096262740656852</v>
      </c>
      <c r="W35" s="70">
        <f t="shared" si="2"/>
        <v>5.372235729998842</v>
      </c>
      <c r="X35" s="70">
        <f t="shared" si="3"/>
        <v>17.78777830412127</v>
      </c>
      <c r="Y35" s="70">
        <f t="shared" si="3"/>
        <v>15.583238958097395</v>
      </c>
      <c r="Z35" s="70">
        <f t="shared" si="3"/>
        <v>16.66087761954382</v>
      </c>
      <c r="AA35" s="70">
        <f aca="true" t="shared" si="40" ref="AA35:AC37">IF(C35=0,"",O35/C35%)</f>
        <v>0</v>
      </c>
      <c r="AB35" s="70">
        <f t="shared" si="40"/>
        <v>0</v>
      </c>
      <c r="AC35" s="70">
        <f t="shared" si="40"/>
        <v>0</v>
      </c>
      <c r="AD35" s="69">
        <f>Board!CI32</f>
        <v>15</v>
      </c>
      <c r="AE35" s="69">
        <f>Board!CJ32</f>
        <v>7</v>
      </c>
      <c r="AF35" s="69">
        <f>Board!CK32</f>
        <v>22</v>
      </c>
      <c r="AG35" s="9">
        <v>6</v>
      </c>
      <c r="AH35" s="9">
        <v>5</v>
      </c>
      <c r="AI35" s="9">
        <f t="shared" si="29"/>
        <v>11</v>
      </c>
      <c r="AJ35" s="9">
        <v>2</v>
      </c>
      <c r="AK35" s="9">
        <v>0</v>
      </c>
      <c r="AL35" s="9">
        <f t="shared" si="30"/>
        <v>2</v>
      </c>
      <c r="AM35" s="69">
        <v>7</v>
      </c>
      <c r="AN35" s="69">
        <v>2</v>
      </c>
      <c r="AO35" s="9">
        <f t="shared" si="31"/>
        <v>9</v>
      </c>
      <c r="AP35" s="97"/>
      <c r="AQ35" s="97"/>
      <c r="AR35" s="98"/>
      <c r="AS35" s="70">
        <f t="shared" si="5"/>
        <v>40</v>
      </c>
      <c r="AT35" s="70">
        <f t="shared" si="6"/>
        <v>71.42857142857142</v>
      </c>
      <c r="AU35" s="70">
        <f t="shared" si="7"/>
        <v>50</v>
      </c>
      <c r="AV35" s="70">
        <f t="shared" si="8"/>
        <v>13.333333333333334</v>
      </c>
      <c r="AW35" s="70">
        <f t="shared" si="9"/>
        <v>0</v>
      </c>
      <c r="AX35" s="70">
        <f t="shared" si="10"/>
        <v>9.090909090909092</v>
      </c>
      <c r="AY35" s="70">
        <f t="shared" si="11"/>
        <v>46.66666666666667</v>
      </c>
      <c r="AZ35" s="70">
        <f t="shared" si="12"/>
        <v>28.57142857142857</v>
      </c>
      <c r="BA35" s="70">
        <f t="shared" si="13"/>
        <v>40.90909090909091</v>
      </c>
      <c r="BB35" s="103"/>
      <c r="BC35" s="103"/>
      <c r="BD35" s="103"/>
      <c r="BE35" s="69">
        <f>Board!EB32</f>
        <v>4154</v>
      </c>
      <c r="BF35" s="69">
        <f>Board!EC32</f>
        <v>4321</v>
      </c>
      <c r="BG35" s="69">
        <f>Board!ED32</f>
        <v>8475</v>
      </c>
      <c r="BH35" s="9">
        <v>3121</v>
      </c>
      <c r="BI35" s="9">
        <v>3383</v>
      </c>
      <c r="BJ35" s="9">
        <f t="shared" si="32"/>
        <v>6504</v>
      </c>
      <c r="BK35" s="9">
        <v>234</v>
      </c>
      <c r="BL35" s="9">
        <v>219</v>
      </c>
      <c r="BM35" s="9">
        <f t="shared" si="33"/>
        <v>453</v>
      </c>
      <c r="BN35" s="69">
        <v>732</v>
      </c>
      <c r="BO35" s="69">
        <v>683</v>
      </c>
      <c r="BP35" s="9">
        <f t="shared" si="34"/>
        <v>1415</v>
      </c>
      <c r="BQ35" s="97">
        <v>0</v>
      </c>
      <c r="BR35" s="97">
        <v>0</v>
      </c>
      <c r="BS35" s="98">
        <f t="shared" si="35"/>
        <v>0</v>
      </c>
      <c r="BT35" s="70">
        <f t="shared" si="14"/>
        <v>75.13240250361098</v>
      </c>
      <c r="BU35" s="70">
        <f t="shared" si="15"/>
        <v>78.29206202267993</v>
      </c>
      <c r="BV35" s="70">
        <f t="shared" si="16"/>
        <v>76.7433628318584</v>
      </c>
      <c r="BW35" s="70">
        <f t="shared" si="17"/>
        <v>5.6331246990852195</v>
      </c>
      <c r="BX35" s="70">
        <f t="shared" si="18"/>
        <v>5.068271233510761</v>
      </c>
      <c r="BY35" s="70">
        <f t="shared" si="19"/>
        <v>5.345132743362832</v>
      </c>
      <c r="BZ35" s="70">
        <f t="shared" si="20"/>
        <v>17.621569571497353</v>
      </c>
      <c r="CA35" s="70">
        <f t="shared" si="21"/>
        <v>15.806526267067808</v>
      </c>
      <c r="CB35" s="70">
        <f t="shared" si="22"/>
        <v>16.696165191740413</v>
      </c>
      <c r="CC35" s="103">
        <f t="shared" si="24"/>
        <v>0</v>
      </c>
      <c r="CD35" s="103">
        <f t="shared" si="25"/>
        <v>0</v>
      </c>
      <c r="CE35" s="103">
        <f t="shared" si="26"/>
        <v>0</v>
      </c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</row>
    <row r="36" spans="1:110" ht="27.75" customHeight="1">
      <c r="A36" s="4">
        <v>27</v>
      </c>
      <c r="B36" s="6" t="str">
        <f>Board!B33</f>
        <v>Nagaland Board of School Education</v>
      </c>
      <c r="C36" s="69">
        <f>Board!AP33</f>
        <v>5117</v>
      </c>
      <c r="D36" s="69">
        <f>Board!AQ33</f>
        <v>5648</v>
      </c>
      <c r="E36" s="69">
        <f>Board!AR33</f>
        <v>10765</v>
      </c>
      <c r="F36" s="9">
        <v>3319</v>
      </c>
      <c r="G36" s="9">
        <v>4169</v>
      </c>
      <c r="H36" s="9">
        <f t="shared" si="27"/>
        <v>7488</v>
      </c>
      <c r="I36" s="9">
        <v>605</v>
      </c>
      <c r="J36" s="9">
        <v>426</v>
      </c>
      <c r="K36" s="9">
        <f t="shared" si="0"/>
        <v>1031</v>
      </c>
      <c r="L36" s="69">
        <v>1193</v>
      </c>
      <c r="M36" s="69">
        <v>1053</v>
      </c>
      <c r="N36" s="9">
        <f t="shared" si="28"/>
        <v>2246</v>
      </c>
      <c r="O36" s="97">
        <v>0</v>
      </c>
      <c r="P36" s="97">
        <v>0</v>
      </c>
      <c r="Q36" s="98">
        <f>O36+P36</f>
        <v>0</v>
      </c>
      <c r="R36" s="70">
        <f t="shared" si="1"/>
        <v>64.86222395935118</v>
      </c>
      <c r="S36" s="70">
        <f t="shared" si="1"/>
        <v>73.81373937677054</v>
      </c>
      <c r="T36" s="70">
        <f t="shared" si="1"/>
        <v>69.55875522526706</v>
      </c>
      <c r="U36" s="70">
        <f t="shared" si="2"/>
        <v>11.823333984756694</v>
      </c>
      <c r="V36" s="70">
        <f t="shared" si="2"/>
        <v>7.542492917847026</v>
      </c>
      <c r="W36" s="70">
        <f t="shared" si="2"/>
        <v>9.577333952624246</v>
      </c>
      <c r="X36" s="70">
        <f t="shared" si="3"/>
        <v>23.314442055892123</v>
      </c>
      <c r="Y36" s="70">
        <f t="shared" si="3"/>
        <v>18.643767705382437</v>
      </c>
      <c r="Z36" s="70">
        <f t="shared" si="3"/>
        <v>20.863910822108686</v>
      </c>
      <c r="AA36" s="103">
        <f t="shared" si="40"/>
        <v>0</v>
      </c>
      <c r="AB36" s="103">
        <f t="shared" si="40"/>
        <v>0</v>
      </c>
      <c r="AC36" s="103">
        <f t="shared" si="40"/>
        <v>0</v>
      </c>
      <c r="AD36" s="69">
        <f>Board!CI33</f>
        <v>51</v>
      </c>
      <c r="AE36" s="69">
        <f>Board!CJ33</f>
        <v>45</v>
      </c>
      <c r="AF36" s="69">
        <f>Board!CK33</f>
        <v>96</v>
      </c>
      <c r="AG36" s="9">
        <v>15</v>
      </c>
      <c r="AH36" s="9">
        <v>24</v>
      </c>
      <c r="AI36" s="9">
        <f t="shared" si="29"/>
        <v>39</v>
      </c>
      <c r="AJ36" s="9">
        <v>22</v>
      </c>
      <c r="AK36" s="9">
        <v>16</v>
      </c>
      <c r="AL36" s="9">
        <f t="shared" si="30"/>
        <v>38</v>
      </c>
      <c r="AM36" s="69">
        <v>14</v>
      </c>
      <c r="AN36" s="69">
        <v>5</v>
      </c>
      <c r="AO36" s="9">
        <f t="shared" si="31"/>
        <v>19</v>
      </c>
      <c r="AP36" s="97">
        <v>0</v>
      </c>
      <c r="AQ36" s="97">
        <v>0</v>
      </c>
      <c r="AR36" s="98">
        <f>AP36+AQ36</f>
        <v>0</v>
      </c>
      <c r="AS36" s="70">
        <f t="shared" si="5"/>
        <v>29.41176470588235</v>
      </c>
      <c r="AT36" s="70">
        <f t="shared" si="6"/>
        <v>53.33333333333333</v>
      </c>
      <c r="AU36" s="70">
        <f t="shared" si="7"/>
        <v>40.625</v>
      </c>
      <c r="AV36" s="70">
        <f t="shared" si="8"/>
        <v>43.13725490196078</v>
      </c>
      <c r="AW36" s="70">
        <f t="shared" si="9"/>
        <v>35.55555555555556</v>
      </c>
      <c r="AX36" s="70">
        <f t="shared" si="10"/>
        <v>39.583333333333336</v>
      </c>
      <c r="AY36" s="70">
        <f t="shared" si="11"/>
        <v>27.45098039215686</v>
      </c>
      <c r="AZ36" s="70">
        <f t="shared" si="12"/>
        <v>11.11111111111111</v>
      </c>
      <c r="BA36" s="70">
        <f t="shared" si="13"/>
        <v>19.791666666666668</v>
      </c>
      <c r="BB36" s="103">
        <f aca="true" t="shared" si="41" ref="BB36:BD37">IF(AD36=0,"",AP36/AD36%)</f>
        <v>0</v>
      </c>
      <c r="BC36" s="103">
        <f t="shared" si="41"/>
        <v>0</v>
      </c>
      <c r="BD36" s="103">
        <f t="shared" si="41"/>
        <v>0</v>
      </c>
      <c r="BE36" s="69">
        <f>Board!EB33</f>
        <v>4627</v>
      </c>
      <c r="BF36" s="69">
        <f>Board!EC33</f>
        <v>5166</v>
      </c>
      <c r="BG36" s="69">
        <f>Board!ED33</f>
        <v>9793</v>
      </c>
      <c r="BH36" s="9">
        <v>3228</v>
      </c>
      <c r="BI36" s="9">
        <v>3980</v>
      </c>
      <c r="BJ36" s="9">
        <f t="shared" si="32"/>
        <v>7208</v>
      </c>
      <c r="BK36" s="9">
        <v>336</v>
      </c>
      <c r="BL36" s="9">
        <v>221</v>
      </c>
      <c r="BM36" s="9">
        <f t="shared" si="33"/>
        <v>557</v>
      </c>
      <c r="BN36" s="69">
        <v>1063</v>
      </c>
      <c r="BO36" s="69">
        <v>965</v>
      </c>
      <c r="BP36" s="9">
        <f t="shared" si="34"/>
        <v>2028</v>
      </c>
      <c r="BQ36" s="97">
        <v>0</v>
      </c>
      <c r="BR36" s="97"/>
      <c r="BS36" s="98">
        <f t="shared" si="35"/>
        <v>0</v>
      </c>
      <c r="BT36" s="70">
        <f t="shared" si="14"/>
        <v>69.76442619407823</v>
      </c>
      <c r="BU36" s="70">
        <f t="shared" si="15"/>
        <v>77.04219899341851</v>
      </c>
      <c r="BV36" s="70">
        <f t="shared" si="16"/>
        <v>73.60359440416623</v>
      </c>
      <c r="BW36" s="70">
        <f t="shared" si="17"/>
        <v>7.2617246596066565</v>
      </c>
      <c r="BX36" s="70">
        <f t="shared" si="18"/>
        <v>4.277971351142083</v>
      </c>
      <c r="BY36" s="70">
        <f t="shared" si="19"/>
        <v>5.687736138057796</v>
      </c>
      <c r="BZ36" s="70">
        <f t="shared" si="20"/>
        <v>22.973849146315107</v>
      </c>
      <c r="CA36" s="70">
        <f t="shared" si="21"/>
        <v>18.679829655439413</v>
      </c>
      <c r="CB36" s="70">
        <f t="shared" si="22"/>
        <v>20.70866945777596</v>
      </c>
      <c r="CC36" s="103">
        <f t="shared" si="24"/>
        <v>0</v>
      </c>
      <c r="CD36" s="103">
        <f t="shared" si="25"/>
        <v>0</v>
      </c>
      <c r="CE36" s="103">
        <f t="shared" si="26"/>
        <v>0</v>
      </c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</row>
    <row r="37" spans="1:110" ht="31.5" customHeight="1">
      <c r="A37" s="4">
        <v>28</v>
      </c>
      <c r="B37" s="6" t="str">
        <f>Board!B34</f>
        <v>Council of Higher Secondary Education, Orissa</v>
      </c>
      <c r="C37" s="69">
        <f>Board!AP34</f>
        <v>132361</v>
      </c>
      <c r="D37" s="69">
        <f>Board!AQ34</f>
        <v>137565</v>
      </c>
      <c r="E37" s="69">
        <f>Board!AR34</f>
        <v>269926</v>
      </c>
      <c r="F37" s="9">
        <v>73003</v>
      </c>
      <c r="G37" s="9">
        <v>100899</v>
      </c>
      <c r="H37" s="9">
        <f t="shared" si="27"/>
        <v>173902</v>
      </c>
      <c r="I37" s="9">
        <v>15098</v>
      </c>
      <c r="J37" s="9">
        <v>7222</v>
      </c>
      <c r="K37" s="9">
        <f t="shared" si="0"/>
        <v>22320</v>
      </c>
      <c r="L37" s="69">
        <v>41205</v>
      </c>
      <c r="M37" s="69">
        <v>26795</v>
      </c>
      <c r="N37" s="9">
        <f t="shared" si="28"/>
        <v>68000</v>
      </c>
      <c r="O37" s="69">
        <v>3055</v>
      </c>
      <c r="P37" s="69">
        <v>2649</v>
      </c>
      <c r="Q37" s="9">
        <f>O37+P37</f>
        <v>5704</v>
      </c>
      <c r="R37" s="70">
        <f t="shared" si="1"/>
        <v>55.15446392819638</v>
      </c>
      <c r="S37" s="70">
        <f t="shared" si="1"/>
        <v>73.34641805691854</v>
      </c>
      <c r="T37" s="70">
        <f t="shared" si="1"/>
        <v>64.42580559116202</v>
      </c>
      <c r="U37" s="70">
        <f t="shared" si="2"/>
        <v>11.406683237509538</v>
      </c>
      <c r="V37" s="70">
        <f t="shared" si="2"/>
        <v>5.249881874023188</v>
      </c>
      <c r="W37" s="70">
        <f t="shared" si="2"/>
        <v>8.268932966813125</v>
      </c>
      <c r="X37" s="70">
        <f t="shared" si="3"/>
        <v>31.130771148601177</v>
      </c>
      <c r="Y37" s="70">
        <f t="shared" si="3"/>
        <v>19.478064914767565</v>
      </c>
      <c r="Z37" s="70">
        <f t="shared" si="3"/>
        <v>25.19208968383927</v>
      </c>
      <c r="AA37" s="70">
        <f t="shared" si="40"/>
        <v>2.308081685692916</v>
      </c>
      <c r="AB37" s="70">
        <f t="shared" si="40"/>
        <v>1.9256351542906989</v>
      </c>
      <c r="AC37" s="70">
        <f t="shared" si="40"/>
        <v>2.1131717581855765</v>
      </c>
      <c r="AD37" s="69">
        <f>Board!CI34</f>
        <v>18935</v>
      </c>
      <c r="AE37" s="69">
        <f>Board!CJ34</f>
        <v>19397</v>
      </c>
      <c r="AF37" s="69">
        <f>Board!CK34</f>
        <v>38332</v>
      </c>
      <c r="AG37" s="9">
        <v>12669</v>
      </c>
      <c r="AH37" s="9">
        <v>15862</v>
      </c>
      <c r="AI37" s="9">
        <f t="shared" si="29"/>
        <v>28531</v>
      </c>
      <c r="AJ37" s="9">
        <v>1498</v>
      </c>
      <c r="AK37" s="9">
        <v>670</v>
      </c>
      <c r="AL37" s="9">
        <f t="shared" si="30"/>
        <v>2168</v>
      </c>
      <c r="AM37" s="69">
        <v>4303</v>
      </c>
      <c r="AN37" s="69">
        <v>2472</v>
      </c>
      <c r="AO37" s="9">
        <f t="shared" si="31"/>
        <v>6775</v>
      </c>
      <c r="AP37" s="69">
        <v>465</v>
      </c>
      <c r="AQ37" s="69">
        <v>393</v>
      </c>
      <c r="AR37" s="9">
        <f>AP37+AQ37</f>
        <v>858</v>
      </c>
      <c r="AS37" s="70">
        <f t="shared" si="5"/>
        <v>66.90784261948772</v>
      </c>
      <c r="AT37" s="70">
        <f t="shared" si="6"/>
        <v>81.7755322988091</v>
      </c>
      <c r="AU37" s="70">
        <f t="shared" si="7"/>
        <v>74.4312845664197</v>
      </c>
      <c r="AV37" s="70">
        <f t="shared" si="8"/>
        <v>7.911275415896489</v>
      </c>
      <c r="AW37" s="70">
        <f t="shared" si="9"/>
        <v>3.4541423931535804</v>
      </c>
      <c r="AX37" s="70">
        <f t="shared" si="10"/>
        <v>5.655848899092143</v>
      </c>
      <c r="AY37" s="70">
        <f t="shared" si="11"/>
        <v>22.72511222603644</v>
      </c>
      <c r="AZ37" s="70">
        <f t="shared" si="12"/>
        <v>12.744238799814404</v>
      </c>
      <c r="BA37" s="70">
        <f t="shared" si="13"/>
        <v>17.674527809662944</v>
      </c>
      <c r="BB37" s="70">
        <f t="shared" si="41"/>
        <v>2.4557697385793507</v>
      </c>
      <c r="BC37" s="70">
        <f t="shared" si="41"/>
        <v>2.026086508222921</v>
      </c>
      <c r="BD37" s="70">
        <f t="shared" si="41"/>
        <v>2.2383387248252116</v>
      </c>
      <c r="BE37" s="69">
        <f>Board!EB34</f>
        <v>18974</v>
      </c>
      <c r="BF37" s="69">
        <f>Board!EC34</f>
        <v>19980</v>
      </c>
      <c r="BG37" s="69">
        <f>Board!ED34</f>
        <v>38954</v>
      </c>
      <c r="BH37" s="9">
        <v>13670</v>
      </c>
      <c r="BI37" s="9">
        <v>15981</v>
      </c>
      <c r="BJ37" s="9">
        <f t="shared" si="32"/>
        <v>29651</v>
      </c>
      <c r="BK37" s="9">
        <v>842</v>
      </c>
      <c r="BL37" s="9">
        <v>371</v>
      </c>
      <c r="BM37" s="9">
        <f t="shared" si="33"/>
        <v>1213</v>
      </c>
      <c r="BN37" s="69">
        <v>4097</v>
      </c>
      <c r="BO37" s="69">
        <v>3283</v>
      </c>
      <c r="BP37" s="9">
        <f t="shared" si="34"/>
        <v>7380</v>
      </c>
      <c r="BQ37" s="69">
        <v>365</v>
      </c>
      <c r="BR37" s="69">
        <v>345</v>
      </c>
      <c r="BS37" s="9">
        <f t="shared" si="35"/>
        <v>710</v>
      </c>
      <c r="BT37" s="70">
        <f t="shared" si="14"/>
        <v>72.04595762622536</v>
      </c>
      <c r="BU37" s="70">
        <f t="shared" si="15"/>
        <v>79.98498498498498</v>
      </c>
      <c r="BV37" s="70">
        <f t="shared" si="16"/>
        <v>76.11798531601376</v>
      </c>
      <c r="BW37" s="70">
        <f t="shared" si="17"/>
        <v>4.437651523136924</v>
      </c>
      <c r="BX37" s="70">
        <f t="shared" si="18"/>
        <v>1.8568568568568566</v>
      </c>
      <c r="BY37" s="70">
        <f t="shared" si="19"/>
        <v>3.113929249884479</v>
      </c>
      <c r="BZ37" s="70">
        <f t="shared" si="20"/>
        <v>21.592705807947716</v>
      </c>
      <c r="CA37" s="70">
        <f t="shared" si="21"/>
        <v>16.43143143143143</v>
      </c>
      <c r="CB37" s="70">
        <f t="shared" si="22"/>
        <v>18.94542280638702</v>
      </c>
      <c r="CC37" s="70">
        <f t="shared" si="24"/>
        <v>1.9236850426899967</v>
      </c>
      <c r="CD37" s="70">
        <f t="shared" si="25"/>
        <v>1.7267267267267266</v>
      </c>
      <c r="CE37" s="70">
        <f t="shared" si="26"/>
        <v>1.8226626277147404</v>
      </c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</row>
    <row r="38" spans="1:110" ht="30.75" customHeight="1">
      <c r="A38" s="4">
        <v>29</v>
      </c>
      <c r="B38" s="6" t="str">
        <f>Board!B35</f>
        <v>Punjab School Education Board, Mohali</v>
      </c>
      <c r="C38" s="69">
        <f>Board!AP35</f>
        <v>127340</v>
      </c>
      <c r="D38" s="69">
        <f>Board!AQ35</f>
        <v>117147</v>
      </c>
      <c r="E38" s="69">
        <f>Board!AR35</f>
        <v>244487</v>
      </c>
      <c r="F38" s="9">
        <v>83351</v>
      </c>
      <c r="G38" s="9">
        <v>79023</v>
      </c>
      <c r="H38" s="9">
        <f t="shared" si="27"/>
        <v>162374</v>
      </c>
      <c r="I38" s="9">
        <v>12746</v>
      </c>
      <c r="J38" s="9">
        <v>13895</v>
      </c>
      <c r="K38" s="9">
        <f t="shared" si="0"/>
        <v>26641</v>
      </c>
      <c r="L38" s="69">
        <v>24417</v>
      </c>
      <c r="M38" s="69">
        <v>21257</v>
      </c>
      <c r="N38" s="9">
        <f t="shared" si="28"/>
        <v>45674</v>
      </c>
      <c r="O38" s="145"/>
      <c r="P38" s="145"/>
      <c r="Q38" s="144"/>
      <c r="R38" s="70">
        <f t="shared" si="1"/>
        <v>65.45547353541698</v>
      </c>
      <c r="S38" s="70">
        <f t="shared" si="1"/>
        <v>67.45627288791006</v>
      </c>
      <c r="T38" s="70">
        <f t="shared" si="1"/>
        <v>66.41416517033626</v>
      </c>
      <c r="U38" s="70">
        <f t="shared" si="2"/>
        <v>10.009423590387938</v>
      </c>
      <c r="V38" s="70">
        <f t="shared" si="2"/>
        <v>11.861165885596728</v>
      </c>
      <c r="W38" s="70">
        <f t="shared" si="2"/>
        <v>10.896693893744862</v>
      </c>
      <c r="X38" s="70">
        <f t="shared" si="3"/>
        <v>19.174650541856447</v>
      </c>
      <c r="Y38" s="70">
        <f t="shared" si="3"/>
        <v>18.145577778346862</v>
      </c>
      <c r="Z38" s="70">
        <f t="shared" si="3"/>
        <v>18.68156589102897</v>
      </c>
      <c r="AA38" s="146"/>
      <c r="AB38" s="146"/>
      <c r="AC38" s="146"/>
      <c r="AD38" s="69">
        <f>Board!CI35</f>
        <v>34632</v>
      </c>
      <c r="AE38" s="69">
        <f>Board!CJ35</f>
        <v>38080</v>
      </c>
      <c r="AF38" s="69">
        <f>Board!CK35</f>
        <v>72712</v>
      </c>
      <c r="AG38" s="98"/>
      <c r="AH38" s="98"/>
      <c r="AI38" s="98"/>
      <c r="AJ38" s="98"/>
      <c r="AK38" s="98"/>
      <c r="AL38" s="98"/>
      <c r="AM38" s="97"/>
      <c r="AN38" s="97"/>
      <c r="AO38" s="98"/>
      <c r="AP38" s="97"/>
      <c r="AQ38" s="97"/>
      <c r="AR38" s="98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69">
        <f>Board!EB35</f>
        <v>39</v>
      </c>
      <c r="BF38" s="69">
        <f>Board!EC35</f>
        <v>29</v>
      </c>
      <c r="BG38" s="69">
        <f>Board!ED35</f>
        <v>68</v>
      </c>
      <c r="BH38" s="98"/>
      <c r="BI38" s="98"/>
      <c r="BJ38" s="98">
        <f t="shared" si="32"/>
        <v>0</v>
      </c>
      <c r="BK38" s="98"/>
      <c r="BL38" s="98"/>
      <c r="BM38" s="98">
        <f t="shared" si="33"/>
        <v>0</v>
      </c>
      <c r="BN38" s="97"/>
      <c r="BO38" s="97"/>
      <c r="BP38" s="98">
        <f t="shared" si="34"/>
        <v>0</v>
      </c>
      <c r="BQ38" s="97"/>
      <c r="BR38" s="97"/>
      <c r="BS38" s="98">
        <f t="shared" si="35"/>
        <v>0</v>
      </c>
      <c r="BT38" s="103">
        <f t="shared" si="14"/>
        <v>0</v>
      </c>
      <c r="BU38" s="103">
        <f t="shared" si="15"/>
        <v>0</v>
      </c>
      <c r="BV38" s="103">
        <f t="shared" si="16"/>
        <v>0</v>
      </c>
      <c r="BW38" s="103">
        <f t="shared" si="17"/>
        <v>0</v>
      </c>
      <c r="BX38" s="103">
        <f t="shared" si="18"/>
        <v>0</v>
      </c>
      <c r="BY38" s="103">
        <f t="shared" si="19"/>
        <v>0</v>
      </c>
      <c r="BZ38" s="103">
        <f t="shared" si="20"/>
        <v>0</v>
      </c>
      <c r="CA38" s="103">
        <f t="shared" si="21"/>
        <v>0</v>
      </c>
      <c r="CB38" s="103">
        <f t="shared" si="22"/>
        <v>0</v>
      </c>
      <c r="CC38" s="103">
        <f t="shared" si="24"/>
        <v>0</v>
      </c>
      <c r="CD38" s="103">
        <f t="shared" si="25"/>
        <v>0</v>
      </c>
      <c r="CE38" s="103">
        <f t="shared" si="26"/>
        <v>0</v>
      </c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</row>
    <row r="39" spans="1:110" ht="33.75" customHeight="1">
      <c r="A39" s="4">
        <v>30</v>
      </c>
      <c r="B39" s="6" t="str">
        <f>Board!B36</f>
        <v>Board of Secondary Education, Rajasthan, Ajmer</v>
      </c>
      <c r="C39" s="69">
        <f>Board!AP36</f>
        <v>422715</v>
      </c>
      <c r="D39" s="69">
        <f>Board!AQ36</f>
        <v>287549</v>
      </c>
      <c r="E39" s="69">
        <f>Board!AR36</f>
        <v>710264</v>
      </c>
      <c r="F39" s="9">
        <v>254818</v>
      </c>
      <c r="G39" s="9">
        <v>218091</v>
      </c>
      <c r="H39" s="9">
        <f t="shared" si="27"/>
        <v>472909</v>
      </c>
      <c r="I39" s="9">
        <v>29606</v>
      </c>
      <c r="J39" s="9">
        <v>15400</v>
      </c>
      <c r="K39" s="9">
        <f t="shared" si="0"/>
        <v>45006</v>
      </c>
      <c r="L39" s="69">
        <v>126068</v>
      </c>
      <c r="M39" s="69">
        <v>46449</v>
      </c>
      <c r="N39" s="9">
        <f t="shared" si="28"/>
        <v>172517</v>
      </c>
      <c r="O39" s="145"/>
      <c r="P39" s="145"/>
      <c r="Q39" s="144"/>
      <c r="R39" s="70">
        <f t="shared" si="1"/>
        <v>60.28127698331027</v>
      </c>
      <c r="S39" s="70">
        <f t="shared" si="1"/>
        <v>75.84481253629816</v>
      </c>
      <c r="T39" s="70">
        <f t="shared" si="1"/>
        <v>66.58214410416409</v>
      </c>
      <c r="U39" s="70">
        <f t="shared" si="2"/>
        <v>7.003773227824895</v>
      </c>
      <c r="V39" s="70">
        <f t="shared" si="2"/>
        <v>5.355608957082097</v>
      </c>
      <c r="W39" s="70">
        <f t="shared" si="2"/>
        <v>6.336517126026378</v>
      </c>
      <c r="X39" s="70">
        <f t="shared" si="3"/>
        <v>29.823403475154656</v>
      </c>
      <c r="Y39" s="70">
        <f t="shared" si="3"/>
        <v>16.153420808279634</v>
      </c>
      <c r="Z39" s="70">
        <f t="shared" si="3"/>
        <v>24.28913756011849</v>
      </c>
      <c r="AA39" s="146"/>
      <c r="AB39" s="146"/>
      <c r="AC39" s="146"/>
      <c r="AD39" s="69">
        <f>Board!CI36</f>
        <v>70845</v>
      </c>
      <c r="AE39" s="69">
        <f>Board!CJ36</f>
        <v>45570</v>
      </c>
      <c r="AF39" s="69">
        <f>Board!CK36</f>
        <v>116415</v>
      </c>
      <c r="AG39" s="9">
        <v>48678</v>
      </c>
      <c r="AH39" s="9">
        <v>37183</v>
      </c>
      <c r="AI39" s="9">
        <f t="shared" si="29"/>
        <v>85861</v>
      </c>
      <c r="AJ39" s="9">
        <v>2787</v>
      </c>
      <c r="AK39" s="9">
        <v>1143</v>
      </c>
      <c r="AL39" s="9">
        <f t="shared" si="30"/>
        <v>3930</v>
      </c>
      <c r="AM39" s="69">
        <v>20756</v>
      </c>
      <c r="AN39" s="69">
        <v>6589</v>
      </c>
      <c r="AO39" s="9">
        <f t="shared" si="31"/>
        <v>27345</v>
      </c>
      <c r="AP39" s="97"/>
      <c r="AQ39" s="97"/>
      <c r="AR39" s="98"/>
      <c r="AS39" s="70">
        <f t="shared" si="5"/>
        <v>68.7105653186534</v>
      </c>
      <c r="AT39" s="70">
        <f t="shared" si="6"/>
        <v>81.59534781654598</v>
      </c>
      <c r="AU39" s="70">
        <f t="shared" si="7"/>
        <v>73.75424129192973</v>
      </c>
      <c r="AV39" s="70">
        <f t="shared" si="8"/>
        <v>3.933940292187169</v>
      </c>
      <c r="AW39" s="70">
        <f t="shared" si="9"/>
        <v>2.5082290980908493</v>
      </c>
      <c r="AX39" s="70">
        <f t="shared" si="10"/>
        <v>3.375853627109908</v>
      </c>
      <c r="AY39" s="70">
        <f t="shared" si="11"/>
        <v>29.297762721434115</v>
      </c>
      <c r="AZ39" s="70">
        <f t="shared" si="12"/>
        <v>14.45907395216151</v>
      </c>
      <c r="BA39" s="70">
        <f t="shared" si="13"/>
        <v>23.489241077180775</v>
      </c>
      <c r="BB39" s="103"/>
      <c r="BC39" s="103"/>
      <c r="BD39" s="103"/>
      <c r="BE39" s="69">
        <f>Board!EB36</f>
        <v>49522</v>
      </c>
      <c r="BF39" s="69">
        <f>Board!EC36</f>
        <v>35018</v>
      </c>
      <c r="BG39" s="69">
        <f>Board!ED36</f>
        <v>84540</v>
      </c>
      <c r="BH39" s="9">
        <v>35700</v>
      </c>
      <c r="BI39" s="9">
        <v>29763</v>
      </c>
      <c r="BJ39" s="9">
        <f t="shared" si="32"/>
        <v>65463</v>
      </c>
      <c r="BK39" s="9">
        <v>762</v>
      </c>
      <c r="BL39" s="9">
        <v>319</v>
      </c>
      <c r="BM39" s="9">
        <f t="shared" si="33"/>
        <v>1081</v>
      </c>
      <c r="BN39" s="69">
        <v>11142</v>
      </c>
      <c r="BO39" s="69">
        <v>3589</v>
      </c>
      <c r="BP39" s="9">
        <f t="shared" si="34"/>
        <v>14731</v>
      </c>
      <c r="BQ39" s="97">
        <v>0</v>
      </c>
      <c r="BR39" s="97">
        <v>0</v>
      </c>
      <c r="BS39" s="98">
        <f t="shared" si="35"/>
        <v>0</v>
      </c>
      <c r="BT39" s="70">
        <f>IF(BE39=0,"",BH39/BE39%)</f>
        <v>72.08917248899479</v>
      </c>
      <c r="BU39" s="70">
        <f>IF(BF39=0,"",BI39/BF39%)</f>
        <v>84.99343194928322</v>
      </c>
      <c r="BV39" s="70">
        <f>IF(BG39=0,"",BJ39/BG39%)</f>
        <v>77.43435060326473</v>
      </c>
      <c r="BW39" s="70">
        <f>IF(BE39=0,"",BK39/BE39%)</f>
        <v>1.5387100682524937</v>
      </c>
      <c r="BX39" s="70">
        <f>IF(BF39=0,"",BL39/BF39%)</f>
        <v>0.9109600776743388</v>
      </c>
      <c r="BY39" s="70">
        <f>IF(BG39=0,"",BM39/BG39%)</f>
        <v>1.278684646321268</v>
      </c>
      <c r="BZ39" s="70">
        <f>IF(BE39=0,"",BN39/BE39%)</f>
        <v>22.49909131295182</v>
      </c>
      <c r="CA39" s="70">
        <f>IF(BF39=0,"",BO39/BF39%)</f>
        <v>10.249014792392483</v>
      </c>
      <c r="CB39" s="70">
        <f>IF(BG39=0,"",BP39/BG39%)</f>
        <v>17.424887627158743</v>
      </c>
      <c r="CC39" s="103">
        <f>IF(BE39=0,"",BQ39/BE39%)</f>
        <v>0</v>
      </c>
      <c r="CD39" s="103">
        <f>IF(BF39=0,"",BR39/BF39%)</f>
        <v>0</v>
      </c>
      <c r="CE39" s="103">
        <f>IF(BG39=0,"",BS39/BG39%)</f>
        <v>0</v>
      </c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</row>
    <row r="40" spans="1:110" ht="28.5" customHeight="1">
      <c r="A40" s="4">
        <v>31</v>
      </c>
      <c r="B40" s="6" t="str">
        <f>Board!B37</f>
        <v>Tamil Nadu State Board of School Examination</v>
      </c>
      <c r="C40" s="69">
        <f>Board!AP37</f>
        <v>350269</v>
      </c>
      <c r="D40" s="69">
        <f>Board!AQ37</f>
        <v>427082</v>
      </c>
      <c r="E40" s="69">
        <f>Board!AR37</f>
        <v>777351</v>
      </c>
      <c r="F40" s="9">
        <v>4300</v>
      </c>
      <c r="G40" s="9">
        <v>6580</v>
      </c>
      <c r="H40" s="9">
        <f t="shared" si="27"/>
        <v>10880</v>
      </c>
      <c r="I40" s="9">
        <v>74995</v>
      </c>
      <c r="J40" s="9">
        <v>99880</v>
      </c>
      <c r="K40" s="9">
        <f t="shared" si="0"/>
        <v>174875</v>
      </c>
      <c r="L40" s="69">
        <v>233017</v>
      </c>
      <c r="M40" s="69">
        <v>291748</v>
      </c>
      <c r="N40" s="9">
        <f t="shared" si="28"/>
        <v>524765</v>
      </c>
      <c r="O40" s="69">
        <v>29619</v>
      </c>
      <c r="P40" s="69">
        <v>21586</v>
      </c>
      <c r="Q40" s="9">
        <f>O40+P40</f>
        <v>51205</v>
      </c>
      <c r="R40" s="70">
        <f t="shared" si="1"/>
        <v>1.2276279088357804</v>
      </c>
      <c r="S40" s="70">
        <f t="shared" si="1"/>
        <v>1.540687736781227</v>
      </c>
      <c r="T40" s="70">
        <f t="shared" si="1"/>
        <v>1.3996251371645498</v>
      </c>
      <c r="U40" s="70">
        <f t="shared" si="2"/>
        <v>21.41068721468357</v>
      </c>
      <c r="V40" s="70">
        <f t="shared" si="2"/>
        <v>23.386609597220207</v>
      </c>
      <c r="W40" s="70">
        <f t="shared" si="2"/>
        <v>22.496272597578184</v>
      </c>
      <c r="X40" s="70">
        <f t="shared" si="3"/>
        <v>66.52515637981094</v>
      </c>
      <c r="Y40" s="70">
        <f t="shared" si="3"/>
        <v>68.31194009581299</v>
      </c>
      <c r="Z40" s="70">
        <f t="shared" si="3"/>
        <v>67.50682767501425</v>
      </c>
      <c r="AA40" s="70">
        <f aca="true" t="shared" si="42" ref="AA40:AC41">IF(C40=0,"",O40/C40%)</f>
        <v>8.456072332978367</v>
      </c>
      <c r="AB40" s="70">
        <f t="shared" si="42"/>
        <v>5.054298706103278</v>
      </c>
      <c r="AC40" s="70">
        <f t="shared" si="42"/>
        <v>6.587114443796946</v>
      </c>
      <c r="AD40" s="69">
        <f>Board!CI37</f>
        <v>72641</v>
      </c>
      <c r="AE40" s="69">
        <f>Board!CJ37</f>
        <v>96592</v>
      </c>
      <c r="AF40" s="69">
        <f>Board!CK37</f>
        <v>169233</v>
      </c>
      <c r="AG40" s="9">
        <v>1581</v>
      </c>
      <c r="AH40" s="9">
        <v>2443</v>
      </c>
      <c r="AI40" s="9">
        <f>AG40+AH40</f>
        <v>4024</v>
      </c>
      <c r="AJ40" s="9">
        <v>17345</v>
      </c>
      <c r="AK40" s="9">
        <v>23401</v>
      </c>
      <c r="AL40" s="9">
        <f t="shared" si="30"/>
        <v>40746</v>
      </c>
      <c r="AM40" s="69">
        <v>43163</v>
      </c>
      <c r="AN40" s="69">
        <v>61781</v>
      </c>
      <c r="AO40" s="9">
        <f t="shared" si="31"/>
        <v>104944</v>
      </c>
      <c r="AP40" s="69">
        <v>8162</v>
      </c>
      <c r="AQ40" s="69">
        <v>7039</v>
      </c>
      <c r="AR40" s="9">
        <f>AP40+AQ40</f>
        <v>15201</v>
      </c>
      <c r="AS40" s="70">
        <f t="shared" si="5"/>
        <v>2.176456821904985</v>
      </c>
      <c r="AT40" s="70">
        <f t="shared" si="6"/>
        <v>2.5291949643862845</v>
      </c>
      <c r="AU40" s="70">
        <f>IF(AF40=0,"",AI40/AF40%)</f>
        <v>2.377786838264405</v>
      </c>
      <c r="AV40" s="70">
        <f t="shared" si="8"/>
        <v>23.877699921531917</v>
      </c>
      <c r="AW40" s="70">
        <f t="shared" si="9"/>
        <v>24.226644028490973</v>
      </c>
      <c r="AX40" s="70">
        <f t="shared" si="10"/>
        <v>24.076864441332365</v>
      </c>
      <c r="AY40" s="70">
        <f t="shared" si="11"/>
        <v>59.419611514158674</v>
      </c>
      <c r="AZ40" s="70">
        <f t="shared" si="12"/>
        <v>63.96078350173928</v>
      </c>
      <c r="BA40" s="70">
        <f t="shared" si="13"/>
        <v>62.011546211436304</v>
      </c>
      <c r="BB40" s="70">
        <f aca="true" t="shared" si="43" ref="BB40:BD41">IF(AD40=0,"",AP40/AD40%)</f>
        <v>11.236078798474692</v>
      </c>
      <c r="BC40" s="70">
        <f t="shared" si="43"/>
        <v>7.287352989895644</v>
      </c>
      <c r="BD40" s="70">
        <f t="shared" si="43"/>
        <v>8.982290687986387</v>
      </c>
      <c r="BE40" s="69">
        <f>Board!EB37</f>
        <v>2880</v>
      </c>
      <c r="BF40" s="69">
        <f>Board!EC37</f>
        <v>2937</v>
      </c>
      <c r="BG40" s="69">
        <f>Board!ED37</f>
        <v>5817</v>
      </c>
      <c r="BH40" s="9">
        <v>30</v>
      </c>
      <c r="BI40" s="9">
        <v>48</v>
      </c>
      <c r="BJ40" s="9">
        <f t="shared" si="32"/>
        <v>78</v>
      </c>
      <c r="BK40" s="9">
        <v>603</v>
      </c>
      <c r="BL40" s="9">
        <v>564</v>
      </c>
      <c r="BM40" s="9">
        <f t="shared" si="33"/>
        <v>1167</v>
      </c>
      <c r="BN40" s="69">
        <v>2002</v>
      </c>
      <c r="BO40" s="69">
        <v>2120</v>
      </c>
      <c r="BP40" s="9">
        <f t="shared" si="34"/>
        <v>4122</v>
      </c>
      <c r="BQ40" s="69">
        <v>188</v>
      </c>
      <c r="BR40" s="69">
        <v>163</v>
      </c>
      <c r="BS40" s="9">
        <f t="shared" si="35"/>
        <v>351</v>
      </c>
      <c r="BT40" s="70">
        <f t="shared" si="14"/>
        <v>1.0416666666666667</v>
      </c>
      <c r="BU40" s="70">
        <f t="shared" si="15"/>
        <v>1.634320735444331</v>
      </c>
      <c r="BV40" s="70">
        <f t="shared" si="16"/>
        <v>1.3408973697782363</v>
      </c>
      <c r="BW40" s="70">
        <f t="shared" si="17"/>
        <v>20.9375</v>
      </c>
      <c r="BX40" s="70">
        <f t="shared" si="18"/>
        <v>19.20326864147089</v>
      </c>
      <c r="BY40" s="70">
        <f t="shared" si="19"/>
        <v>20.06188757091284</v>
      </c>
      <c r="BZ40" s="70">
        <f t="shared" si="20"/>
        <v>69.51388888888889</v>
      </c>
      <c r="CA40" s="70">
        <f t="shared" si="21"/>
        <v>72.18249914879128</v>
      </c>
      <c r="CB40" s="70">
        <f t="shared" si="22"/>
        <v>70.8612686952037</v>
      </c>
      <c r="CC40" s="70">
        <f t="shared" si="24"/>
        <v>6.527777777777778</v>
      </c>
      <c r="CD40" s="70">
        <f t="shared" si="25"/>
        <v>5.549880830779707</v>
      </c>
      <c r="CE40" s="70">
        <f t="shared" si="26"/>
        <v>6.034038164002062</v>
      </c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</row>
    <row r="41" spans="1:110" ht="28.5" customHeight="1">
      <c r="A41" s="4">
        <v>32</v>
      </c>
      <c r="B41" s="105" t="s">
        <v>88</v>
      </c>
      <c r="C41" s="69">
        <f>Board!AP43</f>
        <v>172171</v>
      </c>
      <c r="D41" s="69">
        <f>Board!AQ43</f>
        <v>180787</v>
      </c>
      <c r="E41" s="69">
        <f>Board!AR43</f>
        <v>352958</v>
      </c>
      <c r="F41" s="9">
        <v>3724</v>
      </c>
      <c r="G41" s="9">
        <v>3747</v>
      </c>
      <c r="H41" s="9">
        <f t="shared" si="27"/>
        <v>7471</v>
      </c>
      <c r="I41" s="9">
        <v>34553</v>
      </c>
      <c r="J41" s="9">
        <v>41229</v>
      </c>
      <c r="K41" s="9">
        <f t="shared" si="0"/>
        <v>75782</v>
      </c>
      <c r="L41" s="69">
        <v>86346</v>
      </c>
      <c r="M41" s="69">
        <v>98532</v>
      </c>
      <c r="N41" s="9">
        <f t="shared" si="28"/>
        <v>184878</v>
      </c>
      <c r="O41" s="69">
        <v>10711</v>
      </c>
      <c r="P41" s="69">
        <v>8402</v>
      </c>
      <c r="Q41" s="9">
        <f>O41+P41</f>
        <v>19113</v>
      </c>
      <c r="R41" s="70">
        <f>IF(C41=0,"",F41/C41%)</f>
        <v>2.162965888564276</v>
      </c>
      <c r="S41" s="70">
        <f>IF(D41=0,"",G41/D41%)</f>
        <v>2.0726047779984182</v>
      </c>
      <c r="T41" s="70">
        <f>IF(E41=0,"",H41/E41%)</f>
        <v>2.1166824381371154</v>
      </c>
      <c r="U41" s="70">
        <f>IF(C41=0,"",I41/C41%)</f>
        <v>20.069001167443993</v>
      </c>
      <c r="V41" s="70">
        <f>IF(D41=0,"",J41/D41%)</f>
        <v>22.80529020338852</v>
      </c>
      <c r="W41" s="70">
        <f>IF(E41=0,"",K41/E41%)</f>
        <v>21.470543237439017</v>
      </c>
      <c r="X41" s="70">
        <f>IF(C41=0,"",L41/C41%)</f>
        <v>50.1513030649761</v>
      </c>
      <c r="Y41" s="70">
        <f>IF(D41=0,"",M41/D41%)</f>
        <v>54.50170642800644</v>
      </c>
      <c r="Z41" s="70">
        <f>IF(E41=0,"",N41/E41%)</f>
        <v>52.37960323891228</v>
      </c>
      <c r="AA41" s="70">
        <f t="shared" si="42"/>
        <v>6.221140610207294</v>
      </c>
      <c r="AB41" s="70">
        <f t="shared" si="42"/>
        <v>4.647458058378092</v>
      </c>
      <c r="AC41" s="70">
        <f t="shared" si="42"/>
        <v>5.415091880620357</v>
      </c>
      <c r="AD41" s="69">
        <f>Board!CI43</f>
        <v>25579</v>
      </c>
      <c r="AE41" s="69">
        <f>Board!CJ43</f>
        <v>30585</v>
      </c>
      <c r="AF41" s="69">
        <f>Board!CK43</f>
        <v>56164</v>
      </c>
      <c r="AG41" s="9">
        <v>867</v>
      </c>
      <c r="AH41" s="9">
        <v>802</v>
      </c>
      <c r="AI41" s="9">
        <f>AG41+AH41</f>
        <v>1669</v>
      </c>
      <c r="AJ41" s="9">
        <v>5535</v>
      </c>
      <c r="AK41" s="9">
        <v>6718</v>
      </c>
      <c r="AL41" s="9">
        <f t="shared" si="30"/>
        <v>12253</v>
      </c>
      <c r="AM41" s="69">
        <v>9953</v>
      </c>
      <c r="AN41" s="69">
        <v>14173</v>
      </c>
      <c r="AO41" s="9">
        <f t="shared" si="31"/>
        <v>24126</v>
      </c>
      <c r="AP41" s="69">
        <v>2650</v>
      </c>
      <c r="AQ41" s="69">
        <v>2669</v>
      </c>
      <c r="AR41" s="9">
        <f>AP41+AQ41</f>
        <v>5319</v>
      </c>
      <c r="AS41" s="70">
        <f>IF(AD41=0,"",AG41/AD41%)</f>
        <v>3.38949919856132</v>
      </c>
      <c r="AT41" s="70">
        <f>IF(AE41=0,"",AH41/AE41%)</f>
        <v>2.6222004250449564</v>
      </c>
      <c r="AU41" s="70">
        <f>IF(AF41=0,"",AI41/AF41%)</f>
        <v>2.9716544405669114</v>
      </c>
      <c r="AV41" s="70">
        <f>IF(AD41=0,"",AJ41/AD41%)</f>
        <v>21.63884436451777</v>
      </c>
      <c r="AW41" s="70">
        <f>IF(AE41=0,"",AK41/AE41%)</f>
        <v>21.9650155304888</v>
      </c>
      <c r="AX41" s="70">
        <f>IF(AF41=0,"",AL41/AF41%)</f>
        <v>21.816466063670678</v>
      </c>
      <c r="AY41" s="70">
        <f>IF(AD41=0,"",AM41/AD41%)</f>
        <v>38.910825286367725</v>
      </c>
      <c r="AZ41" s="70">
        <f>IF(AE41=0,"",AN41/AE41%)</f>
        <v>46.3397090076835</v>
      </c>
      <c r="BA41" s="70">
        <f>IF(AF41=0,"",AO41/AF41%)</f>
        <v>42.95634214087316</v>
      </c>
      <c r="BB41" s="70">
        <f t="shared" si="43"/>
        <v>10.360060987528833</v>
      </c>
      <c r="BC41" s="70">
        <f t="shared" si="43"/>
        <v>8.726499918260584</v>
      </c>
      <c r="BD41" s="70">
        <f t="shared" si="43"/>
        <v>9.470479310590415</v>
      </c>
      <c r="BE41" s="69">
        <f>Board!EB43</f>
        <v>15215</v>
      </c>
      <c r="BF41" s="69">
        <f>Board!EC43</f>
        <v>13829</v>
      </c>
      <c r="BG41" s="69">
        <f>Board!ED43</f>
        <v>29044</v>
      </c>
      <c r="BH41" s="9">
        <v>758</v>
      </c>
      <c r="BI41" s="9">
        <v>652</v>
      </c>
      <c r="BJ41" s="9">
        <f t="shared" si="32"/>
        <v>1410</v>
      </c>
      <c r="BK41" s="9">
        <v>2785</v>
      </c>
      <c r="BL41" s="9">
        <v>2301</v>
      </c>
      <c r="BM41" s="9">
        <f t="shared" si="33"/>
        <v>5086</v>
      </c>
      <c r="BN41" s="69">
        <v>6865</v>
      </c>
      <c r="BO41" s="69">
        <v>6526</v>
      </c>
      <c r="BP41" s="9">
        <f t="shared" si="34"/>
        <v>13391</v>
      </c>
      <c r="BQ41" s="69">
        <v>1417</v>
      </c>
      <c r="BR41" s="69">
        <v>1498</v>
      </c>
      <c r="BS41" s="9">
        <f t="shared" si="35"/>
        <v>2915</v>
      </c>
      <c r="BT41" s="70">
        <f>IF(BE41=0,"",BH41/BE41%)</f>
        <v>4.981925731186329</v>
      </c>
      <c r="BU41" s="70">
        <f>IF(BF41=0,"",BI41/BF41%)</f>
        <v>4.714729915395185</v>
      </c>
      <c r="BV41" s="70">
        <f>IF(BG41=0,"",BJ41/BG41%)</f>
        <v>4.8547032089243904</v>
      </c>
      <c r="BW41" s="70">
        <f>IF(BE41=0,"",BK41/BE41%)</f>
        <v>18.304304962208345</v>
      </c>
      <c r="BX41" s="70">
        <f>IF(BF41=0,"",BL41/BF41%)</f>
        <v>16.638947140067973</v>
      </c>
      <c r="BY41" s="70">
        <f>IF(BG41=0,"",BM41/BG41%)</f>
        <v>17.511362071340034</v>
      </c>
      <c r="BZ41" s="70">
        <f>IF(BE41=0,"",BN41/BE41%)</f>
        <v>45.119947420308904</v>
      </c>
      <c r="CA41" s="70">
        <f>IF(BF41=0,"",BO41/BF41%)</f>
        <v>47.19068623906284</v>
      </c>
      <c r="CB41" s="70">
        <f>IF(BG41=0,"",BP41/BG41%)</f>
        <v>46.105908277096816</v>
      </c>
      <c r="CC41" s="70">
        <f>IF(BE41=0,"",BQ41/BE41%)</f>
        <v>9.313177785080512</v>
      </c>
      <c r="CD41" s="70">
        <f>IF(BF41=0,"",BR41/BF41%)</f>
        <v>10.83230891604599</v>
      </c>
      <c r="CE41" s="70">
        <f>IF(BG41=0,"",BS41/BG41%)</f>
        <v>10.036496350364963</v>
      </c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</row>
    <row r="42" spans="1:110" ht="27" customHeight="1">
      <c r="A42" s="4">
        <v>33</v>
      </c>
      <c r="B42" s="81" t="str">
        <f>Board!B38</f>
        <v>Tripura Board of Secondary Education</v>
      </c>
      <c r="C42" s="69">
        <f>Board!AP38</f>
        <v>8543</v>
      </c>
      <c r="D42" s="69">
        <f>Board!AQ38</f>
        <v>7770</v>
      </c>
      <c r="E42" s="69">
        <f>Board!AR38</f>
        <v>16313</v>
      </c>
      <c r="F42" s="9">
        <v>6226</v>
      </c>
      <c r="G42" s="9">
        <v>6365</v>
      </c>
      <c r="H42" s="9">
        <f>F42+G42</f>
        <v>12591</v>
      </c>
      <c r="I42" s="9">
        <v>513</v>
      </c>
      <c r="J42" s="9">
        <v>94</v>
      </c>
      <c r="K42" s="9">
        <f>I42+J42</f>
        <v>607</v>
      </c>
      <c r="L42" s="69">
        <v>1617</v>
      </c>
      <c r="M42" s="69">
        <v>1088</v>
      </c>
      <c r="N42" s="9">
        <f aca="true" t="shared" si="44" ref="N42:N51">L42+M42</f>
        <v>2705</v>
      </c>
      <c r="O42" s="145"/>
      <c r="P42" s="145"/>
      <c r="Q42" s="144"/>
      <c r="R42" s="70">
        <f t="shared" si="1"/>
        <v>72.87837996020133</v>
      </c>
      <c r="S42" s="70">
        <f t="shared" si="1"/>
        <v>81.91763191763191</v>
      </c>
      <c r="T42" s="70">
        <f t="shared" si="1"/>
        <v>77.18384110831852</v>
      </c>
      <c r="U42" s="70">
        <f t="shared" si="2"/>
        <v>6.004916305747395</v>
      </c>
      <c r="V42" s="70">
        <f t="shared" si="2"/>
        <v>1.2097812097812097</v>
      </c>
      <c r="W42" s="70">
        <f t="shared" si="2"/>
        <v>3.720958744559554</v>
      </c>
      <c r="X42" s="70">
        <f t="shared" si="3"/>
        <v>18.927777127472783</v>
      </c>
      <c r="Y42" s="70">
        <f t="shared" si="3"/>
        <v>14.002574002574002</v>
      </c>
      <c r="Z42" s="70">
        <f t="shared" si="3"/>
        <v>16.581867222460616</v>
      </c>
      <c r="AA42" s="146"/>
      <c r="AB42" s="146"/>
      <c r="AC42" s="146"/>
      <c r="AD42" s="69">
        <f>Board!CI38</f>
        <v>1827</v>
      </c>
      <c r="AE42" s="69">
        <f>Board!CJ38</f>
        <v>1675</v>
      </c>
      <c r="AF42" s="69">
        <f>Board!CK38</f>
        <v>3502</v>
      </c>
      <c r="AG42" s="9">
        <v>1345</v>
      </c>
      <c r="AH42" s="9">
        <v>1407</v>
      </c>
      <c r="AI42" s="9">
        <f t="shared" si="29"/>
        <v>2752</v>
      </c>
      <c r="AJ42" s="9">
        <v>91</v>
      </c>
      <c r="AK42" s="9">
        <v>20</v>
      </c>
      <c r="AL42" s="9">
        <f t="shared" si="30"/>
        <v>111</v>
      </c>
      <c r="AM42" s="69">
        <v>343</v>
      </c>
      <c r="AN42" s="69">
        <v>200</v>
      </c>
      <c r="AO42" s="9">
        <f t="shared" si="31"/>
        <v>543</v>
      </c>
      <c r="AP42" s="97"/>
      <c r="AQ42" s="97"/>
      <c r="AR42" s="98"/>
      <c r="AS42" s="70">
        <f t="shared" si="5"/>
        <v>73.61795292829775</v>
      </c>
      <c r="AT42" s="70">
        <f t="shared" si="6"/>
        <v>84</v>
      </c>
      <c r="AU42" s="70">
        <f t="shared" si="7"/>
        <v>78.58366647629926</v>
      </c>
      <c r="AV42" s="70">
        <f t="shared" si="8"/>
        <v>4.980842911877395</v>
      </c>
      <c r="AW42" s="70">
        <f t="shared" si="9"/>
        <v>1.1940298507462686</v>
      </c>
      <c r="AX42" s="70">
        <f t="shared" si="10"/>
        <v>3.1696173615077097</v>
      </c>
      <c r="AY42" s="70">
        <f t="shared" si="11"/>
        <v>18.773946360153257</v>
      </c>
      <c r="AZ42" s="70">
        <f t="shared" si="12"/>
        <v>11.940298507462687</v>
      </c>
      <c r="BA42" s="70">
        <f t="shared" si="13"/>
        <v>15.505425471159336</v>
      </c>
      <c r="BB42" s="103"/>
      <c r="BC42" s="103"/>
      <c r="BD42" s="103"/>
      <c r="BE42" s="69">
        <f>Board!EB38</f>
        <v>1619</v>
      </c>
      <c r="BF42" s="69">
        <f>Board!EC38</f>
        <v>1317</v>
      </c>
      <c r="BG42" s="69">
        <f>Board!ED38</f>
        <v>2936</v>
      </c>
      <c r="BH42" s="9">
        <v>1393</v>
      </c>
      <c r="BI42" s="9">
        <v>1182</v>
      </c>
      <c r="BJ42" s="9">
        <f t="shared" si="32"/>
        <v>2575</v>
      </c>
      <c r="BK42" s="9">
        <v>80</v>
      </c>
      <c r="BL42" s="9">
        <v>14</v>
      </c>
      <c r="BM42" s="9">
        <f t="shared" si="33"/>
        <v>94</v>
      </c>
      <c r="BN42" s="69">
        <v>110</v>
      </c>
      <c r="BO42" s="69">
        <v>77</v>
      </c>
      <c r="BP42" s="9">
        <f t="shared" si="34"/>
        <v>187</v>
      </c>
      <c r="BQ42" s="97"/>
      <c r="BR42" s="97"/>
      <c r="BS42" s="98">
        <f t="shared" si="35"/>
        <v>0</v>
      </c>
      <c r="BT42" s="70">
        <f t="shared" si="14"/>
        <v>86.04076590487955</v>
      </c>
      <c r="BU42" s="70">
        <f t="shared" si="15"/>
        <v>89.749430523918</v>
      </c>
      <c r="BV42" s="70">
        <f t="shared" si="16"/>
        <v>87.70435967302453</v>
      </c>
      <c r="BW42" s="70">
        <f t="shared" si="17"/>
        <v>4.941321803582458</v>
      </c>
      <c r="BX42" s="70">
        <f t="shared" si="18"/>
        <v>1.0630220197418374</v>
      </c>
      <c r="BY42" s="70">
        <f t="shared" si="19"/>
        <v>3.2016348773841963</v>
      </c>
      <c r="BZ42" s="70">
        <f t="shared" si="20"/>
        <v>6.79431747992588</v>
      </c>
      <c r="CA42" s="70">
        <f t="shared" si="21"/>
        <v>5.8466211085801065</v>
      </c>
      <c r="CB42" s="70">
        <f t="shared" si="22"/>
        <v>6.369209809264305</v>
      </c>
      <c r="CC42" s="103">
        <f t="shared" si="24"/>
        <v>0</v>
      </c>
      <c r="CD42" s="103">
        <f t="shared" si="25"/>
        <v>0</v>
      </c>
      <c r="CE42" s="103">
        <f t="shared" si="26"/>
        <v>0</v>
      </c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</row>
    <row r="43" spans="1:110" ht="45" customHeight="1">
      <c r="A43" s="4">
        <v>34</v>
      </c>
      <c r="B43" s="6" t="str">
        <f>Board!B39</f>
        <v>Uttar Pradesh Board of High School &amp; Intermediate Education</v>
      </c>
      <c r="C43" s="69">
        <f>Board!AP39</f>
        <v>1328587</v>
      </c>
      <c r="D43" s="69">
        <f>Board!AQ39</f>
        <v>1164537</v>
      </c>
      <c r="E43" s="69">
        <f>Board!AR39</f>
        <v>2493124</v>
      </c>
      <c r="F43" s="9">
        <v>254646</v>
      </c>
      <c r="G43" s="9">
        <v>763271</v>
      </c>
      <c r="H43" s="9">
        <f t="shared" si="27"/>
        <v>1017917</v>
      </c>
      <c r="I43" s="9">
        <v>51255</v>
      </c>
      <c r="J43" s="9">
        <v>23312</v>
      </c>
      <c r="K43" s="9">
        <f t="shared" si="0"/>
        <v>74567</v>
      </c>
      <c r="L43" s="104">
        <f>964750+39939</f>
        <v>1004689</v>
      </c>
      <c r="M43" s="104">
        <f>356564+1275</f>
        <v>357839</v>
      </c>
      <c r="N43" s="9">
        <f t="shared" si="44"/>
        <v>1362528</v>
      </c>
      <c r="O43" s="69">
        <v>17997</v>
      </c>
      <c r="P43" s="69">
        <v>20115</v>
      </c>
      <c r="Q43" s="9">
        <f>O43+P43</f>
        <v>38112</v>
      </c>
      <c r="R43" s="70">
        <f t="shared" si="1"/>
        <v>19.166678584089713</v>
      </c>
      <c r="S43" s="70">
        <f t="shared" si="1"/>
        <v>65.54287240336717</v>
      </c>
      <c r="T43" s="70">
        <f t="shared" si="1"/>
        <v>40.828976015633394</v>
      </c>
      <c r="U43" s="70">
        <f t="shared" si="2"/>
        <v>3.8578580100512796</v>
      </c>
      <c r="V43" s="70">
        <f t="shared" si="2"/>
        <v>2.00182561825</v>
      </c>
      <c r="W43" s="70">
        <f t="shared" si="2"/>
        <v>2.9909061883805217</v>
      </c>
      <c r="X43" s="70">
        <f t="shared" si="3"/>
        <v>75.62086637909297</v>
      </c>
      <c r="Y43" s="70">
        <f t="shared" si="3"/>
        <v>30.728006065930064</v>
      </c>
      <c r="Z43" s="70">
        <f t="shared" si="3"/>
        <v>54.65143330215424</v>
      </c>
      <c r="AA43" s="70">
        <f>IF(C43=0,"",O43/C43%)</f>
        <v>1.3545970267660303</v>
      </c>
      <c r="AB43" s="70">
        <f>IF(D43=0,"",P43/D43%)</f>
        <v>1.72729591245276</v>
      </c>
      <c r="AC43" s="70">
        <f>IF(E43=0,"",Q43/E43%)</f>
        <v>1.528684493831835</v>
      </c>
      <c r="AD43" s="69">
        <f>Board!CI39</f>
        <v>253451</v>
      </c>
      <c r="AE43" s="69">
        <f>Board!CJ39</f>
        <v>219646</v>
      </c>
      <c r="AF43" s="69">
        <f>Board!CK39</f>
        <v>473097</v>
      </c>
      <c r="AG43" s="9">
        <v>60847</v>
      </c>
      <c r="AH43" s="9">
        <v>158614</v>
      </c>
      <c r="AI43" s="9">
        <f t="shared" si="29"/>
        <v>219461</v>
      </c>
      <c r="AJ43" s="9">
        <v>7642</v>
      </c>
      <c r="AK43" s="9">
        <v>3064</v>
      </c>
      <c r="AL43" s="9">
        <f t="shared" si="30"/>
        <v>10706</v>
      </c>
      <c r="AM43" s="69">
        <f>173428+7654</f>
        <v>181082</v>
      </c>
      <c r="AN43" s="69">
        <f>53526+192</f>
        <v>53718</v>
      </c>
      <c r="AO43" s="9">
        <f>AM43+AN43</f>
        <v>234800</v>
      </c>
      <c r="AP43" s="69">
        <v>3880</v>
      </c>
      <c r="AQ43" s="69">
        <v>4250</v>
      </c>
      <c r="AR43" s="9">
        <f>AP43+AQ43</f>
        <v>8130</v>
      </c>
      <c r="AS43" s="70">
        <f t="shared" si="5"/>
        <v>24.00740182520487</v>
      </c>
      <c r="AT43" s="70">
        <f t="shared" si="6"/>
        <v>72.21347076659715</v>
      </c>
      <c r="AU43" s="70">
        <f t="shared" si="7"/>
        <v>46.38816141298719</v>
      </c>
      <c r="AV43" s="70">
        <f t="shared" si="8"/>
        <v>3.0151784763129754</v>
      </c>
      <c r="AW43" s="70">
        <f t="shared" si="9"/>
        <v>1.394971909345037</v>
      </c>
      <c r="AX43" s="70">
        <f t="shared" si="10"/>
        <v>2.262960872717434</v>
      </c>
      <c r="AY43" s="70">
        <f t="shared" si="11"/>
        <v>71.44655179896705</v>
      </c>
      <c r="AZ43" s="70">
        <f t="shared" si="12"/>
        <v>24.45662566129135</v>
      </c>
      <c r="BA43" s="70">
        <f t="shared" si="13"/>
        <v>49.630414058850505</v>
      </c>
      <c r="BB43" s="70">
        <f>IF(AD43=0,"",AP43/AD43%)</f>
        <v>1.5308678995150935</v>
      </c>
      <c r="BC43" s="70">
        <f>IF(AE43=0,"",AQ43/AE43%)</f>
        <v>1.9349316627664515</v>
      </c>
      <c r="BD43" s="70">
        <f>IF(AF43=0,"",AR43/AF43%)</f>
        <v>1.7184636554448665</v>
      </c>
      <c r="BE43" s="69">
        <f>Board!EB39</f>
        <v>9104</v>
      </c>
      <c r="BF43" s="69">
        <f>Board!EC39</f>
        <v>7159</v>
      </c>
      <c r="BG43" s="69">
        <f>Board!ED39</f>
        <v>16263</v>
      </c>
      <c r="BH43" s="9">
        <v>1680</v>
      </c>
      <c r="BI43" s="9">
        <v>4749</v>
      </c>
      <c r="BJ43" s="9">
        <f t="shared" si="32"/>
        <v>6429</v>
      </c>
      <c r="BK43" s="9">
        <v>304</v>
      </c>
      <c r="BL43" s="9">
        <v>78</v>
      </c>
      <c r="BM43" s="9">
        <f t="shared" si="33"/>
        <v>382</v>
      </c>
      <c r="BN43" s="69">
        <f>6826+224</f>
        <v>7050</v>
      </c>
      <c r="BO43" s="69">
        <f>2261+3</f>
        <v>2264</v>
      </c>
      <c r="BP43" s="9">
        <f>BN43+BO43</f>
        <v>9314</v>
      </c>
      <c r="BQ43" s="69">
        <v>70</v>
      </c>
      <c r="BR43" s="69">
        <v>68</v>
      </c>
      <c r="BS43" s="9">
        <f t="shared" si="35"/>
        <v>138</v>
      </c>
      <c r="BT43" s="70">
        <f t="shared" si="14"/>
        <v>18.45342706502636</v>
      </c>
      <c r="BU43" s="70">
        <f t="shared" si="15"/>
        <v>66.33608045816455</v>
      </c>
      <c r="BV43" s="70">
        <f t="shared" si="16"/>
        <v>39.53145176166759</v>
      </c>
      <c r="BW43" s="70">
        <f t="shared" si="17"/>
        <v>3.3391915641476273</v>
      </c>
      <c r="BX43" s="70">
        <f t="shared" si="18"/>
        <v>1.0895376449224752</v>
      </c>
      <c r="BY43" s="70">
        <f t="shared" si="19"/>
        <v>2.348890118674291</v>
      </c>
      <c r="BZ43" s="70">
        <f t="shared" si="20"/>
        <v>77.43848857644991</v>
      </c>
      <c r="CA43" s="70">
        <f t="shared" si="21"/>
        <v>31.6245285654421</v>
      </c>
      <c r="CB43" s="70">
        <f t="shared" si="22"/>
        <v>57.2711061919695</v>
      </c>
      <c r="CC43" s="70">
        <f t="shared" si="24"/>
        <v>0.7688927943760984</v>
      </c>
      <c r="CD43" s="70">
        <f t="shared" si="25"/>
        <v>0.9498533314708758</v>
      </c>
      <c r="CE43" s="70">
        <f t="shared" si="26"/>
        <v>0.8485519276886183</v>
      </c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</row>
    <row r="44" spans="1:110" ht="45" customHeight="1">
      <c r="A44" s="4">
        <v>35</v>
      </c>
      <c r="B44" s="105" t="s">
        <v>91</v>
      </c>
      <c r="C44" s="69">
        <f>Board!AP47</f>
        <v>11394</v>
      </c>
      <c r="D44" s="69">
        <f>Board!AQ47</f>
        <v>6656</v>
      </c>
      <c r="E44" s="69">
        <f>Board!AR47</f>
        <v>18050</v>
      </c>
      <c r="F44" s="144"/>
      <c r="G44" s="144"/>
      <c r="H44" s="144"/>
      <c r="I44" s="144"/>
      <c r="J44" s="144"/>
      <c r="K44" s="144"/>
      <c r="L44" s="145"/>
      <c r="M44" s="145"/>
      <c r="N44" s="144"/>
      <c r="O44" s="145"/>
      <c r="P44" s="145"/>
      <c r="Q44" s="144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69">
        <f>Board!CI47</f>
        <v>1215</v>
      </c>
      <c r="AE44" s="69">
        <f>Board!CJ47</f>
        <v>707</v>
      </c>
      <c r="AF44" s="69">
        <f>Board!CK47</f>
        <v>1922</v>
      </c>
      <c r="AG44" s="98"/>
      <c r="AH44" s="98"/>
      <c r="AI44" s="98"/>
      <c r="AJ44" s="98"/>
      <c r="AK44" s="98"/>
      <c r="AL44" s="98"/>
      <c r="AM44" s="97"/>
      <c r="AN44" s="97"/>
      <c r="AO44" s="98"/>
      <c r="AP44" s="97"/>
      <c r="AQ44" s="97"/>
      <c r="AR44" s="98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69">
        <f>Board!EB47</f>
        <v>9</v>
      </c>
      <c r="BF44" s="69">
        <f>Board!EC47</f>
        <v>2</v>
      </c>
      <c r="BG44" s="69">
        <f>Board!ED47</f>
        <v>11</v>
      </c>
      <c r="BH44" s="98"/>
      <c r="BI44" s="98"/>
      <c r="BJ44" s="98"/>
      <c r="BK44" s="98"/>
      <c r="BL44" s="98"/>
      <c r="BM44" s="98"/>
      <c r="BN44" s="97"/>
      <c r="BO44" s="97"/>
      <c r="BP44" s="98"/>
      <c r="BQ44" s="97"/>
      <c r="BR44" s="97"/>
      <c r="BS44" s="98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</row>
    <row r="45" spans="1:110" ht="27.75" customHeight="1">
      <c r="A45" s="4">
        <v>36</v>
      </c>
      <c r="B45" s="105" t="s">
        <v>89</v>
      </c>
      <c r="C45" s="69">
        <f>Board!AP48</f>
        <v>93</v>
      </c>
      <c r="D45" s="69">
        <f>Board!AQ48</f>
        <v>123</v>
      </c>
      <c r="E45" s="69">
        <f>Board!AR48</f>
        <v>216</v>
      </c>
      <c r="F45" s="9">
        <v>0</v>
      </c>
      <c r="G45" s="9">
        <v>38</v>
      </c>
      <c r="H45" s="9">
        <f t="shared" si="27"/>
        <v>38</v>
      </c>
      <c r="I45" s="9">
        <v>36</v>
      </c>
      <c r="J45" s="9">
        <v>57</v>
      </c>
      <c r="K45" s="9">
        <f t="shared" si="0"/>
        <v>93</v>
      </c>
      <c r="L45" s="104">
        <v>0</v>
      </c>
      <c r="M45" s="104">
        <v>1</v>
      </c>
      <c r="N45" s="9">
        <f t="shared" si="44"/>
        <v>1</v>
      </c>
      <c r="O45" s="145"/>
      <c r="P45" s="145"/>
      <c r="Q45" s="144"/>
      <c r="R45" s="70">
        <f t="shared" si="1"/>
        <v>0</v>
      </c>
      <c r="S45" s="70">
        <f t="shared" si="1"/>
        <v>30.89430894308943</v>
      </c>
      <c r="T45" s="70">
        <f t="shared" si="1"/>
        <v>17.59259259259259</v>
      </c>
      <c r="U45" s="70">
        <f t="shared" si="2"/>
        <v>38.70967741935484</v>
      </c>
      <c r="V45" s="70">
        <f t="shared" si="2"/>
        <v>46.34146341463415</v>
      </c>
      <c r="W45" s="70">
        <f t="shared" si="2"/>
        <v>43.05555555555555</v>
      </c>
      <c r="X45" s="70">
        <f>IF(C45=0,"",L45/C45%)</f>
        <v>0</v>
      </c>
      <c r="Y45" s="70">
        <f>IF(D45=0,"",M45/D45%)</f>
        <v>0.8130081300813008</v>
      </c>
      <c r="Z45" s="70">
        <f>IF(E45=0,"",N45/E45%)</f>
        <v>0.4629629629629629</v>
      </c>
      <c r="AA45" s="146"/>
      <c r="AB45" s="146"/>
      <c r="AC45" s="146"/>
      <c r="AD45" s="69">
        <f>Board!CI48</f>
        <v>13</v>
      </c>
      <c r="AE45" s="69">
        <f>Board!CJ48</f>
        <v>19</v>
      </c>
      <c r="AF45" s="69">
        <f>Board!CK48</f>
        <v>32</v>
      </c>
      <c r="AG45" s="9">
        <v>0</v>
      </c>
      <c r="AH45" s="9">
        <v>8</v>
      </c>
      <c r="AI45" s="9">
        <f t="shared" si="29"/>
        <v>8</v>
      </c>
      <c r="AJ45" s="9">
        <v>7</v>
      </c>
      <c r="AK45" s="9">
        <v>9</v>
      </c>
      <c r="AL45" s="9">
        <f t="shared" si="30"/>
        <v>16</v>
      </c>
      <c r="AM45" s="97"/>
      <c r="AN45" s="97"/>
      <c r="AO45" s="98"/>
      <c r="AP45" s="97"/>
      <c r="AQ45" s="97"/>
      <c r="AR45" s="98"/>
      <c r="AS45" s="70">
        <f t="shared" si="5"/>
        <v>0</v>
      </c>
      <c r="AT45" s="70">
        <f t="shared" si="6"/>
        <v>42.10526315789474</v>
      </c>
      <c r="AU45" s="70">
        <f t="shared" si="7"/>
        <v>25</v>
      </c>
      <c r="AV45" s="70">
        <f t="shared" si="8"/>
        <v>53.84615384615385</v>
      </c>
      <c r="AW45" s="70">
        <f t="shared" si="9"/>
        <v>47.368421052631575</v>
      </c>
      <c r="AX45" s="70">
        <f t="shared" si="10"/>
        <v>50</v>
      </c>
      <c r="AY45" s="103"/>
      <c r="AZ45" s="103"/>
      <c r="BA45" s="103"/>
      <c r="BB45" s="103"/>
      <c r="BC45" s="103"/>
      <c r="BD45" s="103"/>
      <c r="BE45" s="69">
        <f>Board!EB47</f>
        <v>9</v>
      </c>
      <c r="BF45" s="69">
        <f>Board!EC48</f>
        <v>4</v>
      </c>
      <c r="BG45" s="69">
        <f>Board!ED48</f>
        <v>6</v>
      </c>
      <c r="BH45" s="98"/>
      <c r="BI45" s="98"/>
      <c r="BJ45" s="98"/>
      <c r="BK45" s="9">
        <v>0</v>
      </c>
      <c r="BL45" s="9">
        <v>4</v>
      </c>
      <c r="BM45" s="9">
        <f t="shared" si="33"/>
        <v>4</v>
      </c>
      <c r="BN45" s="97"/>
      <c r="BO45" s="97"/>
      <c r="BP45" s="98"/>
      <c r="BQ45" s="97"/>
      <c r="BR45" s="97"/>
      <c r="BS45" s="98"/>
      <c r="BT45" s="70">
        <f>IF(BE45=0,"",BH45/BE45%)</f>
        <v>0</v>
      </c>
      <c r="BU45" s="70">
        <f>IF(BF45=0,"",BI45/BF45%)</f>
        <v>0</v>
      </c>
      <c r="BV45" s="70">
        <f>IF(BG45=0,"",BJ45/BG45%)</f>
        <v>0</v>
      </c>
      <c r="BW45" s="70">
        <f t="shared" si="17"/>
        <v>0</v>
      </c>
      <c r="BX45" s="70">
        <f t="shared" si="18"/>
        <v>100</v>
      </c>
      <c r="BY45" s="70">
        <f t="shared" si="19"/>
        <v>66.66666666666667</v>
      </c>
      <c r="BZ45" s="103">
        <f>IF(BE45=0,"",BN45/BE45%)</f>
        <v>0</v>
      </c>
      <c r="CA45" s="103">
        <f>IF(BF45=0,"",BO45/BF45%)</f>
        <v>0</v>
      </c>
      <c r="CB45" s="103">
        <f>IF(BG45=0,"",BP45/BG45%)</f>
        <v>0</v>
      </c>
      <c r="CC45" s="103">
        <f>IF(BE45=0,"",BQ45/BE45%)</f>
        <v>0</v>
      </c>
      <c r="CD45" s="103">
        <f>IF(BF45=0,"",BR45/BF45%)</f>
        <v>0</v>
      </c>
      <c r="CE45" s="103">
        <f>IF(BG45=0,"",BS45/BG45%)</f>
        <v>0</v>
      </c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</row>
    <row r="46" spans="1:110" ht="27.75" customHeight="1">
      <c r="A46" s="4">
        <v>37</v>
      </c>
      <c r="B46" s="105" t="s">
        <v>85</v>
      </c>
      <c r="C46" s="69">
        <f>Board!AP49</f>
        <v>725</v>
      </c>
      <c r="D46" s="69">
        <f>Board!AQ49</f>
        <v>67</v>
      </c>
      <c r="E46" s="69">
        <f>Board!AR49</f>
        <v>792</v>
      </c>
      <c r="F46" s="98"/>
      <c r="G46" s="98"/>
      <c r="H46" s="98"/>
      <c r="I46" s="98"/>
      <c r="J46" s="98"/>
      <c r="K46" s="98"/>
      <c r="L46" s="145"/>
      <c r="M46" s="145"/>
      <c r="N46" s="98"/>
      <c r="O46" s="145"/>
      <c r="P46" s="145"/>
      <c r="Q46" s="144"/>
      <c r="R46" s="103"/>
      <c r="S46" s="103"/>
      <c r="T46" s="103"/>
      <c r="U46" s="103"/>
      <c r="V46" s="103"/>
      <c r="W46" s="103"/>
      <c r="X46" s="103"/>
      <c r="Y46" s="103"/>
      <c r="Z46" s="103"/>
      <c r="AA46" s="146"/>
      <c r="AB46" s="146"/>
      <c r="AC46" s="146"/>
      <c r="AD46" s="69">
        <f>Board!CI49</f>
        <v>21</v>
      </c>
      <c r="AE46" s="69">
        <f>Board!CJ49</f>
        <v>7</v>
      </c>
      <c r="AF46" s="69">
        <f>Board!CK49</f>
        <v>28</v>
      </c>
      <c r="AG46" s="98"/>
      <c r="AH46" s="98"/>
      <c r="AI46" s="98"/>
      <c r="AJ46" s="98"/>
      <c r="AK46" s="98"/>
      <c r="AL46" s="98"/>
      <c r="AM46" s="97"/>
      <c r="AN46" s="97"/>
      <c r="AO46" s="98"/>
      <c r="AP46" s="97"/>
      <c r="AQ46" s="97"/>
      <c r="AR46" s="98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69">
        <f>Board!EB48</f>
        <v>2</v>
      </c>
      <c r="BF46" s="69">
        <f>Board!EC49</f>
        <v>0</v>
      </c>
      <c r="BG46" s="69">
        <f>Board!ED49</f>
        <v>0</v>
      </c>
      <c r="BH46" s="98"/>
      <c r="BI46" s="98"/>
      <c r="BJ46" s="98"/>
      <c r="BK46" s="98"/>
      <c r="BL46" s="98"/>
      <c r="BM46" s="98"/>
      <c r="BN46" s="97"/>
      <c r="BO46" s="97"/>
      <c r="BP46" s="98"/>
      <c r="BQ46" s="97"/>
      <c r="BR46" s="97"/>
      <c r="BS46" s="98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</row>
    <row r="47" spans="1:110" ht="27.75" customHeight="1">
      <c r="A47" s="4">
        <v>38</v>
      </c>
      <c r="B47" s="6" t="str">
        <f>Board!B40</f>
        <v>Uttranchal Shiksha Evm Pariksha Parishad, Ramnagar</v>
      </c>
      <c r="C47" s="69">
        <f>Board!AP40</f>
        <v>48254</v>
      </c>
      <c r="D47" s="69">
        <f>Board!AQ40</f>
        <v>56092</v>
      </c>
      <c r="E47" s="69">
        <f>Board!AR40</f>
        <v>104346</v>
      </c>
      <c r="F47" s="9">
        <v>23041</v>
      </c>
      <c r="G47" s="9">
        <v>42809</v>
      </c>
      <c r="H47" s="9">
        <f t="shared" si="27"/>
        <v>65850</v>
      </c>
      <c r="I47" s="9">
        <v>1947</v>
      </c>
      <c r="J47" s="9">
        <v>1068</v>
      </c>
      <c r="K47" s="9">
        <f t="shared" si="0"/>
        <v>3015</v>
      </c>
      <c r="L47" s="69">
        <f>22343+909</f>
        <v>23252</v>
      </c>
      <c r="M47" s="69">
        <f>12155+52</f>
        <v>12207</v>
      </c>
      <c r="N47" s="9">
        <f t="shared" si="44"/>
        <v>35459</v>
      </c>
      <c r="O47" s="145"/>
      <c r="P47" s="145"/>
      <c r="Q47" s="144"/>
      <c r="R47" s="70">
        <f t="shared" si="1"/>
        <v>47.749409375388566</v>
      </c>
      <c r="S47" s="70">
        <f t="shared" si="1"/>
        <v>76.31926121372032</v>
      </c>
      <c r="T47" s="70">
        <f t="shared" si="1"/>
        <v>63.10735437870162</v>
      </c>
      <c r="U47" s="70">
        <f t="shared" si="2"/>
        <v>4.034898661250881</v>
      </c>
      <c r="V47" s="70">
        <f t="shared" si="2"/>
        <v>1.9040148327747273</v>
      </c>
      <c r="W47" s="70">
        <f t="shared" si="2"/>
        <v>2.8894255649473863</v>
      </c>
      <c r="X47" s="70">
        <f t="shared" si="3"/>
        <v>48.186678824553404</v>
      </c>
      <c r="Y47" s="70">
        <f t="shared" si="3"/>
        <v>21.762461670113385</v>
      </c>
      <c r="Z47" s="70">
        <f t="shared" si="3"/>
        <v>33.98213635405286</v>
      </c>
      <c r="AA47" s="146"/>
      <c r="AB47" s="146"/>
      <c r="AC47" s="146"/>
      <c r="AD47" s="69">
        <f>Board!CI40</f>
        <v>11297</v>
      </c>
      <c r="AE47" s="69">
        <f>Board!CJ40</f>
        <v>12669</v>
      </c>
      <c r="AF47" s="69">
        <f>Board!CK40</f>
        <v>23966</v>
      </c>
      <c r="AG47" s="9">
        <v>6441</v>
      </c>
      <c r="AH47" s="9">
        <v>10714</v>
      </c>
      <c r="AI47" s="9">
        <f t="shared" si="29"/>
        <v>17155</v>
      </c>
      <c r="AJ47" s="9">
        <v>417</v>
      </c>
      <c r="AK47" s="9">
        <v>184</v>
      </c>
      <c r="AL47" s="9">
        <f t="shared" si="30"/>
        <v>601</v>
      </c>
      <c r="AM47" s="69">
        <f>4191+243</f>
        <v>4434</v>
      </c>
      <c r="AN47" s="69">
        <f>1759+12</f>
        <v>1771</v>
      </c>
      <c r="AO47" s="9">
        <f>AM47+AN47</f>
        <v>6205</v>
      </c>
      <c r="AP47" s="97"/>
      <c r="AQ47" s="97"/>
      <c r="AR47" s="98"/>
      <c r="AS47" s="70">
        <f t="shared" si="5"/>
        <v>57.01513676197221</v>
      </c>
      <c r="AT47" s="70">
        <f t="shared" si="6"/>
        <v>84.56863209408793</v>
      </c>
      <c r="AU47" s="70">
        <f t="shared" si="7"/>
        <v>71.58057247767671</v>
      </c>
      <c r="AV47" s="70">
        <f t="shared" si="8"/>
        <v>3.691245463397362</v>
      </c>
      <c r="AW47" s="70">
        <f t="shared" si="9"/>
        <v>1.4523640382034888</v>
      </c>
      <c r="AX47" s="70">
        <f t="shared" si="10"/>
        <v>2.507719268964366</v>
      </c>
      <c r="AY47" s="70">
        <f t="shared" si="11"/>
        <v>39.24935823670001</v>
      </c>
      <c r="AZ47" s="70">
        <f t="shared" si="12"/>
        <v>13.979003867708581</v>
      </c>
      <c r="BA47" s="70">
        <f t="shared" si="13"/>
        <v>25.890845364266045</v>
      </c>
      <c r="BB47" s="103"/>
      <c r="BC47" s="103"/>
      <c r="BD47" s="103"/>
      <c r="BE47" s="69">
        <f>Board!EB40</f>
        <v>2020</v>
      </c>
      <c r="BF47" s="69">
        <f>Board!EC40</f>
        <v>3489</v>
      </c>
      <c r="BG47" s="69">
        <f>Board!ED40</f>
        <v>5509</v>
      </c>
      <c r="BH47" s="9">
        <v>1090</v>
      </c>
      <c r="BI47" s="9">
        <v>1962</v>
      </c>
      <c r="BJ47" s="9">
        <f t="shared" si="32"/>
        <v>3052</v>
      </c>
      <c r="BK47" s="9">
        <v>33</v>
      </c>
      <c r="BL47" s="9">
        <v>12</v>
      </c>
      <c r="BM47" s="9">
        <f t="shared" si="33"/>
        <v>45</v>
      </c>
      <c r="BN47" s="69">
        <f>868+28</f>
        <v>896</v>
      </c>
      <c r="BO47" s="69">
        <v>515</v>
      </c>
      <c r="BP47" s="9">
        <f>BN47+BO47</f>
        <v>1411</v>
      </c>
      <c r="BQ47" s="97"/>
      <c r="BR47" s="97"/>
      <c r="BS47" s="98"/>
      <c r="BT47" s="70">
        <f t="shared" si="14"/>
        <v>53.960396039603964</v>
      </c>
      <c r="BU47" s="70">
        <f t="shared" si="15"/>
        <v>56.23387790197764</v>
      </c>
      <c r="BV47" s="70">
        <f t="shared" si="16"/>
        <v>55.4002541296061</v>
      </c>
      <c r="BW47" s="70">
        <f t="shared" si="17"/>
        <v>1.6336633663366338</v>
      </c>
      <c r="BX47" s="70">
        <f t="shared" si="18"/>
        <v>0.34393809114359414</v>
      </c>
      <c r="BY47" s="70">
        <f t="shared" si="19"/>
        <v>0.8168451624614267</v>
      </c>
      <c r="BZ47" s="70">
        <f t="shared" si="20"/>
        <v>44.35643564356436</v>
      </c>
      <c r="CA47" s="70">
        <f t="shared" si="21"/>
        <v>14.760676411579249</v>
      </c>
      <c r="CB47" s="70">
        <f t="shared" si="22"/>
        <v>25.612633871846068</v>
      </c>
      <c r="CC47" s="103">
        <f t="shared" si="24"/>
        <v>0</v>
      </c>
      <c r="CD47" s="103">
        <f t="shared" si="25"/>
        <v>0</v>
      </c>
      <c r="CE47" s="103">
        <f t="shared" si="26"/>
        <v>0</v>
      </c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</row>
    <row r="48" spans="1:110" ht="27" customHeight="1">
      <c r="A48" s="4">
        <v>39</v>
      </c>
      <c r="B48" s="6" t="str">
        <f>Board!B41</f>
        <v>West Bengal Council of Higher Education, Kolkata</v>
      </c>
      <c r="C48" s="69">
        <f>Board!AP41</f>
        <v>315983</v>
      </c>
      <c r="D48" s="69">
        <f>Board!AQ41</f>
        <v>317947</v>
      </c>
      <c r="E48" s="69">
        <f>Board!AR41</f>
        <v>633930</v>
      </c>
      <c r="F48" s="9">
        <v>273095</v>
      </c>
      <c r="G48" s="9">
        <v>231829</v>
      </c>
      <c r="H48" s="9">
        <f>F48+G48</f>
        <v>504924</v>
      </c>
      <c r="I48" s="9">
        <v>8377</v>
      </c>
      <c r="J48" s="9">
        <v>27396</v>
      </c>
      <c r="K48" s="9">
        <f>I48+J48</f>
        <v>35773</v>
      </c>
      <c r="L48" s="69">
        <v>30759</v>
      </c>
      <c r="M48" s="69">
        <v>51299</v>
      </c>
      <c r="N48" s="9">
        <f t="shared" si="44"/>
        <v>82058</v>
      </c>
      <c r="O48" s="145"/>
      <c r="P48" s="145"/>
      <c r="Q48" s="144"/>
      <c r="R48" s="70">
        <f>IF(C48=0,"",F48/C48%)</f>
        <v>86.42711791457135</v>
      </c>
      <c r="S48" s="70">
        <f>IF(D48=0,"",G48/D48%)</f>
        <v>72.91435365013666</v>
      </c>
      <c r="T48" s="70">
        <f>IF(E48=0,"",H48/E48%)</f>
        <v>79.64980360607638</v>
      </c>
      <c r="U48" s="70">
        <f>IF(C48=0,"",I48/C48%)</f>
        <v>2.651091989125997</v>
      </c>
      <c r="V48" s="70">
        <f>IF(D48=0,"",J48/D48%)</f>
        <v>8.616530428027314</v>
      </c>
      <c r="W48" s="70">
        <f>IF(E48=0,"",K48/E48%)</f>
        <v>5.6430520719953305</v>
      </c>
      <c r="X48" s="70">
        <f>IF(C48=0,"",L48/C48%)</f>
        <v>9.734384444732786</v>
      </c>
      <c r="Y48" s="70">
        <f>IF(D48=0,"",M48/D48%)</f>
        <v>16.13445008130286</v>
      </c>
      <c r="Z48" s="70">
        <f>IF(E48=0,"",N48/E48%)</f>
        <v>12.944331393056014</v>
      </c>
      <c r="AA48" s="146"/>
      <c r="AB48" s="146"/>
      <c r="AC48" s="146"/>
      <c r="AD48" s="69">
        <f>Board!CI41</f>
        <v>84698</v>
      </c>
      <c r="AE48" s="69">
        <f>Board!CJ41</f>
        <v>75560</v>
      </c>
      <c r="AF48" s="69">
        <f>Board!CK41</f>
        <v>160258</v>
      </c>
      <c r="AG48" s="9">
        <v>69196</v>
      </c>
      <c r="AH48" s="9">
        <v>71888</v>
      </c>
      <c r="AI48" s="9">
        <f t="shared" si="29"/>
        <v>141084</v>
      </c>
      <c r="AJ48" s="9">
        <v>683</v>
      </c>
      <c r="AK48" s="9">
        <v>3451</v>
      </c>
      <c r="AL48" s="9">
        <f t="shared" si="30"/>
        <v>4134</v>
      </c>
      <c r="AM48" s="69">
        <v>3979</v>
      </c>
      <c r="AN48" s="69">
        <v>7590</v>
      </c>
      <c r="AO48" s="9">
        <f>AM48+AN48</f>
        <v>11569</v>
      </c>
      <c r="AP48" s="97"/>
      <c r="AQ48" s="97"/>
      <c r="AR48" s="98"/>
      <c r="AS48" s="70">
        <f t="shared" si="5"/>
        <v>81.6973246121514</v>
      </c>
      <c r="AT48" s="70">
        <f t="shared" si="6"/>
        <v>95.14028586553732</v>
      </c>
      <c r="AU48" s="70">
        <f t="shared" si="7"/>
        <v>88.03554268741655</v>
      </c>
      <c r="AV48" s="70">
        <f t="shared" si="8"/>
        <v>0.8063944839311435</v>
      </c>
      <c r="AW48" s="70">
        <f t="shared" si="9"/>
        <v>4.56723133933298</v>
      </c>
      <c r="AX48" s="70">
        <f t="shared" si="10"/>
        <v>2.5795904104631284</v>
      </c>
      <c r="AY48" s="70">
        <f t="shared" si="11"/>
        <v>4.697867718246004</v>
      </c>
      <c r="AZ48" s="70">
        <f t="shared" si="12"/>
        <v>10.044997353096877</v>
      </c>
      <c r="BA48" s="70">
        <f t="shared" si="13"/>
        <v>7.218984387674874</v>
      </c>
      <c r="BB48" s="103"/>
      <c r="BC48" s="103"/>
      <c r="BD48" s="103"/>
      <c r="BE48" s="69">
        <f>Board!EB41</f>
        <v>14235</v>
      </c>
      <c r="BF48" s="69">
        <f>Board!EC41</f>
        <v>13073</v>
      </c>
      <c r="BG48" s="69">
        <f>Board!ED41</f>
        <v>27308</v>
      </c>
      <c r="BH48" s="9">
        <v>11851</v>
      </c>
      <c r="BI48" s="9">
        <v>12519</v>
      </c>
      <c r="BJ48" s="9">
        <f t="shared" si="32"/>
        <v>24370</v>
      </c>
      <c r="BK48" s="9">
        <v>107</v>
      </c>
      <c r="BL48" s="9">
        <v>345</v>
      </c>
      <c r="BM48" s="9">
        <f t="shared" si="33"/>
        <v>452</v>
      </c>
      <c r="BN48" s="69">
        <v>407</v>
      </c>
      <c r="BO48" s="69">
        <v>696</v>
      </c>
      <c r="BP48" s="9">
        <f>BN48+BO48</f>
        <v>1103</v>
      </c>
      <c r="BQ48" s="97"/>
      <c r="BR48" s="97"/>
      <c r="BS48" s="98">
        <f t="shared" si="35"/>
        <v>0</v>
      </c>
      <c r="BT48" s="70">
        <f t="shared" si="14"/>
        <v>83.25254654021778</v>
      </c>
      <c r="BU48" s="70">
        <f t="shared" si="15"/>
        <v>95.76225808919148</v>
      </c>
      <c r="BV48" s="70">
        <f t="shared" si="16"/>
        <v>89.24124798593819</v>
      </c>
      <c r="BW48" s="70">
        <f t="shared" si="17"/>
        <v>0.7516684229012996</v>
      </c>
      <c r="BX48" s="70">
        <f t="shared" si="18"/>
        <v>2.6390270022183127</v>
      </c>
      <c r="BY48" s="70">
        <f t="shared" si="19"/>
        <v>1.6551926175479714</v>
      </c>
      <c r="BZ48" s="70">
        <f t="shared" si="20"/>
        <v>2.859149982437654</v>
      </c>
      <c r="CA48" s="70">
        <f t="shared" si="21"/>
        <v>5.323950126214335</v>
      </c>
      <c r="CB48" s="70">
        <f t="shared" si="22"/>
        <v>4.039109418485426</v>
      </c>
      <c r="CC48" s="103">
        <f t="shared" si="24"/>
        <v>0</v>
      </c>
      <c r="CD48" s="103">
        <f t="shared" si="25"/>
        <v>0</v>
      </c>
      <c r="CE48" s="103">
        <f t="shared" si="26"/>
        <v>0</v>
      </c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</row>
    <row r="49" spans="1:110" ht="27" customHeight="1">
      <c r="A49" s="4">
        <v>40</v>
      </c>
      <c r="B49" s="6" t="str">
        <f>Board!B42</f>
        <v>Board of Madrasah Education, West Bengal, Kolkata ** $</v>
      </c>
      <c r="C49" s="69">
        <f>Board!AP42</f>
        <v>1918</v>
      </c>
      <c r="D49" s="69">
        <f>Board!AQ42</f>
        <v>1031</v>
      </c>
      <c r="E49" s="69">
        <f>Board!AR42</f>
        <v>2949</v>
      </c>
      <c r="F49" s="98"/>
      <c r="G49" s="98"/>
      <c r="H49" s="98"/>
      <c r="I49" s="98"/>
      <c r="J49" s="98"/>
      <c r="K49" s="98"/>
      <c r="L49" s="97"/>
      <c r="M49" s="97"/>
      <c r="N49" s="98"/>
      <c r="O49" s="145"/>
      <c r="P49" s="145"/>
      <c r="Q49" s="144"/>
      <c r="R49" s="103"/>
      <c r="S49" s="103"/>
      <c r="T49" s="103"/>
      <c r="U49" s="103"/>
      <c r="V49" s="103"/>
      <c r="W49" s="103"/>
      <c r="X49" s="103"/>
      <c r="Y49" s="103"/>
      <c r="Z49" s="103"/>
      <c r="AA49" s="146"/>
      <c r="AB49" s="146"/>
      <c r="AC49" s="146"/>
      <c r="AD49" s="97"/>
      <c r="AE49" s="97"/>
      <c r="AF49" s="97"/>
      <c r="AG49" s="98"/>
      <c r="AH49" s="98"/>
      <c r="AI49" s="98"/>
      <c r="AJ49" s="98"/>
      <c r="AK49" s="98"/>
      <c r="AL49" s="98"/>
      <c r="AM49" s="97"/>
      <c r="AN49" s="97"/>
      <c r="AO49" s="98"/>
      <c r="AP49" s="97"/>
      <c r="AQ49" s="97"/>
      <c r="AR49" s="98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97">
        <f>Board!EB42</f>
        <v>0</v>
      </c>
      <c r="BF49" s="97">
        <f>Board!EC42</f>
        <v>0</v>
      </c>
      <c r="BG49" s="97">
        <f>Board!ED42</f>
        <v>0</v>
      </c>
      <c r="BH49" s="98"/>
      <c r="BI49" s="98"/>
      <c r="BJ49" s="98">
        <f t="shared" si="32"/>
        <v>0</v>
      </c>
      <c r="BK49" s="98"/>
      <c r="BL49" s="98"/>
      <c r="BM49" s="98">
        <f t="shared" si="33"/>
        <v>0</v>
      </c>
      <c r="BN49" s="97"/>
      <c r="BO49" s="97"/>
      <c r="BP49" s="98">
        <f>BN49+BO49</f>
        <v>0</v>
      </c>
      <c r="BQ49" s="97"/>
      <c r="BR49" s="97"/>
      <c r="BS49" s="98">
        <f t="shared" si="35"/>
        <v>0</v>
      </c>
      <c r="BT49" s="103">
        <f t="shared" si="14"/>
      </c>
      <c r="BU49" s="103">
        <f t="shared" si="15"/>
      </c>
      <c r="BV49" s="103">
        <f t="shared" si="16"/>
      </c>
      <c r="BW49" s="103">
        <f t="shared" si="17"/>
      </c>
      <c r="BX49" s="103">
        <f t="shared" si="18"/>
      </c>
      <c r="BY49" s="103">
        <f t="shared" si="19"/>
      </c>
      <c r="BZ49" s="103">
        <f t="shared" si="20"/>
      </c>
      <c r="CA49" s="103">
        <f t="shared" si="21"/>
      </c>
      <c r="CB49" s="103">
        <f t="shared" si="22"/>
      </c>
      <c r="CC49" s="103">
        <f t="shared" si="24"/>
      </c>
      <c r="CD49" s="103">
        <f t="shared" si="25"/>
      </c>
      <c r="CE49" s="103">
        <f t="shared" si="26"/>
      </c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</row>
    <row r="50" spans="1:110" ht="27" customHeight="1">
      <c r="A50" s="4">
        <v>41</v>
      </c>
      <c r="B50" s="6" t="s">
        <v>82</v>
      </c>
      <c r="C50" s="69">
        <f>Board!AP50</f>
        <v>1192</v>
      </c>
      <c r="D50" s="69">
        <f>Board!AQ50</f>
        <v>837</v>
      </c>
      <c r="E50" s="69">
        <f>Board!AR50</f>
        <v>2029</v>
      </c>
      <c r="F50" s="9">
        <v>96</v>
      </c>
      <c r="G50" s="9">
        <v>118</v>
      </c>
      <c r="H50" s="9">
        <f t="shared" si="27"/>
        <v>214</v>
      </c>
      <c r="I50" s="9">
        <v>211</v>
      </c>
      <c r="J50" s="9">
        <v>122</v>
      </c>
      <c r="K50" s="9">
        <f>I50+J50</f>
        <v>333</v>
      </c>
      <c r="L50" s="69">
        <v>837</v>
      </c>
      <c r="M50" s="69">
        <v>578</v>
      </c>
      <c r="N50" s="9">
        <f t="shared" si="44"/>
        <v>1415</v>
      </c>
      <c r="O50" s="145"/>
      <c r="P50" s="145"/>
      <c r="Q50" s="144"/>
      <c r="R50" s="70">
        <f>IF(C50=0,"",F50/C50%)</f>
        <v>8.053691275167786</v>
      </c>
      <c r="S50" s="70">
        <f>IF(D50=0,"",G50/D50%)</f>
        <v>14.097968936678615</v>
      </c>
      <c r="T50" s="70">
        <f>IF(E50=0,"",H50/E50%)</f>
        <v>10.54706752094628</v>
      </c>
      <c r="U50" s="70">
        <f>IF(C50=0,"",I50/C50%)</f>
        <v>17.701342281879196</v>
      </c>
      <c r="V50" s="70">
        <f>IF(D50=0,"",J50/D50%)</f>
        <v>14.575866188769416</v>
      </c>
      <c r="W50" s="70">
        <f>IF(E50=0,"",K50/E50%)</f>
        <v>16.41202562838837</v>
      </c>
      <c r="X50" s="70">
        <f>IF(C50=0,"",L50/C50%)</f>
        <v>70.21812080536913</v>
      </c>
      <c r="Y50" s="70">
        <f>IF(D50=0,"",M50/D50%)</f>
        <v>69.05615292712068</v>
      </c>
      <c r="Z50" s="70">
        <f>IF(E50=0,"",N50/E50%)</f>
        <v>69.73878758008871</v>
      </c>
      <c r="AA50" s="146"/>
      <c r="AB50" s="146"/>
      <c r="AC50" s="146"/>
      <c r="AD50" s="97"/>
      <c r="AE50" s="97"/>
      <c r="AF50" s="97"/>
      <c r="AG50" s="98"/>
      <c r="AH50" s="98"/>
      <c r="AI50" s="98"/>
      <c r="AJ50" s="98"/>
      <c r="AK50" s="98"/>
      <c r="AL50" s="98"/>
      <c r="AM50" s="97"/>
      <c r="AN50" s="97"/>
      <c r="AO50" s="98"/>
      <c r="AP50" s="97"/>
      <c r="AQ50" s="97"/>
      <c r="AR50" s="98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97"/>
      <c r="BF50" s="97"/>
      <c r="BG50" s="97"/>
      <c r="BH50" s="98"/>
      <c r="BI50" s="98"/>
      <c r="BJ50" s="98"/>
      <c r="BK50" s="98"/>
      <c r="BL50" s="98"/>
      <c r="BM50" s="98"/>
      <c r="BN50" s="97"/>
      <c r="BO50" s="97"/>
      <c r="BP50" s="98"/>
      <c r="BQ50" s="97"/>
      <c r="BR50" s="97"/>
      <c r="BS50" s="98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</row>
    <row r="51" spans="1:83" s="73" customFormat="1" ht="19.5" customHeight="1">
      <c r="A51" s="193" t="s">
        <v>7</v>
      </c>
      <c r="B51" s="201"/>
      <c r="C51" s="71">
        <f>SUM(C9:C49)</f>
        <v>6095251</v>
      </c>
      <c r="D51" s="71">
        <f>SUM(D9:D49)</f>
        <v>5549933</v>
      </c>
      <c r="E51" s="71">
        <f>C51+D51</f>
        <v>11645184</v>
      </c>
      <c r="F51" s="71">
        <f>SUM(F9:F50)</f>
        <v>1656598</v>
      </c>
      <c r="G51" s="71">
        <f>SUM(G9:G50)</f>
        <v>2314859</v>
      </c>
      <c r="H51" s="71">
        <f t="shared" si="27"/>
        <v>3971457</v>
      </c>
      <c r="I51" s="71">
        <f>SUM(I9:I50)</f>
        <v>847495</v>
      </c>
      <c r="J51" s="71">
        <f>SUM(J9:J50)</f>
        <v>833995</v>
      </c>
      <c r="K51" s="71">
        <f t="shared" si="0"/>
        <v>1681490</v>
      </c>
      <c r="L51" s="71">
        <f>SUM(L9:L50)</f>
        <v>2774613</v>
      </c>
      <c r="M51" s="71">
        <f>SUM(M9:M50)</f>
        <v>1748515</v>
      </c>
      <c r="N51" s="71">
        <f t="shared" si="44"/>
        <v>4523128</v>
      </c>
      <c r="O51" s="71">
        <f>SUM(O9:O49)</f>
        <v>114534</v>
      </c>
      <c r="P51" s="71">
        <f>SUM(P9:P49)</f>
        <v>74930</v>
      </c>
      <c r="Q51" s="71">
        <f>O51+P51</f>
        <v>189464</v>
      </c>
      <c r="R51" s="72">
        <f t="shared" si="1"/>
        <v>27.17850339551234</v>
      </c>
      <c r="S51" s="72">
        <f t="shared" si="1"/>
        <v>41.70967469337017</v>
      </c>
      <c r="T51" s="72">
        <f t="shared" si="1"/>
        <v>34.10385786948493</v>
      </c>
      <c r="U51" s="72">
        <f t="shared" si="2"/>
        <v>13.90418540598246</v>
      </c>
      <c r="V51" s="72">
        <f t="shared" si="2"/>
        <v>15.027118345392637</v>
      </c>
      <c r="W51" s="72">
        <f t="shared" si="2"/>
        <v>14.439359652883114</v>
      </c>
      <c r="X51" s="72">
        <f t="shared" si="3"/>
        <v>45.52089815497344</v>
      </c>
      <c r="Y51" s="72">
        <f t="shared" si="3"/>
        <v>31.505155107277872</v>
      </c>
      <c r="Z51" s="72">
        <f t="shared" si="3"/>
        <v>38.84118962826178</v>
      </c>
      <c r="AA51" s="72">
        <f>IF(C51=0,"",O51/C51%)</f>
        <v>1.8790694591576294</v>
      </c>
      <c r="AB51" s="72">
        <f>IF(D51=0,"",P51/D51%)</f>
        <v>1.350106388671719</v>
      </c>
      <c r="AC51" s="72">
        <f>IF(E51=0,"",Q51/E51%)</f>
        <v>1.6269730044626174</v>
      </c>
      <c r="AD51" s="71">
        <f>SUM(AD9:AD49)</f>
        <v>945954</v>
      </c>
      <c r="AE51" s="71">
        <f>SUM(AE9:AE49)</f>
        <v>864119</v>
      </c>
      <c r="AF51" s="71">
        <f>AD51+AE51</f>
        <v>1810073</v>
      </c>
      <c r="AG51" s="71">
        <f>SUM(AG9:AG49)</f>
        <v>311998</v>
      </c>
      <c r="AH51" s="71">
        <f>SUM(AH9:AH49)</f>
        <v>418477</v>
      </c>
      <c r="AI51" s="71">
        <f t="shared" si="29"/>
        <v>730475</v>
      </c>
      <c r="AJ51" s="71">
        <f>SUM(AJ9:AJ49)</f>
        <v>100885</v>
      </c>
      <c r="AK51" s="71">
        <f>SUM(AK9:AK49)</f>
        <v>103463</v>
      </c>
      <c r="AL51" s="71">
        <f t="shared" si="30"/>
        <v>204348</v>
      </c>
      <c r="AM51" s="71">
        <f>SUM(AM9:AM49)</f>
        <v>395127</v>
      </c>
      <c r="AN51" s="71">
        <f>SUM(AN9:AN49)</f>
        <v>238771</v>
      </c>
      <c r="AO51" s="71">
        <f>AM51+AN51</f>
        <v>633898</v>
      </c>
      <c r="AP51" s="71">
        <f>SUM(AP9:AP49)</f>
        <v>25422</v>
      </c>
      <c r="AQ51" s="71">
        <f>SUM(AQ9:AQ49)</f>
        <v>19565</v>
      </c>
      <c r="AR51" s="71">
        <f>AP51+AQ51</f>
        <v>44987</v>
      </c>
      <c r="AS51" s="72">
        <f t="shared" si="5"/>
        <v>32.98236489300748</v>
      </c>
      <c r="AT51" s="72">
        <f t="shared" si="6"/>
        <v>48.42816787965546</v>
      </c>
      <c r="AU51" s="72">
        <f t="shared" si="7"/>
        <v>40.35610718462736</v>
      </c>
      <c r="AV51" s="72">
        <f t="shared" si="8"/>
        <v>10.664894910323333</v>
      </c>
      <c r="AW51" s="72">
        <f t="shared" si="9"/>
        <v>11.973235167841466</v>
      </c>
      <c r="AX51" s="72">
        <f t="shared" si="10"/>
        <v>11.289489429431852</v>
      </c>
      <c r="AY51" s="72">
        <f t="shared" si="11"/>
        <v>41.770212927901355</v>
      </c>
      <c r="AZ51" s="72">
        <f t="shared" si="12"/>
        <v>27.631726648760182</v>
      </c>
      <c r="BA51" s="72">
        <f t="shared" si="13"/>
        <v>35.020576518184626</v>
      </c>
      <c r="BB51" s="72">
        <f>IF(AD51=0,"",AP51/AD51%)</f>
        <v>2.687445689748127</v>
      </c>
      <c r="BC51" s="72">
        <f>IF(AE51=0,"",AQ51/AE51%)</f>
        <v>2.264155747067244</v>
      </c>
      <c r="BD51" s="72">
        <f>IF(AF51=0,"",AR51/AF51%)</f>
        <v>2.485369374605334</v>
      </c>
      <c r="BE51" s="71">
        <f>SUM(BE9:BE49)</f>
        <v>348353</v>
      </c>
      <c r="BF51" s="71">
        <f>SUM(BF9:BF49)</f>
        <v>327269</v>
      </c>
      <c r="BG51" s="71">
        <f>BE51+BF51</f>
        <v>675622</v>
      </c>
      <c r="BH51" s="71">
        <f>SUM(BH9:BH49)</f>
        <v>157263</v>
      </c>
      <c r="BI51" s="71">
        <f>SUM(BI9:BI49)</f>
        <v>169967</v>
      </c>
      <c r="BJ51" s="71">
        <f t="shared" si="32"/>
        <v>327230</v>
      </c>
      <c r="BK51" s="71">
        <f>SUM(BK9:BK49)</f>
        <v>44873</v>
      </c>
      <c r="BL51" s="71">
        <f>SUM(BL9:BL49)</f>
        <v>41264</v>
      </c>
      <c r="BM51" s="71">
        <f t="shared" si="33"/>
        <v>86137</v>
      </c>
      <c r="BN51" s="71">
        <f>SUM(BN9:BN49)</f>
        <v>95144</v>
      </c>
      <c r="BO51" s="71">
        <f>SUM(BO9:BO49)</f>
        <v>70372</v>
      </c>
      <c r="BP51" s="71">
        <f>BN51+BO51</f>
        <v>165516</v>
      </c>
      <c r="BQ51" s="71">
        <f>SUM(BQ9:BQ49)</f>
        <v>5722</v>
      </c>
      <c r="BR51" s="71">
        <f>SUM(BR9:BR49)</f>
        <v>4318</v>
      </c>
      <c r="BS51" s="71">
        <f>BQ51+BR51</f>
        <v>10040</v>
      </c>
      <c r="BT51" s="72">
        <f t="shared" si="14"/>
        <v>45.14472388640258</v>
      </c>
      <c r="BU51" s="72">
        <f t="shared" si="15"/>
        <v>51.934952592515636</v>
      </c>
      <c r="BV51" s="72">
        <f t="shared" si="16"/>
        <v>48.43388758802999</v>
      </c>
      <c r="BW51" s="72">
        <f t="shared" si="17"/>
        <v>12.8814736775627</v>
      </c>
      <c r="BX51" s="72">
        <f t="shared" si="18"/>
        <v>12.608588042252704</v>
      </c>
      <c r="BY51" s="72">
        <f t="shared" si="19"/>
        <v>12.74928880350255</v>
      </c>
      <c r="BZ51" s="72">
        <f t="shared" si="20"/>
        <v>27.31252493878336</v>
      </c>
      <c r="CA51" s="72">
        <f t="shared" si="21"/>
        <v>21.502800448560663</v>
      </c>
      <c r="CB51" s="72">
        <f t="shared" si="22"/>
        <v>24.498314146075764</v>
      </c>
      <c r="CC51" s="72">
        <f t="shared" si="24"/>
        <v>1.6425866864932983</v>
      </c>
      <c r="CD51" s="72">
        <f t="shared" si="25"/>
        <v>1.3194039154334813</v>
      </c>
      <c r="CE51" s="72">
        <f t="shared" si="26"/>
        <v>1.4860380508627604</v>
      </c>
    </row>
    <row r="52" spans="1:110" ht="28.5" customHeight="1">
      <c r="A52" s="151"/>
      <c r="B52" s="152"/>
      <c r="C52" s="162" t="s">
        <v>116</v>
      </c>
      <c r="D52" s="150"/>
      <c r="E52" s="150"/>
      <c r="F52" s="150"/>
      <c r="G52" s="150"/>
      <c r="H52" s="150"/>
      <c r="I52" s="150"/>
      <c r="J52" s="64"/>
      <c r="K52" s="64"/>
      <c r="L52" s="64"/>
      <c r="M52" s="64"/>
      <c r="N52" s="64"/>
      <c r="O52" s="64"/>
      <c r="P52" s="64"/>
      <c r="Q52" s="64"/>
      <c r="R52" s="162" t="s">
        <v>116</v>
      </c>
      <c r="S52" s="150"/>
      <c r="T52" s="150"/>
      <c r="U52" s="150"/>
      <c r="V52" s="150"/>
      <c r="W52" s="150"/>
      <c r="X52" s="150"/>
      <c r="Y52" s="64"/>
      <c r="Z52" s="64"/>
      <c r="AA52" s="64"/>
      <c r="AB52" s="64"/>
      <c r="AC52" s="64"/>
      <c r="AD52" s="162" t="s">
        <v>116</v>
      </c>
      <c r="AE52" s="150"/>
      <c r="AF52" s="150"/>
      <c r="AG52" s="150"/>
      <c r="AH52" s="150"/>
      <c r="AI52" s="150"/>
      <c r="AJ52" s="150"/>
      <c r="AK52" s="64"/>
      <c r="AL52" s="64"/>
      <c r="AM52" s="64"/>
      <c r="AN52" s="64"/>
      <c r="AO52" s="64"/>
      <c r="AP52" s="64"/>
      <c r="AQ52" s="64"/>
      <c r="AR52" s="64"/>
      <c r="AS52" s="162" t="s">
        <v>116</v>
      </c>
      <c r="AT52" s="150"/>
      <c r="AU52" s="150"/>
      <c r="AV52" s="150"/>
      <c r="AW52" s="150"/>
      <c r="AX52" s="150"/>
      <c r="AY52" s="150"/>
      <c r="AZ52" s="64"/>
      <c r="BA52" s="64"/>
      <c r="BB52" s="64"/>
      <c r="BC52" s="64"/>
      <c r="BD52" s="64"/>
      <c r="BE52" s="162" t="s">
        <v>116</v>
      </c>
      <c r="BF52" s="150"/>
      <c r="BG52" s="150"/>
      <c r="BH52" s="150"/>
      <c r="BI52" s="150"/>
      <c r="BJ52" s="150"/>
      <c r="BK52" s="150"/>
      <c r="BL52" s="64"/>
      <c r="BM52" s="64"/>
      <c r="BN52" s="64"/>
      <c r="BO52" s="64"/>
      <c r="BP52" s="64"/>
      <c r="BQ52" s="64"/>
      <c r="BR52" s="64"/>
      <c r="BS52" s="64"/>
      <c r="BT52" s="162" t="s">
        <v>116</v>
      </c>
      <c r="BU52" s="150"/>
      <c r="BV52" s="150"/>
      <c r="BW52" s="150"/>
      <c r="BX52" s="150"/>
      <c r="BY52" s="150"/>
      <c r="BZ52" s="150"/>
      <c r="CA52" s="64"/>
      <c r="CB52" s="64"/>
      <c r="CC52" s="64"/>
      <c r="CD52" s="64"/>
      <c r="CE52" s="64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</row>
    <row r="53" spans="3:110" ht="16.5">
      <c r="C53" s="150" t="s">
        <v>93</v>
      </c>
      <c r="D53" s="150"/>
      <c r="E53" s="150"/>
      <c r="F53" s="150"/>
      <c r="G53" s="150"/>
      <c r="H53" s="150"/>
      <c r="I53" s="150"/>
      <c r="R53" s="150" t="s">
        <v>93</v>
      </c>
      <c r="S53" s="150"/>
      <c r="T53" s="150"/>
      <c r="U53" s="150"/>
      <c r="V53" s="150"/>
      <c r="W53" s="150"/>
      <c r="X53" s="150"/>
      <c r="AD53" s="150" t="s">
        <v>93</v>
      </c>
      <c r="AE53" s="150"/>
      <c r="AF53" s="150"/>
      <c r="AG53" s="150"/>
      <c r="AH53" s="150"/>
      <c r="AI53" s="150"/>
      <c r="AJ53" s="150"/>
      <c r="AS53" s="150" t="s">
        <v>93</v>
      </c>
      <c r="AT53" s="150"/>
      <c r="AU53" s="150"/>
      <c r="AV53" s="150"/>
      <c r="AW53" s="150"/>
      <c r="AX53" s="150"/>
      <c r="AY53" s="150"/>
      <c r="BE53" s="150" t="s">
        <v>93</v>
      </c>
      <c r="BF53" s="150"/>
      <c r="BG53" s="150"/>
      <c r="BH53" s="150"/>
      <c r="BI53" s="150"/>
      <c r="BJ53" s="150"/>
      <c r="BK53" s="150"/>
      <c r="BT53" s="150" t="s">
        <v>93</v>
      </c>
      <c r="BU53" s="150"/>
      <c r="BV53" s="150"/>
      <c r="BW53" s="150"/>
      <c r="BX53" s="150"/>
      <c r="BY53" s="150"/>
      <c r="BZ53" s="150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</row>
    <row r="54" spans="3:110" ht="16.5">
      <c r="C54" s="148" t="s">
        <v>97</v>
      </c>
      <c r="D54" s="149"/>
      <c r="E54" s="149"/>
      <c r="F54" s="149"/>
      <c r="G54" s="149"/>
      <c r="H54" s="149"/>
      <c r="I54" s="149"/>
      <c r="R54" s="148" t="s">
        <v>97</v>
      </c>
      <c r="S54" s="149"/>
      <c r="T54" s="149"/>
      <c r="U54" s="149"/>
      <c r="V54" s="149"/>
      <c r="W54" s="149"/>
      <c r="X54" s="149"/>
      <c r="AD54" s="148" t="s">
        <v>97</v>
      </c>
      <c r="AE54" s="149"/>
      <c r="AF54" s="149"/>
      <c r="AG54" s="149"/>
      <c r="AH54" s="149"/>
      <c r="AI54" s="149"/>
      <c r="AJ54" s="149"/>
      <c r="AS54" s="148" t="s">
        <v>97</v>
      </c>
      <c r="AT54" s="149"/>
      <c r="AU54" s="149"/>
      <c r="AV54" s="149"/>
      <c r="AW54" s="149"/>
      <c r="AX54" s="149"/>
      <c r="AY54" s="149"/>
      <c r="BE54" s="148" t="s">
        <v>97</v>
      </c>
      <c r="BF54" s="149"/>
      <c r="BG54" s="149"/>
      <c r="BH54" s="149"/>
      <c r="BI54" s="149"/>
      <c r="BJ54" s="149"/>
      <c r="BK54" s="149"/>
      <c r="BT54" s="148" t="s">
        <v>97</v>
      </c>
      <c r="BU54" s="149"/>
      <c r="BV54" s="149"/>
      <c r="BW54" s="149"/>
      <c r="BX54" s="149"/>
      <c r="BY54" s="149"/>
      <c r="BZ54" s="149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</row>
    <row r="55" spans="3:110" ht="16.5">
      <c r="C55" s="150" t="s">
        <v>94</v>
      </c>
      <c r="D55" s="150"/>
      <c r="E55" s="150"/>
      <c r="F55" s="150"/>
      <c r="G55" s="150"/>
      <c r="H55" s="150"/>
      <c r="I55" s="150"/>
      <c r="R55" s="150" t="s">
        <v>94</v>
      </c>
      <c r="S55" s="150"/>
      <c r="T55" s="150"/>
      <c r="U55" s="150"/>
      <c r="V55" s="150"/>
      <c r="W55" s="150"/>
      <c r="X55" s="150"/>
      <c r="AD55" s="150" t="s">
        <v>94</v>
      </c>
      <c r="AE55" s="150"/>
      <c r="AF55" s="150"/>
      <c r="AG55" s="150"/>
      <c r="AH55" s="150"/>
      <c r="AI55" s="150"/>
      <c r="AJ55" s="150"/>
      <c r="AS55" s="150" t="s">
        <v>94</v>
      </c>
      <c r="AT55" s="150"/>
      <c r="AU55" s="150"/>
      <c r="AV55" s="150"/>
      <c r="AW55" s="150"/>
      <c r="AX55" s="150"/>
      <c r="AY55" s="150"/>
      <c r="BE55" s="150" t="s">
        <v>94</v>
      </c>
      <c r="BF55" s="150"/>
      <c r="BG55" s="150"/>
      <c r="BH55" s="150"/>
      <c r="BI55" s="150"/>
      <c r="BJ55" s="150"/>
      <c r="BK55" s="150"/>
      <c r="BT55" s="150" t="s">
        <v>94</v>
      </c>
      <c r="BU55" s="150"/>
      <c r="BV55" s="150"/>
      <c r="BW55" s="150"/>
      <c r="BX55" s="150"/>
      <c r="BY55" s="150"/>
      <c r="BZ55" s="150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</row>
    <row r="56" spans="1:110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</row>
    <row r="57" spans="1:110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</row>
    <row r="58" spans="1:110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</row>
    <row r="59" spans="1:110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</row>
    <row r="60" spans="1:110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</row>
    <row r="61" spans="1:11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</row>
    <row r="62" spans="1:11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</row>
    <row r="63" spans="1:11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</row>
    <row r="64" spans="1:11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</row>
    <row r="65" spans="1:11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</row>
    <row r="66" spans="1:11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</row>
    <row r="67" spans="1:11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</row>
    <row r="68" spans="1:11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</row>
    <row r="69" spans="1:110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</row>
    <row r="70" spans="1:110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</row>
    <row r="71" spans="1:110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</row>
    <row r="72" spans="1:110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</row>
    <row r="73" spans="1:110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</row>
    <row r="74" spans="1:110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</row>
    <row r="75" spans="1:11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</row>
    <row r="76" spans="1:110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</row>
    <row r="77" spans="1:110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</row>
    <row r="78" spans="1:110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</row>
    <row r="79" spans="1:11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</row>
    <row r="80" spans="1:110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</row>
    <row r="81" spans="1:11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</row>
    <row r="82" spans="1:11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</row>
    <row r="83" spans="1:110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</row>
    <row r="84" spans="1:11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</row>
    <row r="85" spans="1:11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</row>
    <row r="86" spans="1:11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</row>
    <row r="87" spans="1:11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</row>
    <row r="88" spans="1:110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</row>
    <row r="89" spans="1:110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</row>
    <row r="90" spans="1:11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</row>
    <row r="91" spans="1:11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</row>
    <row r="92" spans="1:11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</row>
    <row r="93" spans="1:11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</row>
    <row r="94" spans="1:11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</row>
    <row r="95" spans="1:11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</row>
    <row r="96" spans="1:11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</row>
    <row r="97" spans="1:110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</row>
    <row r="98" spans="1:11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</row>
    <row r="99" spans="1:11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</row>
    <row r="100" spans="1:11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</row>
    <row r="101" spans="1:11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</row>
  </sheetData>
  <sheetProtection/>
  <mergeCells count="86">
    <mergeCell ref="CE5:CE6"/>
    <mergeCell ref="CC3:CE4"/>
    <mergeCell ref="BT5:BT6"/>
    <mergeCell ref="BT8:CE8"/>
    <mergeCell ref="BE11:BS11"/>
    <mergeCell ref="BT11:CE11"/>
    <mergeCell ref="BZ5:BZ6"/>
    <mergeCell ref="CA5:CA6"/>
    <mergeCell ref="CB5:CB6"/>
    <mergeCell ref="CC5:CC6"/>
    <mergeCell ref="CD5:CD6"/>
    <mergeCell ref="BW3:BY4"/>
    <mergeCell ref="BZ3:CB4"/>
    <mergeCell ref="BU5:BU6"/>
    <mergeCell ref="BV5:BV6"/>
    <mergeCell ref="BW5:BW6"/>
    <mergeCell ref="BX5:BX6"/>
    <mergeCell ref="BE4:BG5"/>
    <mergeCell ref="BH4:BS4"/>
    <mergeCell ref="BH5:BJ5"/>
    <mergeCell ref="BK5:BM5"/>
    <mergeCell ref="BN5:BP5"/>
    <mergeCell ref="BQ5:BS5"/>
    <mergeCell ref="BE3:BS3"/>
    <mergeCell ref="BY5:BY6"/>
    <mergeCell ref="BT3:BV4"/>
    <mergeCell ref="AD8:AR8"/>
    <mergeCell ref="AS8:BD8"/>
    <mergeCell ref="AD11:AR11"/>
    <mergeCell ref="AS11:BD11"/>
    <mergeCell ref="AP5:AR5"/>
    <mergeCell ref="AS5:AS6"/>
    <mergeCell ref="AT5:AT6"/>
    <mergeCell ref="AU5:AU6"/>
    <mergeCell ref="AV5:AV6"/>
    <mergeCell ref="BE8:BS8"/>
    <mergeCell ref="AX5:AX6"/>
    <mergeCell ref="AY5:AY6"/>
    <mergeCell ref="AZ5:AZ6"/>
    <mergeCell ref="BA5:BA6"/>
    <mergeCell ref="BB5:BB6"/>
    <mergeCell ref="BC5:BC6"/>
    <mergeCell ref="BD5:BD6"/>
    <mergeCell ref="AY3:BA4"/>
    <mergeCell ref="BB3:BD4"/>
    <mergeCell ref="AW5:AW6"/>
    <mergeCell ref="AD3:AR3"/>
    <mergeCell ref="AS3:AU4"/>
    <mergeCell ref="AV3:AX4"/>
    <mergeCell ref="AD4:AF5"/>
    <mergeCell ref="AG4:AR4"/>
    <mergeCell ref="AG5:AI5"/>
    <mergeCell ref="AJ5:AL5"/>
    <mergeCell ref="Y5:Y6"/>
    <mergeCell ref="Z5:Z6"/>
    <mergeCell ref="AA5:AA6"/>
    <mergeCell ref="AB5:AB6"/>
    <mergeCell ref="AC5:AC6"/>
    <mergeCell ref="V5:V6"/>
    <mergeCell ref="AM5:AO5"/>
    <mergeCell ref="A51:B51"/>
    <mergeCell ref="C3:Q3"/>
    <mergeCell ref="C8:Q8"/>
    <mergeCell ref="F4:Q4"/>
    <mergeCell ref="F5:H5"/>
    <mergeCell ref="R8:AC8"/>
    <mergeCell ref="C11:Q11"/>
    <mergeCell ref="R11:AC11"/>
    <mergeCell ref="X5:X6"/>
    <mergeCell ref="A3:A6"/>
    <mergeCell ref="B3:B6"/>
    <mergeCell ref="A8:B8"/>
    <mergeCell ref="R5:R6"/>
    <mergeCell ref="W5:W6"/>
    <mergeCell ref="R3:T4"/>
    <mergeCell ref="U3:W4"/>
    <mergeCell ref="A11:B11"/>
    <mergeCell ref="AA3:AC4"/>
    <mergeCell ref="C4:E5"/>
    <mergeCell ref="X3:Z4"/>
    <mergeCell ref="S5:S6"/>
    <mergeCell ref="T5:T6"/>
    <mergeCell ref="U5:U6"/>
    <mergeCell ref="I5:K5"/>
    <mergeCell ref="L5:N5"/>
    <mergeCell ref="O5:Q5"/>
  </mergeCells>
  <printOptions horizontalCentered="1"/>
  <pageMargins left="0.1968503937007874" right="0" top="0.5511811023622047" bottom="0" header="1.3385826771653544" footer="0.2362204724409449"/>
  <pageSetup firstPageNumber="62" useFirstPageNumber="1" horizontalDpi="600" verticalDpi="600" orientation="landscape" paperSize="9" scale="70" r:id="rId1"/>
  <headerFooter>
    <oddFooter>&amp;CXII-2016&amp;R&amp;P</oddFooter>
  </headerFooter>
  <rowBreaks count="1" manualBreakCount="1">
    <brk id="30" max="82" man="1"/>
  </rowBreaks>
  <colBreaks count="5" manualBreakCount="5">
    <brk id="17" max="54" man="1"/>
    <brk id="29" max="54" man="1"/>
    <brk id="44" max="54" man="1"/>
    <brk id="56" max="54" man="1"/>
    <brk id="71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4" width="11.7109375" style="0" customWidth="1"/>
    <col min="15" max="20" width="21.7109375" style="0" customWidth="1"/>
  </cols>
  <sheetData>
    <row r="1" spans="1:20" ht="18">
      <c r="A1" s="1"/>
      <c r="B1" s="1"/>
      <c r="C1" s="59" t="s">
        <v>100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 t="str">
        <f>C1</f>
        <v>Statement 1 - HIGHER SECONDARY EXAMINATION RESULTS DURING 2011 - 2016 (CENTRAL/STATE BOARDS )</v>
      </c>
      <c r="P1" s="59"/>
      <c r="Q1" s="59"/>
      <c r="R1" s="59"/>
      <c r="S1" s="59"/>
      <c r="T1" s="59"/>
    </row>
    <row r="2" spans="1:20" ht="14.25" customHeight="1">
      <c r="A2" s="209" t="s">
        <v>26</v>
      </c>
      <c r="B2" s="210" t="s">
        <v>98</v>
      </c>
      <c r="C2" s="209" t="s">
        <v>1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 t="s">
        <v>1</v>
      </c>
      <c r="P2" s="209"/>
      <c r="Q2" s="209"/>
      <c r="R2" s="209"/>
      <c r="S2" s="209"/>
      <c r="T2" s="209"/>
    </row>
    <row r="3" spans="1:20" ht="14.25">
      <c r="A3" s="209"/>
      <c r="B3" s="211"/>
      <c r="C3" s="209" t="s">
        <v>23</v>
      </c>
      <c r="D3" s="209"/>
      <c r="E3" s="209"/>
      <c r="F3" s="209"/>
      <c r="G3" s="209"/>
      <c r="H3" s="209"/>
      <c r="I3" s="209" t="s">
        <v>24</v>
      </c>
      <c r="J3" s="209"/>
      <c r="K3" s="209"/>
      <c r="L3" s="209"/>
      <c r="M3" s="209"/>
      <c r="N3" s="209"/>
      <c r="O3" s="209" t="s">
        <v>25</v>
      </c>
      <c r="P3" s="209"/>
      <c r="Q3" s="209"/>
      <c r="R3" s="209"/>
      <c r="S3" s="209"/>
      <c r="T3" s="209"/>
    </row>
    <row r="4" spans="1:20" ht="15.75" customHeight="1">
      <c r="A4" s="209"/>
      <c r="B4" s="211"/>
      <c r="C4" s="209" t="s">
        <v>2</v>
      </c>
      <c r="D4" s="209"/>
      <c r="E4" s="209"/>
      <c r="F4" s="209" t="s">
        <v>3</v>
      </c>
      <c r="G4" s="209"/>
      <c r="H4" s="209"/>
      <c r="I4" s="209" t="s">
        <v>2</v>
      </c>
      <c r="J4" s="209"/>
      <c r="K4" s="209"/>
      <c r="L4" s="209" t="s">
        <v>3</v>
      </c>
      <c r="M4" s="209"/>
      <c r="N4" s="209"/>
      <c r="O4" s="209" t="s">
        <v>2</v>
      </c>
      <c r="P4" s="209"/>
      <c r="Q4" s="209"/>
      <c r="R4" s="209" t="s">
        <v>3</v>
      </c>
      <c r="S4" s="209"/>
      <c r="T4" s="209"/>
    </row>
    <row r="5" spans="1:20" ht="15.75" customHeight="1">
      <c r="A5" s="209"/>
      <c r="B5" s="211"/>
      <c r="C5" s="154" t="s">
        <v>5</v>
      </c>
      <c r="D5" s="154" t="s">
        <v>6</v>
      </c>
      <c r="E5" s="154" t="s">
        <v>7</v>
      </c>
      <c r="F5" s="154" t="s">
        <v>5</v>
      </c>
      <c r="G5" s="154" t="s">
        <v>6</v>
      </c>
      <c r="H5" s="154" t="s">
        <v>7</v>
      </c>
      <c r="I5" s="154" t="s">
        <v>5</v>
      </c>
      <c r="J5" s="154" t="s">
        <v>6</v>
      </c>
      <c r="K5" s="154" t="s">
        <v>7</v>
      </c>
      <c r="L5" s="154" t="s">
        <v>5</v>
      </c>
      <c r="M5" s="154" t="s">
        <v>6</v>
      </c>
      <c r="N5" s="154" t="s">
        <v>7</v>
      </c>
      <c r="O5" s="154" t="s">
        <v>5</v>
      </c>
      <c r="P5" s="154" t="s">
        <v>6</v>
      </c>
      <c r="Q5" s="154" t="s">
        <v>7</v>
      </c>
      <c r="R5" s="154" t="s">
        <v>5</v>
      </c>
      <c r="S5" s="154" t="s">
        <v>6</v>
      </c>
      <c r="T5" s="154" t="s">
        <v>7</v>
      </c>
    </row>
    <row r="6" spans="1:20" ht="15.75" customHeight="1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</row>
    <row r="7" spans="1:20" ht="15.75">
      <c r="A7" s="155">
        <v>2010</v>
      </c>
      <c r="B7" s="159">
        <v>33</v>
      </c>
      <c r="C7" s="60">
        <v>5865200</v>
      </c>
      <c r="D7" s="60">
        <v>4546093</v>
      </c>
      <c r="E7" s="60">
        <v>10411293</v>
      </c>
      <c r="F7" s="60">
        <v>4293235</v>
      </c>
      <c r="G7" s="60">
        <v>3707328</v>
      </c>
      <c r="H7" s="60">
        <v>8000563</v>
      </c>
      <c r="I7" s="60">
        <v>835645</v>
      </c>
      <c r="J7" s="60">
        <v>611160</v>
      </c>
      <c r="K7" s="60">
        <v>1446805</v>
      </c>
      <c r="L7" s="60">
        <v>561056</v>
      </c>
      <c r="M7" s="60">
        <v>463444</v>
      </c>
      <c r="N7" s="60">
        <v>1024500</v>
      </c>
      <c r="O7" s="60">
        <v>345568</v>
      </c>
      <c r="P7" s="60">
        <v>242192</v>
      </c>
      <c r="Q7" s="60">
        <v>587760</v>
      </c>
      <c r="R7" s="60">
        <v>226001</v>
      </c>
      <c r="S7" s="60">
        <v>168919</v>
      </c>
      <c r="T7" s="60">
        <v>394920</v>
      </c>
    </row>
    <row r="8" spans="1:20" ht="15.75">
      <c r="A8" s="155">
        <v>2011</v>
      </c>
      <c r="B8" s="159">
        <v>33</v>
      </c>
      <c r="C8" s="60">
        <v>6288517</v>
      </c>
      <c r="D8" s="60">
        <v>5004828</v>
      </c>
      <c r="E8" s="60">
        <v>11301705</v>
      </c>
      <c r="F8" s="60">
        <v>4442145</v>
      </c>
      <c r="G8" s="60">
        <v>4053554</v>
      </c>
      <c r="H8" s="60">
        <v>8502660</v>
      </c>
      <c r="I8" s="60">
        <v>890474</v>
      </c>
      <c r="J8" s="60">
        <v>668381</v>
      </c>
      <c r="K8" s="60">
        <v>1558855</v>
      </c>
      <c r="L8" s="60">
        <v>565582</v>
      </c>
      <c r="M8" s="60">
        <v>512523</v>
      </c>
      <c r="N8" s="60">
        <v>1078105</v>
      </c>
      <c r="O8" s="60">
        <v>354765</v>
      </c>
      <c r="P8" s="60">
        <v>258641</v>
      </c>
      <c r="Q8" s="60">
        <v>613406</v>
      </c>
      <c r="R8" s="60">
        <v>227118</v>
      </c>
      <c r="S8" s="60">
        <v>177358</v>
      </c>
      <c r="T8" s="60">
        <v>404476</v>
      </c>
    </row>
    <row r="9" spans="1:20" ht="15.75">
      <c r="A9" s="155">
        <v>2012</v>
      </c>
      <c r="B9" s="159">
        <v>33</v>
      </c>
      <c r="C9" s="60">
        <v>6881305</v>
      </c>
      <c r="D9" s="60">
        <v>5398678</v>
      </c>
      <c r="E9" s="60">
        <v>12281267</v>
      </c>
      <c r="F9" s="60">
        <v>5199631</v>
      </c>
      <c r="G9" s="60">
        <v>4536532</v>
      </c>
      <c r="H9" s="60">
        <v>9737015</v>
      </c>
      <c r="I9" s="60">
        <v>991664</v>
      </c>
      <c r="J9" s="60">
        <v>760206</v>
      </c>
      <c r="K9" s="60">
        <v>1751870</v>
      </c>
      <c r="L9" s="60">
        <v>702447</v>
      </c>
      <c r="M9" s="60">
        <v>617825</v>
      </c>
      <c r="N9" s="60">
        <v>1320272</v>
      </c>
      <c r="O9" s="60">
        <v>385948</v>
      </c>
      <c r="P9" s="60">
        <v>289140</v>
      </c>
      <c r="Q9" s="60">
        <v>675088</v>
      </c>
      <c r="R9" s="60">
        <v>256958</v>
      </c>
      <c r="S9" s="60">
        <v>208248</v>
      </c>
      <c r="T9" s="60">
        <v>465206</v>
      </c>
    </row>
    <row r="10" spans="1:20" ht="15.75">
      <c r="A10" s="155">
        <v>2013</v>
      </c>
      <c r="B10" s="159">
        <v>34</v>
      </c>
      <c r="C10" s="60">
        <v>7526390</v>
      </c>
      <c r="D10" s="60">
        <v>5981636</v>
      </c>
      <c r="E10" s="60">
        <v>13512266</v>
      </c>
      <c r="F10" s="60">
        <v>5718974</v>
      </c>
      <c r="G10" s="60">
        <v>4972230</v>
      </c>
      <c r="H10" s="60">
        <v>10694106</v>
      </c>
      <c r="I10" s="60">
        <v>1182026</v>
      </c>
      <c r="J10" s="60">
        <v>942005</v>
      </c>
      <c r="K10" s="60">
        <v>2124031</v>
      </c>
      <c r="L10" s="60">
        <v>855509</v>
      </c>
      <c r="M10" s="60">
        <v>738276</v>
      </c>
      <c r="N10" s="60">
        <v>1593785</v>
      </c>
      <c r="O10" s="60">
        <v>469936</v>
      </c>
      <c r="P10" s="60">
        <v>371973</v>
      </c>
      <c r="Q10" s="60">
        <v>841909</v>
      </c>
      <c r="R10" s="60">
        <v>312543</v>
      </c>
      <c r="S10" s="60">
        <v>266194</v>
      </c>
      <c r="T10" s="60">
        <v>578737</v>
      </c>
    </row>
    <row r="11" spans="1:20" ht="15.75">
      <c r="A11" s="155">
        <v>2014</v>
      </c>
      <c r="B11" s="159">
        <v>34</v>
      </c>
      <c r="C11" s="60">
        <v>7932354</v>
      </c>
      <c r="D11" s="60">
        <v>6444520</v>
      </c>
      <c r="E11" s="60">
        <v>14376874</v>
      </c>
      <c r="F11" s="60">
        <v>6112192</v>
      </c>
      <c r="G11" s="60">
        <v>5460867</v>
      </c>
      <c r="H11" s="60">
        <v>11573059</v>
      </c>
      <c r="I11" s="60">
        <v>1282949</v>
      </c>
      <c r="J11" s="60">
        <v>1054549</v>
      </c>
      <c r="K11" s="60">
        <v>2339062</v>
      </c>
      <c r="L11" s="60">
        <v>927913</v>
      </c>
      <c r="M11" s="60">
        <v>849262</v>
      </c>
      <c r="N11" s="60">
        <v>1777948</v>
      </c>
      <c r="O11" s="60">
        <v>482540</v>
      </c>
      <c r="P11" s="60">
        <v>422862</v>
      </c>
      <c r="Q11" s="60">
        <v>906629</v>
      </c>
      <c r="R11" s="60">
        <v>328723</v>
      </c>
      <c r="S11" s="60">
        <v>314744</v>
      </c>
      <c r="T11" s="60">
        <v>644023</v>
      </c>
    </row>
    <row r="12" spans="1:20" ht="15.75">
      <c r="A12" s="155">
        <v>2015</v>
      </c>
      <c r="B12" s="159">
        <v>34</v>
      </c>
      <c r="C12" s="60">
        <v>7951803</v>
      </c>
      <c r="D12" s="60">
        <v>6588245</v>
      </c>
      <c r="E12" s="60">
        <v>14540048</v>
      </c>
      <c r="F12" s="60">
        <v>6084077</v>
      </c>
      <c r="G12" s="60">
        <v>5564741</v>
      </c>
      <c r="H12" s="60">
        <v>11648818</v>
      </c>
      <c r="I12" s="60">
        <v>1277994</v>
      </c>
      <c r="J12" s="60">
        <v>1070562</v>
      </c>
      <c r="K12" s="60">
        <v>2348556</v>
      </c>
      <c r="L12" s="60">
        <v>932537</v>
      </c>
      <c r="M12" s="60">
        <v>855168</v>
      </c>
      <c r="N12" s="60">
        <v>1787705</v>
      </c>
      <c r="O12" s="60">
        <v>527536</v>
      </c>
      <c r="P12" s="60">
        <v>496119</v>
      </c>
      <c r="Q12" s="60">
        <v>1023655</v>
      </c>
      <c r="R12" s="60">
        <v>345669</v>
      </c>
      <c r="S12" s="60">
        <v>356715</v>
      </c>
      <c r="T12" s="60">
        <v>702384</v>
      </c>
    </row>
    <row r="13" spans="1:20" ht="15.75">
      <c r="A13" s="155">
        <v>2016</v>
      </c>
      <c r="B13" s="159">
        <v>41</v>
      </c>
      <c r="C13" s="60">
        <f>+Board!AG51</f>
        <v>8208808</v>
      </c>
      <c r="D13" s="60">
        <f>+Board!AH51</f>
        <v>6750127</v>
      </c>
      <c r="E13" s="60">
        <f>+Board!AI51</f>
        <v>14958935</v>
      </c>
      <c r="F13" s="60">
        <f>+Board!AP51</f>
        <v>6096443</v>
      </c>
      <c r="G13" s="60">
        <f>+Board!AQ51</f>
        <v>5550770</v>
      </c>
      <c r="H13" s="60">
        <f>+Board!AR51</f>
        <v>11647213</v>
      </c>
      <c r="I13" s="60">
        <f>+Board!BZ51</f>
        <v>1339325</v>
      </c>
      <c r="J13" s="60">
        <f>+Board!CA51</f>
        <v>1110733</v>
      </c>
      <c r="K13" s="60">
        <f>+Board!CB51</f>
        <v>2450058</v>
      </c>
      <c r="L13" s="60">
        <f>+Board!CI51</f>
        <v>945954</v>
      </c>
      <c r="M13" s="60">
        <f>+Board!CJ51</f>
        <v>864119</v>
      </c>
      <c r="N13" s="60">
        <f>+Board!CK51</f>
        <v>1810073</v>
      </c>
      <c r="O13" s="60">
        <f>+Board!DS51</f>
        <v>531727</v>
      </c>
      <c r="P13" s="60">
        <f>+Board!DT51</f>
        <v>458484</v>
      </c>
      <c r="Q13" s="60">
        <f>+Board!DU51</f>
        <v>990211</v>
      </c>
      <c r="R13" s="60">
        <f>+Board!EB51</f>
        <v>348344</v>
      </c>
      <c r="S13" s="60">
        <f>+Board!EC51</f>
        <v>327269</v>
      </c>
      <c r="T13" s="60">
        <f>+Board!ED51</f>
        <v>675613</v>
      </c>
    </row>
    <row r="14" spans="1:20" ht="15.75">
      <c r="A14" s="156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</row>
    <row r="15" spans="1:20" ht="15.75">
      <c r="A15" s="158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</row>
    <row r="16" spans="1:20" ht="18">
      <c r="A16" s="1"/>
      <c r="C16" s="59" t="s">
        <v>104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 t="str">
        <f>C16</f>
        <v>Statement 2 - HIGHER SECONDARY EXAMINATION RESULTS DURING 2011 - 2016 (OPEN BOARDS)</v>
      </c>
      <c r="P16" s="59"/>
      <c r="Q16" s="59"/>
      <c r="R16" s="59"/>
      <c r="S16" s="59"/>
      <c r="T16" s="59"/>
    </row>
    <row r="17" spans="1:20" ht="14.25" customHeight="1">
      <c r="A17" s="209" t="s">
        <v>26</v>
      </c>
      <c r="B17" s="210" t="s">
        <v>98</v>
      </c>
      <c r="C17" s="209" t="s">
        <v>1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 t="s">
        <v>1</v>
      </c>
      <c r="P17" s="209"/>
      <c r="Q17" s="209"/>
      <c r="R17" s="209"/>
      <c r="S17" s="209"/>
      <c r="T17" s="209"/>
    </row>
    <row r="18" spans="1:20" ht="14.25">
      <c r="A18" s="209"/>
      <c r="B18" s="211"/>
      <c r="C18" s="209" t="s">
        <v>23</v>
      </c>
      <c r="D18" s="209"/>
      <c r="E18" s="209"/>
      <c r="F18" s="209"/>
      <c r="G18" s="209"/>
      <c r="H18" s="209"/>
      <c r="I18" s="209" t="s">
        <v>24</v>
      </c>
      <c r="J18" s="209"/>
      <c r="K18" s="209"/>
      <c r="L18" s="209"/>
      <c r="M18" s="209"/>
      <c r="N18" s="209"/>
      <c r="O18" s="209" t="s">
        <v>25</v>
      </c>
      <c r="P18" s="209"/>
      <c r="Q18" s="209"/>
      <c r="R18" s="209"/>
      <c r="S18" s="209"/>
      <c r="T18" s="209"/>
    </row>
    <row r="19" spans="1:20" ht="15.75" customHeight="1">
      <c r="A19" s="209"/>
      <c r="B19" s="211"/>
      <c r="C19" s="209" t="s">
        <v>2</v>
      </c>
      <c r="D19" s="209"/>
      <c r="E19" s="209"/>
      <c r="F19" s="209" t="s">
        <v>3</v>
      </c>
      <c r="G19" s="209"/>
      <c r="H19" s="209"/>
      <c r="I19" s="209" t="s">
        <v>2</v>
      </c>
      <c r="J19" s="209"/>
      <c r="K19" s="209"/>
      <c r="L19" s="209" t="s">
        <v>3</v>
      </c>
      <c r="M19" s="209"/>
      <c r="N19" s="209"/>
      <c r="O19" s="209" t="s">
        <v>2</v>
      </c>
      <c r="P19" s="209"/>
      <c r="Q19" s="209"/>
      <c r="R19" s="209" t="s">
        <v>3</v>
      </c>
      <c r="S19" s="209"/>
      <c r="T19" s="209"/>
    </row>
    <row r="20" spans="1:20" ht="15.75" customHeight="1">
      <c r="A20" s="209"/>
      <c r="B20" s="212"/>
      <c r="C20" s="154" t="s">
        <v>5</v>
      </c>
      <c r="D20" s="154" t="s">
        <v>6</v>
      </c>
      <c r="E20" s="154" t="s">
        <v>7</v>
      </c>
      <c r="F20" s="154" t="s">
        <v>5</v>
      </c>
      <c r="G20" s="154" t="s">
        <v>6</v>
      </c>
      <c r="H20" s="154" t="s">
        <v>7</v>
      </c>
      <c r="I20" s="154" t="s">
        <v>5</v>
      </c>
      <c r="J20" s="154" t="s">
        <v>6</v>
      </c>
      <c r="K20" s="154" t="s">
        <v>7</v>
      </c>
      <c r="L20" s="154" t="s">
        <v>5</v>
      </c>
      <c r="M20" s="154" t="s">
        <v>6</v>
      </c>
      <c r="N20" s="154" t="s">
        <v>7</v>
      </c>
      <c r="O20" s="154" t="s">
        <v>5</v>
      </c>
      <c r="P20" s="154" t="s">
        <v>6</v>
      </c>
      <c r="Q20" s="154" t="s">
        <v>7</v>
      </c>
      <c r="R20" s="154" t="s">
        <v>5</v>
      </c>
      <c r="S20" s="154" t="s">
        <v>6</v>
      </c>
      <c r="T20" s="154" t="s">
        <v>7</v>
      </c>
    </row>
    <row r="21" spans="1:20" ht="12.75">
      <c r="A21" s="61">
        <v>1</v>
      </c>
      <c r="B21" s="61">
        <v>2</v>
      </c>
      <c r="C21" s="61">
        <v>3</v>
      </c>
      <c r="D21" s="61">
        <v>4</v>
      </c>
      <c r="E21" s="61">
        <v>5</v>
      </c>
      <c r="F21" s="61">
        <v>6</v>
      </c>
      <c r="G21" s="61">
        <v>7</v>
      </c>
      <c r="H21" s="61">
        <v>8</v>
      </c>
      <c r="I21" s="61">
        <v>9</v>
      </c>
      <c r="J21" s="61">
        <v>10</v>
      </c>
      <c r="K21" s="61">
        <v>11</v>
      </c>
      <c r="L21" s="61">
        <v>12</v>
      </c>
      <c r="M21" s="61">
        <v>13</v>
      </c>
      <c r="N21" s="61">
        <v>14</v>
      </c>
      <c r="O21" s="61">
        <v>15</v>
      </c>
      <c r="P21" s="61">
        <v>16</v>
      </c>
      <c r="Q21" s="61">
        <v>17</v>
      </c>
      <c r="R21" s="61">
        <v>18</v>
      </c>
      <c r="S21" s="61">
        <v>19</v>
      </c>
      <c r="T21" s="61">
        <v>20</v>
      </c>
    </row>
    <row r="22" spans="1:20" ht="15.75">
      <c r="A22" s="155">
        <v>2010</v>
      </c>
      <c r="B22" s="159">
        <v>6</v>
      </c>
      <c r="C22" s="60">
        <v>195578</v>
      </c>
      <c r="D22" s="60">
        <v>109404</v>
      </c>
      <c r="E22" s="60">
        <v>304982</v>
      </c>
      <c r="F22" s="60">
        <v>111146</v>
      </c>
      <c r="G22" s="60">
        <v>53948</v>
      </c>
      <c r="H22" s="60">
        <v>165094</v>
      </c>
      <c r="I22" s="60">
        <v>25065</v>
      </c>
      <c r="J22" s="60">
        <v>11848</v>
      </c>
      <c r="K22" s="60">
        <v>36913</v>
      </c>
      <c r="L22" s="60">
        <v>12837</v>
      </c>
      <c r="M22" s="60">
        <v>5820</v>
      </c>
      <c r="N22" s="60">
        <v>18657</v>
      </c>
      <c r="O22" s="60">
        <v>12316</v>
      </c>
      <c r="P22" s="60">
        <v>11452</v>
      </c>
      <c r="Q22" s="60">
        <v>23768</v>
      </c>
      <c r="R22" s="60">
        <v>5889</v>
      </c>
      <c r="S22" s="60">
        <v>5841</v>
      </c>
      <c r="T22" s="60">
        <v>11730</v>
      </c>
    </row>
    <row r="23" spans="1:20" ht="15.75">
      <c r="A23" s="155">
        <v>2011</v>
      </c>
      <c r="B23" s="159">
        <v>6</v>
      </c>
      <c r="C23" s="60">
        <v>194944</v>
      </c>
      <c r="D23" s="60">
        <v>117616</v>
      </c>
      <c r="E23" s="60">
        <v>312560</v>
      </c>
      <c r="F23" s="60">
        <v>115218</v>
      </c>
      <c r="G23" s="60">
        <v>65943</v>
      </c>
      <c r="H23" s="60">
        <v>181161</v>
      </c>
      <c r="I23" s="60">
        <v>29830</v>
      </c>
      <c r="J23" s="60">
        <v>14496</v>
      </c>
      <c r="K23" s="60">
        <v>44326</v>
      </c>
      <c r="L23" s="60">
        <v>13207</v>
      </c>
      <c r="M23" s="60">
        <v>7415</v>
      </c>
      <c r="N23" s="60">
        <v>20622</v>
      </c>
      <c r="O23" s="60">
        <v>14634</v>
      </c>
      <c r="P23" s="60">
        <v>13415</v>
      </c>
      <c r="Q23" s="60">
        <v>28049</v>
      </c>
      <c r="R23" s="60">
        <v>9367</v>
      </c>
      <c r="S23" s="60">
        <v>8816</v>
      </c>
      <c r="T23" s="60">
        <v>18183</v>
      </c>
    </row>
    <row r="24" spans="1:20" ht="15.75">
      <c r="A24" s="155">
        <v>2012</v>
      </c>
      <c r="B24" s="159">
        <v>7</v>
      </c>
      <c r="C24" s="60">
        <v>275590</v>
      </c>
      <c r="D24" s="60">
        <v>157416</v>
      </c>
      <c r="E24" s="60">
        <v>433006</v>
      </c>
      <c r="F24" s="60">
        <v>190382</v>
      </c>
      <c r="G24" s="60">
        <v>108332</v>
      </c>
      <c r="H24" s="60">
        <v>298714</v>
      </c>
      <c r="I24" s="60">
        <v>42930</v>
      </c>
      <c r="J24" s="60">
        <v>22027</v>
      </c>
      <c r="K24" s="60">
        <v>64957</v>
      </c>
      <c r="L24" s="60">
        <v>27211</v>
      </c>
      <c r="M24" s="60">
        <v>13914</v>
      </c>
      <c r="N24" s="60">
        <v>41125</v>
      </c>
      <c r="O24" s="60">
        <v>23389</v>
      </c>
      <c r="P24" s="60">
        <v>19138</v>
      </c>
      <c r="Q24" s="60">
        <v>42527</v>
      </c>
      <c r="R24" s="60">
        <v>13457</v>
      </c>
      <c r="S24" s="60">
        <v>11941</v>
      </c>
      <c r="T24" s="60">
        <v>25398</v>
      </c>
    </row>
    <row r="25" spans="1:20" ht="15.75">
      <c r="A25" s="155">
        <v>2013</v>
      </c>
      <c r="B25" s="159">
        <v>7</v>
      </c>
      <c r="C25" s="60">
        <v>291855</v>
      </c>
      <c r="D25" s="60">
        <v>168709</v>
      </c>
      <c r="E25" s="60">
        <v>460564</v>
      </c>
      <c r="F25" s="60">
        <v>190349</v>
      </c>
      <c r="G25" s="60">
        <v>109184</v>
      </c>
      <c r="H25" s="60">
        <v>299533</v>
      </c>
      <c r="I25" s="60">
        <v>47343</v>
      </c>
      <c r="J25" s="60">
        <v>24969</v>
      </c>
      <c r="K25" s="60">
        <v>72312</v>
      </c>
      <c r="L25" s="60">
        <v>28245</v>
      </c>
      <c r="M25" s="60">
        <v>15268</v>
      </c>
      <c r="N25" s="60">
        <v>43513</v>
      </c>
      <c r="O25" s="60">
        <v>24797</v>
      </c>
      <c r="P25" s="60">
        <v>22002</v>
      </c>
      <c r="Q25" s="60">
        <v>46799</v>
      </c>
      <c r="R25" s="60">
        <v>14368</v>
      </c>
      <c r="S25" s="60">
        <v>13846</v>
      </c>
      <c r="T25" s="60">
        <v>28214</v>
      </c>
    </row>
    <row r="26" spans="1:20" ht="15.75">
      <c r="A26" s="155">
        <v>2014</v>
      </c>
      <c r="B26" s="159">
        <v>7</v>
      </c>
      <c r="C26" s="60">
        <v>371263</v>
      </c>
      <c r="D26" s="60">
        <v>227722</v>
      </c>
      <c r="E26" s="60">
        <v>598985</v>
      </c>
      <c r="F26" s="60">
        <v>174756</v>
      </c>
      <c r="G26" s="60">
        <v>107480</v>
      </c>
      <c r="H26" s="60">
        <v>282236</v>
      </c>
      <c r="I26" s="60">
        <v>50180</v>
      </c>
      <c r="J26" s="60">
        <v>27431</v>
      </c>
      <c r="K26" s="60">
        <v>77611</v>
      </c>
      <c r="L26" s="60">
        <v>23073</v>
      </c>
      <c r="M26" s="60">
        <v>13910</v>
      </c>
      <c r="N26" s="60">
        <v>36983</v>
      </c>
      <c r="O26" s="60">
        <v>31443</v>
      </c>
      <c r="P26" s="60">
        <v>29625</v>
      </c>
      <c r="Q26" s="60">
        <v>61068</v>
      </c>
      <c r="R26" s="60">
        <v>14392</v>
      </c>
      <c r="S26" s="60">
        <v>13931</v>
      </c>
      <c r="T26" s="60">
        <v>28323</v>
      </c>
    </row>
    <row r="27" spans="1:20" ht="15.75">
      <c r="A27" s="155">
        <v>2015</v>
      </c>
      <c r="B27" s="159">
        <v>7</v>
      </c>
      <c r="C27" s="60">
        <v>235315</v>
      </c>
      <c r="D27" s="60">
        <v>151108</v>
      </c>
      <c r="E27" s="60">
        <v>386423</v>
      </c>
      <c r="F27" s="60">
        <v>142123</v>
      </c>
      <c r="G27" s="60">
        <v>96883</v>
      </c>
      <c r="H27" s="60">
        <v>239006</v>
      </c>
      <c r="I27" s="60">
        <v>34060</v>
      </c>
      <c r="J27" s="60">
        <v>20599</v>
      </c>
      <c r="K27" s="60">
        <v>54659</v>
      </c>
      <c r="L27" s="60">
        <v>21268</v>
      </c>
      <c r="M27" s="60">
        <v>14015</v>
      </c>
      <c r="N27" s="60">
        <v>35283</v>
      </c>
      <c r="O27" s="60">
        <v>22595</v>
      </c>
      <c r="P27" s="60">
        <v>19896</v>
      </c>
      <c r="Q27" s="60">
        <v>42491</v>
      </c>
      <c r="R27" s="60">
        <v>15025</v>
      </c>
      <c r="S27" s="60">
        <v>13343</v>
      </c>
      <c r="T27" s="60">
        <v>28368</v>
      </c>
    </row>
    <row r="28" spans="1:20" ht="15.75">
      <c r="A28" s="155">
        <v>2016</v>
      </c>
      <c r="B28" s="159">
        <v>8</v>
      </c>
      <c r="C28" s="60">
        <f>+OpenBoard!C16</f>
        <v>484684</v>
      </c>
      <c r="D28" s="60">
        <f>+OpenBoard!D16</f>
        <v>278958</v>
      </c>
      <c r="E28" s="60">
        <f>+OpenBoard!E16</f>
        <v>763642</v>
      </c>
      <c r="F28" s="60">
        <f>+OpenBoard!F16</f>
        <v>189472</v>
      </c>
      <c r="G28" s="60">
        <f>+OpenBoard!G16</f>
        <v>125985</v>
      </c>
      <c r="H28" s="60">
        <f>+OpenBoard!H16</f>
        <v>315457</v>
      </c>
      <c r="I28" s="60">
        <f>+OpenBoard!I16</f>
        <v>62548</v>
      </c>
      <c r="J28" s="60">
        <f>+OpenBoard!J16</f>
        <v>36960</v>
      </c>
      <c r="K28" s="60">
        <f>+OpenBoard!K16</f>
        <v>99508</v>
      </c>
      <c r="L28" s="60">
        <f>+OpenBoard!L16</f>
        <v>25319</v>
      </c>
      <c r="M28" s="60">
        <f>+OpenBoard!M16</f>
        <v>16858</v>
      </c>
      <c r="N28" s="60">
        <f>+OpenBoard!N16</f>
        <v>42177</v>
      </c>
      <c r="O28" s="60">
        <f>+OpenBoard!O16</f>
        <v>54022</v>
      </c>
      <c r="P28" s="60">
        <f>+OpenBoard!P16</f>
        <v>34319</v>
      </c>
      <c r="Q28" s="60">
        <f>+OpenBoard!Q16</f>
        <v>88341</v>
      </c>
      <c r="R28" s="60">
        <f>+OpenBoard!R16</f>
        <v>21400</v>
      </c>
      <c r="S28" s="60">
        <f>+OpenBoard!S16</f>
        <v>14874</v>
      </c>
      <c r="T28" s="60">
        <f>+OpenBoard!T16</f>
        <v>36274</v>
      </c>
    </row>
    <row r="29" ht="15.75">
      <c r="B29" s="160"/>
    </row>
    <row r="30" ht="15.75">
      <c r="B30" s="160"/>
    </row>
    <row r="31" spans="1:20" ht="18">
      <c r="A31" s="1"/>
      <c r="B31" s="160"/>
      <c r="C31" s="59" t="s">
        <v>105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 t="str">
        <f>C31</f>
        <v>Statement 3 - HIGHER SECONDARY EXAMINATION RESULTS DURING 2011 - 2016 (ALL BOARDS)</v>
      </c>
      <c r="P31" s="59"/>
      <c r="Q31" s="59"/>
      <c r="R31" s="59"/>
      <c r="S31" s="59"/>
      <c r="T31" s="59"/>
    </row>
    <row r="32" spans="1:20" ht="14.25" customHeight="1">
      <c r="A32" s="209" t="s">
        <v>26</v>
      </c>
      <c r="B32" s="209" t="s">
        <v>98</v>
      </c>
      <c r="C32" s="209" t="s">
        <v>1</v>
      </c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 t="s">
        <v>1</v>
      </c>
      <c r="P32" s="209"/>
      <c r="Q32" s="209"/>
      <c r="R32" s="209"/>
      <c r="S32" s="209"/>
      <c r="T32" s="209"/>
    </row>
    <row r="33" spans="1:20" ht="14.25">
      <c r="A33" s="209"/>
      <c r="B33" s="209"/>
      <c r="C33" s="209" t="s">
        <v>23</v>
      </c>
      <c r="D33" s="209"/>
      <c r="E33" s="209"/>
      <c r="F33" s="209"/>
      <c r="G33" s="209"/>
      <c r="H33" s="209"/>
      <c r="I33" s="209" t="s">
        <v>24</v>
      </c>
      <c r="J33" s="209"/>
      <c r="K33" s="209"/>
      <c r="L33" s="209"/>
      <c r="M33" s="209"/>
      <c r="N33" s="209"/>
      <c r="O33" s="209" t="s">
        <v>25</v>
      </c>
      <c r="P33" s="209"/>
      <c r="Q33" s="209"/>
      <c r="R33" s="209"/>
      <c r="S33" s="209"/>
      <c r="T33" s="209"/>
    </row>
    <row r="34" spans="1:20" ht="14.25">
      <c r="A34" s="209"/>
      <c r="B34" s="209"/>
      <c r="C34" s="209" t="s">
        <v>2</v>
      </c>
      <c r="D34" s="209"/>
      <c r="E34" s="209"/>
      <c r="F34" s="209" t="s">
        <v>3</v>
      </c>
      <c r="G34" s="209"/>
      <c r="H34" s="209"/>
      <c r="I34" s="209" t="s">
        <v>2</v>
      </c>
      <c r="J34" s="209"/>
      <c r="K34" s="209"/>
      <c r="L34" s="209" t="s">
        <v>3</v>
      </c>
      <c r="M34" s="209"/>
      <c r="N34" s="209"/>
      <c r="O34" s="209" t="s">
        <v>2</v>
      </c>
      <c r="P34" s="209"/>
      <c r="Q34" s="209"/>
      <c r="R34" s="209" t="s">
        <v>3</v>
      </c>
      <c r="S34" s="209"/>
      <c r="T34" s="209"/>
    </row>
    <row r="35" spans="1:20" ht="14.25">
      <c r="A35" s="209"/>
      <c r="B35" s="209"/>
      <c r="C35" s="154" t="s">
        <v>5</v>
      </c>
      <c r="D35" s="154" t="s">
        <v>6</v>
      </c>
      <c r="E35" s="154" t="s">
        <v>7</v>
      </c>
      <c r="F35" s="154" t="s">
        <v>5</v>
      </c>
      <c r="G35" s="154" t="s">
        <v>6</v>
      </c>
      <c r="H35" s="154" t="s">
        <v>7</v>
      </c>
      <c r="I35" s="154" t="s">
        <v>5</v>
      </c>
      <c r="J35" s="154" t="s">
        <v>6</v>
      </c>
      <c r="K35" s="154" t="s">
        <v>7</v>
      </c>
      <c r="L35" s="154" t="s">
        <v>5</v>
      </c>
      <c r="M35" s="154" t="s">
        <v>6</v>
      </c>
      <c r="N35" s="154" t="s">
        <v>7</v>
      </c>
      <c r="O35" s="154" t="s">
        <v>5</v>
      </c>
      <c r="P35" s="154" t="s">
        <v>6</v>
      </c>
      <c r="Q35" s="154" t="s">
        <v>7</v>
      </c>
      <c r="R35" s="154" t="s">
        <v>5</v>
      </c>
      <c r="S35" s="154" t="s">
        <v>6</v>
      </c>
      <c r="T35" s="154" t="s">
        <v>7</v>
      </c>
    </row>
    <row r="36" spans="1:20" ht="12.75">
      <c r="A36" s="61">
        <v>1</v>
      </c>
      <c r="B36" s="61">
        <v>2</v>
      </c>
      <c r="C36" s="61">
        <v>3</v>
      </c>
      <c r="D36" s="61">
        <v>4</v>
      </c>
      <c r="E36" s="61">
        <v>5</v>
      </c>
      <c r="F36" s="61">
        <v>6</v>
      </c>
      <c r="G36" s="61">
        <v>7</v>
      </c>
      <c r="H36" s="61">
        <v>8</v>
      </c>
      <c r="I36" s="61">
        <v>9</v>
      </c>
      <c r="J36" s="61">
        <v>10</v>
      </c>
      <c r="K36" s="61">
        <v>11</v>
      </c>
      <c r="L36" s="61">
        <v>12</v>
      </c>
      <c r="M36" s="61">
        <v>13</v>
      </c>
      <c r="N36" s="61">
        <v>14</v>
      </c>
      <c r="O36" s="61">
        <v>15</v>
      </c>
      <c r="P36" s="61">
        <v>16</v>
      </c>
      <c r="Q36" s="61">
        <v>17</v>
      </c>
      <c r="R36" s="61">
        <v>18</v>
      </c>
      <c r="S36" s="61">
        <v>19</v>
      </c>
      <c r="T36" s="61">
        <v>20</v>
      </c>
    </row>
    <row r="37" spans="1:20" ht="15.75">
      <c r="A37" s="155">
        <v>2010</v>
      </c>
      <c r="B37" s="159">
        <f aca="true" t="shared" si="0" ref="B37:T37">+B7+B22</f>
        <v>39</v>
      </c>
      <c r="C37" s="60">
        <f t="shared" si="0"/>
        <v>6060778</v>
      </c>
      <c r="D37" s="60">
        <f t="shared" si="0"/>
        <v>4655497</v>
      </c>
      <c r="E37" s="60">
        <f t="shared" si="0"/>
        <v>10716275</v>
      </c>
      <c r="F37" s="60">
        <f t="shared" si="0"/>
        <v>4404381</v>
      </c>
      <c r="G37" s="60">
        <f t="shared" si="0"/>
        <v>3761276</v>
      </c>
      <c r="H37" s="60">
        <f t="shared" si="0"/>
        <v>8165657</v>
      </c>
      <c r="I37" s="60">
        <f t="shared" si="0"/>
        <v>860710</v>
      </c>
      <c r="J37" s="60">
        <f t="shared" si="0"/>
        <v>623008</v>
      </c>
      <c r="K37" s="60">
        <f t="shared" si="0"/>
        <v>1483718</v>
      </c>
      <c r="L37" s="60">
        <f t="shared" si="0"/>
        <v>573893</v>
      </c>
      <c r="M37" s="60">
        <f t="shared" si="0"/>
        <v>469264</v>
      </c>
      <c r="N37" s="60">
        <f t="shared" si="0"/>
        <v>1043157</v>
      </c>
      <c r="O37" s="60">
        <f t="shared" si="0"/>
        <v>357884</v>
      </c>
      <c r="P37" s="60">
        <f t="shared" si="0"/>
        <v>253644</v>
      </c>
      <c r="Q37" s="60">
        <f t="shared" si="0"/>
        <v>611528</v>
      </c>
      <c r="R37" s="60">
        <f t="shared" si="0"/>
        <v>231890</v>
      </c>
      <c r="S37" s="60">
        <f t="shared" si="0"/>
        <v>174760</v>
      </c>
      <c r="T37" s="60">
        <f t="shared" si="0"/>
        <v>406650</v>
      </c>
    </row>
    <row r="38" spans="1:20" ht="15.75">
      <c r="A38" s="155">
        <v>2011</v>
      </c>
      <c r="B38" s="159">
        <f aca="true" t="shared" si="1" ref="B38:T38">+B8+B23</f>
        <v>39</v>
      </c>
      <c r="C38" s="60">
        <f t="shared" si="1"/>
        <v>6483461</v>
      </c>
      <c r="D38" s="60">
        <f t="shared" si="1"/>
        <v>5122444</v>
      </c>
      <c r="E38" s="60">
        <f t="shared" si="1"/>
        <v>11614265</v>
      </c>
      <c r="F38" s="60">
        <f t="shared" si="1"/>
        <v>4557363</v>
      </c>
      <c r="G38" s="60">
        <f t="shared" si="1"/>
        <v>4119497</v>
      </c>
      <c r="H38" s="60">
        <f t="shared" si="1"/>
        <v>8683821</v>
      </c>
      <c r="I38" s="60">
        <f t="shared" si="1"/>
        <v>920304</v>
      </c>
      <c r="J38" s="60">
        <f t="shared" si="1"/>
        <v>682877</v>
      </c>
      <c r="K38" s="60">
        <f t="shared" si="1"/>
        <v>1603181</v>
      </c>
      <c r="L38" s="60">
        <f t="shared" si="1"/>
        <v>578789</v>
      </c>
      <c r="M38" s="60">
        <f t="shared" si="1"/>
        <v>519938</v>
      </c>
      <c r="N38" s="60">
        <f t="shared" si="1"/>
        <v>1098727</v>
      </c>
      <c r="O38" s="60">
        <f t="shared" si="1"/>
        <v>369399</v>
      </c>
      <c r="P38" s="60">
        <f t="shared" si="1"/>
        <v>272056</v>
      </c>
      <c r="Q38" s="60">
        <f t="shared" si="1"/>
        <v>641455</v>
      </c>
      <c r="R38" s="60">
        <f t="shared" si="1"/>
        <v>236485</v>
      </c>
      <c r="S38" s="60">
        <f t="shared" si="1"/>
        <v>186174</v>
      </c>
      <c r="T38" s="60">
        <f t="shared" si="1"/>
        <v>422659</v>
      </c>
    </row>
    <row r="39" spans="1:20" ht="15.75">
      <c r="A39" s="155">
        <v>2012</v>
      </c>
      <c r="B39" s="159">
        <f aca="true" t="shared" si="2" ref="B39:T39">+B9+B24</f>
        <v>40</v>
      </c>
      <c r="C39" s="60">
        <f t="shared" si="2"/>
        <v>7156895</v>
      </c>
      <c r="D39" s="60">
        <f t="shared" si="2"/>
        <v>5556094</v>
      </c>
      <c r="E39" s="60">
        <f t="shared" si="2"/>
        <v>12714273</v>
      </c>
      <c r="F39" s="60">
        <f t="shared" si="2"/>
        <v>5390013</v>
      </c>
      <c r="G39" s="60">
        <f t="shared" si="2"/>
        <v>4644864</v>
      </c>
      <c r="H39" s="60">
        <f t="shared" si="2"/>
        <v>10035729</v>
      </c>
      <c r="I39" s="60">
        <f t="shared" si="2"/>
        <v>1034594</v>
      </c>
      <c r="J39" s="60">
        <f t="shared" si="2"/>
        <v>782233</v>
      </c>
      <c r="K39" s="60">
        <f t="shared" si="2"/>
        <v>1816827</v>
      </c>
      <c r="L39" s="60">
        <f t="shared" si="2"/>
        <v>729658</v>
      </c>
      <c r="M39" s="60">
        <f t="shared" si="2"/>
        <v>631739</v>
      </c>
      <c r="N39" s="60">
        <f t="shared" si="2"/>
        <v>1361397</v>
      </c>
      <c r="O39" s="60">
        <f t="shared" si="2"/>
        <v>409337</v>
      </c>
      <c r="P39" s="60">
        <f t="shared" si="2"/>
        <v>308278</v>
      </c>
      <c r="Q39" s="60">
        <f t="shared" si="2"/>
        <v>717615</v>
      </c>
      <c r="R39" s="60">
        <f t="shared" si="2"/>
        <v>270415</v>
      </c>
      <c r="S39" s="60">
        <f t="shared" si="2"/>
        <v>220189</v>
      </c>
      <c r="T39" s="60">
        <f t="shared" si="2"/>
        <v>490604</v>
      </c>
    </row>
    <row r="40" spans="1:20" ht="15.75">
      <c r="A40" s="155">
        <v>2013</v>
      </c>
      <c r="B40" s="159">
        <f aca="true" t="shared" si="3" ref="B40:T40">+B10+B25</f>
        <v>41</v>
      </c>
      <c r="C40" s="60">
        <f t="shared" si="3"/>
        <v>7818245</v>
      </c>
      <c r="D40" s="60">
        <f t="shared" si="3"/>
        <v>6150345</v>
      </c>
      <c r="E40" s="60">
        <f t="shared" si="3"/>
        <v>13972830</v>
      </c>
      <c r="F40" s="60">
        <f t="shared" si="3"/>
        <v>5909323</v>
      </c>
      <c r="G40" s="60">
        <f t="shared" si="3"/>
        <v>5081414</v>
      </c>
      <c r="H40" s="60">
        <f t="shared" si="3"/>
        <v>10993639</v>
      </c>
      <c r="I40" s="60">
        <f t="shared" si="3"/>
        <v>1229369</v>
      </c>
      <c r="J40" s="60">
        <f t="shared" si="3"/>
        <v>966974</v>
      </c>
      <c r="K40" s="60">
        <f t="shared" si="3"/>
        <v>2196343</v>
      </c>
      <c r="L40" s="60">
        <f t="shared" si="3"/>
        <v>883754</v>
      </c>
      <c r="M40" s="60">
        <f t="shared" si="3"/>
        <v>753544</v>
      </c>
      <c r="N40" s="60">
        <f t="shared" si="3"/>
        <v>1637298</v>
      </c>
      <c r="O40" s="60">
        <f t="shared" si="3"/>
        <v>494733</v>
      </c>
      <c r="P40" s="60">
        <f t="shared" si="3"/>
        <v>393975</v>
      </c>
      <c r="Q40" s="60">
        <f t="shared" si="3"/>
        <v>888708</v>
      </c>
      <c r="R40" s="60">
        <f t="shared" si="3"/>
        <v>326911</v>
      </c>
      <c r="S40" s="60">
        <f t="shared" si="3"/>
        <v>280040</v>
      </c>
      <c r="T40" s="60">
        <f t="shared" si="3"/>
        <v>606951</v>
      </c>
    </row>
    <row r="41" spans="1:20" ht="15.75">
      <c r="A41" s="155">
        <v>2014</v>
      </c>
      <c r="B41" s="159">
        <f aca="true" t="shared" si="4" ref="B41:T41">+B11+B26</f>
        <v>41</v>
      </c>
      <c r="C41" s="60">
        <f t="shared" si="4"/>
        <v>8303617</v>
      </c>
      <c r="D41" s="60">
        <f t="shared" si="4"/>
        <v>6672242</v>
      </c>
      <c r="E41" s="60">
        <f t="shared" si="4"/>
        <v>14975859</v>
      </c>
      <c r="F41" s="60">
        <f t="shared" si="4"/>
        <v>6286948</v>
      </c>
      <c r="G41" s="60">
        <f t="shared" si="4"/>
        <v>5568347</v>
      </c>
      <c r="H41" s="60">
        <f t="shared" si="4"/>
        <v>11855295</v>
      </c>
      <c r="I41" s="60">
        <f t="shared" si="4"/>
        <v>1333129</v>
      </c>
      <c r="J41" s="60">
        <f t="shared" si="4"/>
        <v>1081980</v>
      </c>
      <c r="K41" s="60">
        <f t="shared" si="4"/>
        <v>2416673</v>
      </c>
      <c r="L41" s="60">
        <f t="shared" si="4"/>
        <v>950986</v>
      </c>
      <c r="M41" s="60">
        <f t="shared" si="4"/>
        <v>863172</v>
      </c>
      <c r="N41" s="60">
        <f t="shared" si="4"/>
        <v>1814931</v>
      </c>
      <c r="O41" s="60">
        <f t="shared" si="4"/>
        <v>513983</v>
      </c>
      <c r="P41" s="60">
        <f t="shared" si="4"/>
        <v>452487</v>
      </c>
      <c r="Q41" s="60">
        <f t="shared" si="4"/>
        <v>967697</v>
      </c>
      <c r="R41" s="60">
        <f t="shared" si="4"/>
        <v>343115</v>
      </c>
      <c r="S41" s="60">
        <f t="shared" si="4"/>
        <v>328675</v>
      </c>
      <c r="T41" s="60">
        <f t="shared" si="4"/>
        <v>672346</v>
      </c>
    </row>
    <row r="42" spans="1:20" ht="15.75">
      <c r="A42" s="155">
        <v>2015</v>
      </c>
      <c r="B42" s="159">
        <f aca="true" t="shared" si="5" ref="B42:T42">+B12+B27</f>
        <v>41</v>
      </c>
      <c r="C42" s="60">
        <f t="shared" si="5"/>
        <v>8187118</v>
      </c>
      <c r="D42" s="60">
        <f t="shared" si="5"/>
        <v>6739353</v>
      </c>
      <c r="E42" s="60">
        <f t="shared" si="5"/>
        <v>14926471</v>
      </c>
      <c r="F42" s="60">
        <f t="shared" si="5"/>
        <v>6226200</v>
      </c>
      <c r="G42" s="60">
        <f t="shared" si="5"/>
        <v>5661624</v>
      </c>
      <c r="H42" s="60">
        <f t="shared" si="5"/>
        <v>11887824</v>
      </c>
      <c r="I42" s="60">
        <f t="shared" si="5"/>
        <v>1312054</v>
      </c>
      <c r="J42" s="60">
        <f t="shared" si="5"/>
        <v>1091161</v>
      </c>
      <c r="K42" s="60">
        <f t="shared" si="5"/>
        <v>2403215</v>
      </c>
      <c r="L42" s="60">
        <f t="shared" si="5"/>
        <v>953805</v>
      </c>
      <c r="M42" s="60">
        <f t="shared" si="5"/>
        <v>869183</v>
      </c>
      <c r="N42" s="60">
        <f t="shared" si="5"/>
        <v>1822988</v>
      </c>
      <c r="O42" s="60">
        <f t="shared" si="5"/>
        <v>550131</v>
      </c>
      <c r="P42" s="60">
        <f t="shared" si="5"/>
        <v>516015</v>
      </c>
      <c r="Q42" s="60">
        <f t="shared" si="5"/>
        <v>1066146</v>
      </c>
      <c r="R42" s="60">
        <f t="shared" si="5"/>
        <v>360694</v>
      </c>
      <c r="S42" s="60">
        <f t="shared" si="5"/>
        <v>370058</v>
      </c>
      <c r="T42" s="60">
        <f t="shared" si="5"/>
        <v>730752</v>
      </c>
    </row>
    <row r="43" spans="1:20" ht="15.75">
      <c r="A43" s="155">
        <v>2016</v>
      </c>
      <c r="B43" s="159">
        <f aca="true" t="shared" si="6" ref="B43:T43">+B13+B28</f>
        <v>49</v>
      </c>
      <c r="C43" s="60">
        <f t="shared" si="6"/>
        <v>8693492</v>
      </c>
      <c r="D43" s="60">
        <f t="shared" si="6"/>
        <v>7029085</v>
      </c>
      <c r="E43" s="60">
        <f t="shared" si="6"/>
        <v>15722577</v>
      </c>
      <c r="F43" s="60">
        <f t="shared" si="6"/>
        <v>6285915</v>
      </c>
      <c r="G43" s="60">
        <f t="shared" si="6"/>
        <v>5676755</v>
      </c>
      <c r="H43" s="60">
        <f t="shared" si="6"/>
        <v>11962670</v>
      </c>
      <c r="I43" s="60">
        <f t="shared" si="6"/>
        <v>1401873</v>
      </c>
      <c r="J43" s="60">
        <f t="shared" si="6"/>
        <v>1147693</v>
      </c>
      <c r="K43" s="60">
        <f t="shared" si="6"/>
        <v>2549566</v>
      </c>
      <c r="L43" s="60">
        <f t="shared" si="6"/>
        <v>971273</v>
      </c>
      <c r="M43" s="60">
        <f t="shared" si="6"/>
        <v>880977</v>
      </c>
      <c r="N43" s="60">
        <f t="shared" si="6"/>
        <v>1852250</v>
      </c>
      <c r="O43" s="60">
        <f t="shared" si="6"/>
        <v>585749</v>
      </c>
      <c r="P43" s="60">
        <f t="shared" si="6"/>
        <v>492803</v>
      </c>
      <c r="Q43" s="60">
        <f t="shared" si="6"/>
        <v>1078552</v>
      </c>
      <c r="R43" s="60">
        <f t="shared" si="6"/>
        <v>369744</v>
      </c>
      <c r="S43" s="60">
        <f t="shared" si="6"/>
        <v>342143</v>
      </c>
      <c r="T43" s="60">
        <f t="shared" si="6"/>
        <v>711887</v>
      </c>
    </row>
  </sheetData>
  <sheetProtection/>
  <mergeCells count="39">
    <mergeCell ref="B2:B5"/>
    <mergeCell ref="C34:E34"/>
    <mergeCell ref="F34:H34"/>
    <mergeCell ref="I34:K34"/>
    <mergeCell ref="I19:K19"/>
    <mergeCell ref="L19:N19"/>
    <mergeCell ref="L34:N34"/>
    <mergeCell ref="C19:E19"/>
    <mergeCell ref="F19:H19"/>
    <mergeCell ref="O19:Q19"/>
    <mergeCell ref="R19:T19"/>
    <mergeCell ref="B17:B20"/>
    <mergeCell ref="B32:B35"/>
    <mergeCell ref="A32:A35"/>
    <mergeCell ref="C32:N32"/>
    <mergeCell ref="O32:T32"/>
    <mergeCell ref="C33:H33"/>
    <mergeCell ref="I33:N33"/>
    <mergeCell ref="O33:T33"/>
    <mergeCell ref="O34:Q34"/>
    <mergeCell ref="R34:T34"/>
    <mergeCell ref="O4:Q4"/>
    <mergeCell ref="R4:T4"/>
    <mergeCell ref="A17:A20"/>
    <mergeCell ref="C17:N17"/>
    <mergeCell ref="O17:T17"/>
    <mergeCell ref="C18:H18"/>
    <mergeCell ref="I18:N18"/>
    <mergeCell ref="O18:T18"/>
    <mergeCell ref="A2:A5"/>
    <mergeCell ref="C2:N2"/>
    <mergeCell ref="O2:T2"/>
    <mergeCell ref="C3:H3"/>
    <mergeCell ref="I3:N3"/>
    <mergeCell ref="O3:T3"/>
    <mergeCell ref="C4:E4"/>
    <mergeCell ref="F4:H4"/>
    <mergeCell ref="I4:K4"/>
    <mergeCell ref="L4:N4"/>
  </mergeCells>
  <printOptions/>
  <pageMargins left="0.7480314960629921" right="0.6692913385826772" top="0.2362204724409449" bottom="0.7480314960629921" header="0.31496062992125984" footer="0.31496062992125984"/>
  <pageSetup firstPageNumber="74" useFirstPageNumber="1" horizontalDpi="600" verticalDpi="600" orientation="landscape" paperSize="9" scale="80" r:id="rId1"/>
  <headerFooter alignWithMargins="0">
    <oddFooter>&amp;CXII-2016&amp;R&amp;P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90" workbookViewId="0" topLeftCell="A1">
      <selection activeCell="B34" sqref="B34"/>
    </sheetView>
  </sheetViews>
  <sheetFormatPr defaultColWidth="9.140625" defaultRowHeight="12.75"/>
  <cols>
    <col min="1" max="1" width="12.57421875" style="0" customWidth="1"/>
    <col min="2" max="3" width="11.7109375" style="0" customWidth="1"/>
    <col min="4" max="4" width="13.00390625" style="0" customWidth="1"/>
    <col min="5" max="5" width="11.140625" style="0" customWidth="1"/>
    <col min="6" max="6" width="10.57421875" style="0" customWidth="1"/>
    <col min="7" max="7" width="12.28125" style="0" customWidth="1"/>
    <col min="8" max="8" width="10.28125" style="0" customWidth="1"/>
    <col min="9" max="9" width="10.421875" style="0" customWidth="1"/>
    <col min="10" max="11" width="12.7109375" style="0" customWidth="1"/>
  </cols>
  <sheetData>
    <row r="1" spans="1:11" ht="15.75" customHeight="1">
      <c r="A1" s="213" t="s">
        <v>107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4.25">
      <c r="A2" s="214" t="s">
        <v>26</v>
      </c>
      <c r="B2" s="210" t="s">
        <v>98</v>
      </c>
      <c r="C2" s="193" t="s">
        <v>23</v>
      </c>
      <c r="D2" s="194"/>
      <c r="E2" s="201"/>
      <c r="F2" s="193" t="s">
        <v>24</v>
      </c>
      <c r="G2" s="194"/>
      <c r="H2" s="201"/>
      <c r="I2" s="193" t="s">
        <v>25</v>
      </c>
      <c r="J2" s="194"/>
      <c r="K2" s="201"/>
    </row>
    <row r="3" spans="1:11" ht="14.25">
      <c r="A3" s="215"/>
      <c r="B3" s="215"/>
      <c r="C3" s="37" t="s">
        <v>5</v>
      </c>
      <c r="D3" s="37" t="s">
        <v>6</v>
      </c>
      <c r="E3" s="37" t="s">
        <v>7</v>
      </c>
      <c r="F3" s="37" t="s">
        <v>5</v>
      </c>
      <c r="G3" s="37" t="s">
        <v>6</v>
      </c>
      <c r="H3" s="37" t="s">
        <v>7</v>
      </c>
      <c r="I3" s="37" t="s">
        <v>5</v>
      </c>
      <c r="J3" s="37" t="s">
        <v>6</v>
      </c>
      <c r="K3" s="37" t="s">
        <v>7</v>
      </c>
    </row>
    <row r="4" spans="1:11" ht="15.75">
      <c r="A4" s="50">
        <v>2010</v>
      </c>
      <c r="B4" s="159">
        <v>33</v>
      </c>
      <c r="C4" s="43">
        <f>+TS!F7/TS!C7%</f>
        <v>73.1984416558685</v>
      </c>
      <c r="D4" s="43">
        <f>+TS!G7/TS!D7%</f>
        <v>81.54976152049683</v>
      </c>
      <c r="E4" s="43">
        <f>+TS!H7/TS!E7%</f>
        <v>76.84504700809016</v>
      </c>
      <c r="F4" s="43">
        <f>+TS!L7/TS!I7%</f>
        <v>67.14047232975724</v>
      </c>
      <c r="G4" s="43">
        <f>+TS!M7/TS!J7%</f>
        <v>75.83022449113162</v>
      </c>
      <c r="H4" s="43">
        <f>+TS!N7/TS!K7%</f>
        <v>70.81120123306182</v>
      </c>
      <c r="I4" s="43">
        <f>+TS!R7/TS!O7%</f>
        <v>65.39986341327901</v>
      </c>
      <c r="J4" s="43">
        <f>+TS!S7/TS!P7%</f>
        <v>69.7459040761049</v>
      </c>
      <c r="K4" s="43">
        <f>+TS!T7/TS!Q7%</f>
        <v>67.19069007758269</v>
      </c>
    </row>
    <row r="5" spans="1:11" ht="15.75">
      <c r="A5" s="51">
        <v>2011</v>
      </c>
      <c r="B5" s="159">
        <v>33</v>
      </c>
      <c r="C5" s="43">
        <f>+TS!F8/TS!C8%</f>
        <v>70.63899167323552</v>
      </c>
      <c r="D5" s="43">
        <f>+TS!G8/TS!D8%</f>
        <v>80.99287328155933</v>
      </c>
      <c r="E5" s="43">
        <f>+TS!H8/TS!E8%</f>
        <v>75.2334271687325</v>
      </c>
      <c r="F5" s="43">
        <f>+TS!L8/TS!I8%</f>
        <v>63.51471238913208</v>
      </c>
      <c r="G5" s="43">
        <f>+TS!M8/TS!J8%</f>
        <v>76.68126412929152</v>
      </c>
      <c r="H5" s="43">
        <f>+TS!N8/TS!K8%</f>
        <v>69.1600565799898</v>
      </c>
      <c r="I5" s="43">
        <f>+TS!R8/TS!O8%</f>
        <v>64.01928036869477</v>
      </c>
      <c r="J5" s="43">
        <f>+TS!S8/TS!P8%</f>
        <v>68.57304139714894</v>
      </c>
      <c r="K5" s="43">
        <f>+TS!T8/TS!Q8%</f>
        <v>65.93936153216629</v>
      </c>
    </row>
    <row r="6" spans="1:11" ht="15.75">
      <c r="A6" s="50">
        <v>2012</v>
      </c>
      <c r="B6" s="159">
        <v>33</v>
      </c>
      <c r="C6" s="43">
        <f>+TS!F9/TS!C9%</f>
        <v>75.56169941602646</v>
      </c>
      <c r="D6" s="43">
        <f>+TS!G9/TS!D9%</f>
        <v>84.03042374447966</v>
      </c>
      <c r="E6" s="43">
        <f>+TS!H9/TS!E9%</f>
        <v>79.28347295112141</v>
      </c>
      <c r="F6" s="43">
        <f>+TS!L9/TS!I9%</f>
        <v>70.83518207780055</v>
      </c>
      <c r="G6" s="43">
        <f>+TS!M9/TS!J9%</f>
        <v>81.27073451143505</v>
      </c>
      <c r="H6" s="43">
        <f>+TS!N9/TS!K9%</f>
        <v>75.36358291425734</v>
      </c>
      <c r="I6" s="43">
        <f>+TS!R9/TS!O9%</f>
        <v>66.57839916258149</v>
      </c>
      <c r="J6" s="43">
        <f>+TS!S9/TS!P9%</f>
        <v>72.02324133637684</v>
      </c>
      <c r="K6" s="43">
        <f>+TS!T9/TS!Q9%</f>
        <v>68.91042352996942</v>
      </c>
    </row>
    <row r="7" spans="1:11" ht="15.75">
      <c r="A7" s="51">
        <v>2013</v>
      </c>
      <c r="B7" s="159">
        <v>34</v>
      </c>
      <c r="C7" s="43">
        <f>+TS!F10/TS!C10%</f>
        <v>75.98561860334105</v>
      </c>
      <c r="D7" s="43">
        <f>+TS!G10/TS!D10%</f>
        <v>83.12491766466566</v>
      </c>
      <c r="E7" s="43">
        <f>+TS!H10/TS!E10%</f>
        <v>79.1436906289441</v>
      </c>
      <c r="F7" s="43">
        <f>+TS!L10/TS!I10%</f>
        <v>72.37649594848168</v>
      </c>
      <c r="G7" s="43">
        <f>+TS!M10/TS!J10%</f>
        <v>78.37283241596383</v>
      </c>
      <c r="H7" s="43">
        <f>+TS!N10/TS!K10%</f>
        <v>75.03586341253964</v>
      </c>
      <c r="I7" s="43">
        <f>+TS!R10/TS!O10%</f>
        <v>66.50756698784515</v>
      </c>
      <c r="J7" s="43">
        <f>+TS!S10/TS!P10%</f>
        <v>71.5627209501765</v>
      </c>
      <c r="K7" s="43">
        <f>+TS!T10/TS!Q10%</f>
        <v>68.74103970856707</v>
      </c>
    </row>
    <row r="8" spans="1:11" ht="15.75">
      <c r="A8" s="50">
        <v>2014</v>
      </c>
      <c r="B8" s="159">
        <v>34</v>
      </c>
      <c r="C8" s="43">
        <f>+TS!F11/TS!C11%</f>
        <v>77.05394892865347</v>
      </c>
      <c r="D8" s="43">
        <f>+TS!G11/TS!D11%</f>
        <v>84.73659791574858</v>
      </c>
      <c r="E8" s="43">
        <f>+TS!H11/TS!E11%</f>
        <v>80.49774241604956</v>
      </c>
      <c r="F8" s="43">
        <f>+TS!L11/TS!I11%</f>
        <v>72.32656948951205</v>
      </c>
      <c r="G8" s="43">
        <f>+TS!M11/TS!J11%</f>
        <v>80.53319475908658</v>
      </c>
      <c r="H8" s="43">
        <f>+TS!N11/TS!K11%</f>
        <v>76.01115318875686</v>
      </c>
      <c r="I8" s="43">
        <f>+TS!R11/TS!O11%</f>
        <v>68.12347162929498</v>
      </c>
      <c r="J8" s="43">
        <f>+TS!S11/TS!P11%</f>
        <v>74.43184774228945</v>
      </c>
      <c r="K8" s="43">
        <f>+TS!T11/TS!Q11%</f>
        <v>71.03489961163827</v>
      </c>
    </row>
    <row r="9" spans="1:11" ht="15.75">
      <c r="A9" s="51">
        <v>2015</v>
      </c>
      <c r="B9" s="159">
        <v>34</v>
      </c>
      <c r="C9" s="43">
        <f>+TS!F12/TS!C12%</f>
        <v>76.5119181146716</v>
      </c>
      <c r="D9" s="43">
        <f>+TS!G12/TS!D12%</f>
        <v>84.4646943154057</v>
      </c>
      <c r="E9" s="43">
        <f>+TS!H12/TS!E12%</f>
        <v>80.1154026451632</v>
      </c>
      <c r="F9" s="43">
        <f>+TS!L12/TS!I12%</f>
        <v>72.96880893024536</v>
      </c>
      <c r="G9" s="43">
        <f>+TS!M12/TS!J12%</f>
        <v>79.88028717626815</v>
      </c>
      <c r="H9" s="43">
        <f>+TS!N12/TS!K12%</f>
        <v>76.11932608803026</v>
      </c>
      <c r="I9" s="43">
        <f>+TS!R12/TS!O12%</f>
        <v>65.52519638470172</v>
      </c>
      <c r="J9" s="43">
        <f>+TS!S12/TS!P12%</f>
        <v>71.90109630955477</v>
      </c>
      <c r="K9" s="43">
        <f>+TS!T12/TS!Q12%</f>
        <v>68.61530496114415</v>
      </c>
    </row>
    <row r="10" spans="1:11" ht="15.75">
      <c r="A10" s="50">
        <v>2016</v>
      </c>
      <c r="B10" s="159">
        <v>41</v>
      </c>
      <c r="C10" s="43">
        <f>+TS!F13/TS!C13%</f>
        <v>74.26709212835773</v>
      </c>
      <c r="D10" s="43">
        <f>+TS!G13/TS!D13%</f>
        <v>82.23208244822652</v>
      </c>
      <c r="E10" s="43">
        <f>+TS!H13/TS!E13%</f>
        <v>77.86124480118404</v>
      </c>
      <c r="F10" s="43">
        <f>+TS!L13/TS!I13%</f>
        <v>70.62916021130047</v>
      </c>
      <c r="G10" s="43">
        <f>+TS!M13/TS!J13%</f>
        <v>77.79718438184514</v>
      </c>
      <c r="H10" s="43">
        <f>+TS!N13/TS!K13%</f>
        <v>73.87878164516921</v>
      </c>
      <c r="I10" s="43">
        <f>+TS!R13/TS!O13%</f>
        <v>65.51181339296292</v>
      </c>
      <c r="J10" s="43">
        <f>+TS!S13/TS!P13%</f>
        <v>71.38068067806074</v>
      </c>
      <c r="K10" s="43">
        <f>+TS!T13/TS!Q13%</f>
        <v>68.22919559568616</v>
      </c>
    </row>
    <row r="13" spans="1:11" ht="15.75">
      <c r="A13" s="213" t="s">
        <v>106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</row>
    <row r="14" spans="1:11" ht="14.25">
      <c r="A14" s="214" t="s">
        <v>26</v>
      </c>
      <c r="B14" s="210" t="s">
        <v>98</v>
      </c>
      <c r="C14" s="193" t="s">
        <v>23</v>
      </c>
      <c r="D14" s="194"/>
      <c r="E14" s="201"/>
      <c r="F14" s="193" t="s">
        <v>24</v>
      </c>
      <c r="G14" s="194"/>
      <c r="H14" s="201"/>
      <c r="I14" s="193" t="s">
        <v>25</v>
      </c>
      <c r="J14" s="194"/>
      <c r="K14" s="201"/>
    </row>
    <row r="15" spans="1:11" ht="14.25">
      <c r="A15" s="215"/>
      <c r="B15" s="215"/>
      <c r="C15" s="37" t="s">
        <v>5</v>
      </c>
      <c r="D15" s="37" t="s">
        <v>6</v>
      </c>
      <c r="E15" s="37" t="s">
        <v>7</v>
      </c>
      <c r="F15" s="37" t="s">
        <v>5</v>
      </c>
      <c r="G15" s="37" t="s">
        <v>6</v>
      </c>
      <c r="H15" s="37" t="s">
        <v>7</v>
      </c>
      <c r="I15" s="37" t="s">
        <v>5</v>
      </c>
      <c r="J15" s="37" t="s">
        <v>6</v>
      </c>
      <c r="K15" s="37" t="s">
        <v>7</v>
      </c>
    </row>
    <row r="16" spans="1:11" ht="15.75">
      <c r="A16" s="50">
        <v>2010</v>
      </c>
      <c r="B16" s="159">
        <v>6</v>
      </c>
      <c r="C16" s="43">
        <f>+TS!F22/TS!C22%</f>
        <v>56.829500250539425</v>
      </c>
      <c r="D16" s="43">
        <f>+TS!G22/TS!D22%</f>
        <v>49.310811304888304</v>
      </c>
      <c r="E16" s="43">
        <f>+TS!H22/TS!E22%</f>
        <v>54.132375025411335</v>
      </c>
      <c r="F16" s="43">
        <f>+TS!L22/TS!I22%</f>
        <v>51.21484141232795</v>
      </c>
      <c r="G16" s="43">
        <f>+TS!M22/TS!J22%</f>
        <v>49.122214719783926</v>
      </c>
      <c r="H16" s="43">
        <f>+TS!N22/TS!K22%</f>
        <v>50.54316907322624</v>
      </c>
      <c r="I16" s="43">
        <f>+TS!R22/TS!O22%</f>
        <v>47.815849301721336</v>
      </c>
      <c r="J16" s="43">
        <f>+TS!S22/TS!P22%</f>
        <v>51.00419140761439</v>
      </c>
      <c r="K16" s="43">
        <f>+TS!T22/TS!Q22%</f>
        <v>49.352070010097606</v>
      </c>
    </row>
    <row r="17" spans="1:11" ht="15.75">
      <c r="A17" s="51">
        <v>2011</v>
      </c>
      <c r="B17" s="159">
        <v>6</v>
      </c>
      <c r="C17" s="43">
        <f>+TS!F23/TS!C23%</f>
        <v>59.103127051871304</v>
      </c>
      <c r="D17" s="43">
        <f>+TS!G23/TS!D23%</f>
        <v>56.06635151680043</v>
      </c>
      <c r="E17" s="43">
        <f>+TS!H23/TS!E23%</f>
        <v>57.960391604811875</v>
      </c>
      <c r="F17" s="43">
        <f>+TS!L23/TS!I23%</f>
        <v>44.27422058330539</v>
      </c>
      <c r="G17" s="43">
        <f>+TS!M23/TS!J23%</f>
        <v>51.15204194260485</v>
      </c>
      <c r="H17" s="43">
        <f>+TS!N23/TS!K23%</f>
        <v>46.52348508775888</v>
      </c>
      <c r="I17" s="43">
        <f>+TS!R23/TS!O23%</f>
        <v>64.00847341806751</v>
      </c>
      <c r="J17" s="43">
        <f>+TS!S23/TS!P23%</f>
        <v>65.71748043235185</v>
      </c>
      <c r="K17" s="43">
        <f>+TS!T23/TS!Q23%</f>
        <v>64.82584049342222</v>
      </c>
    </row>
    <row r="18" spans="1:11" ht="15.75">
      <c r="A18" s="50">
        <v>2012</v>
      </c>
      <c r="B18" s="159">
        <v>7</v>
      </c>
      <c r="C18" s="43">
        <f>+TS!F24/TS!C24%</f>
        <v>69.08160673464204</v>
      </c>
      <c r="D18" s="43">
        <f>+TS!G24/TS!D24%</f>
        <v>68.81892564923514</v>
      </c>
      <c r="E18" s="43">
        <f>+TS!H24/TS!E24%</f>
        <v>68.98611104696008</v>
      </c>
      <c r="F18" s="43">
        <f>+TS!L24/TS!I24%</f>
        <v>63.384579548101556</v>
      </c>
      <c r="G18" s="43">
        <f>+TS!M24/TS!J24%</f>
        <v>63.1679302673991</v>
      </c>
      <c r="H18" s="43">
        <f>+TS!N24/TS!K24%</f>
        <v>63.31111350585772</v>
      </c>
      <c r="I18" s="43">
        <f>+TS!R24/TS!O24%</f>
        <v>57.535593655137035</v>
      </c>
      <c r="J18" s="43">
        <f>+TS!S24/TS!P24%</f>
        <v>62.39418957048804</v>
      </c>
      <c r="K18" s="43">
        <f>+TS!T24/TS!Q24%</f>
        <v>59.722058927269735</v>
      </c>
    </row>
    <row r="19" spans="1:11" ht="15.75">
      <c r="A19" s="51">
        <v>2013</v>
      </c>
      <c r="B19" s="159">
        <v>7</v>
      </c>
      <c r="C19" s="43">
        <f>+TS!F25/TS!C25%</f>
        <v>65.22040054136471</v>
      </c>
      <c r="D19" s="43">
        <f>+TS!G25/TS!D25%</f>
        <v>64.71735354960316</v>
      </c>
      <c r="E19" s="43">
        <f>+TS!H25/TS!E25%</f>
        <v>65.03612961499378</v>
      </c>
      <c r="F19" s="43">
        <f>+TS!L25/TS!I25%</f>
        <v>59.660351055066215</v>
      </c>
      <c r="G19" s="43">
        <f>+TS!M25/TS!J25%</f>
        <v>61.14782330089311</v>
      </c>
      <c r="H19" s="43">
        <f>+TS!N25/TS!K25%</f>
        <v>60.17396835933178</v>
      </c>
      <c r="I19" s="43">
        <f>+TS!R25/TS!O25%</f>
        <v>57.94249304351333</v>
      </c>
      <c r="J19" s="43">
        <f>+TS!S25/TS!P25%</f>
        <v>62.930642668848286</v>
      </c>
      <c r="K19" s="43">
        <f>+TS!T25/TS!Q25%</f>
        <v>60.2876129831834</v>
      </c>
    </row>
    <row r="20" spans="1:11" ht="15.75">
      <c r="A20" s="50">
        <v>2014</v>
      </c>
      <c r="B20" s="159">
        <v>7</v>
      </c>
      <c r="C20" s="43">
        <f>+TS!F26/TS!C26%</f>
        <v>47.07067496626381</v>
      </c>
      <c r="D20" s="43">
        <f>+TS!G26/TS!D26%</f>
        <v>47.197899192875525</v>
      </c>
      <c r="E20" s="43">
        <f>+TS!H26/TS!E26%</f>
        <v>47.119043047822565</v>
      </c>
      <c r="F20" s="43">
        <f>+TS!L26/TS!I26%</f>
        <v>45.98047030689518</v>
      </c>
      <c r="G20" s="43">
        <f>+TS!M26/TS!J26%</f>
        <v>50.70905180270497</v>
      </c>
      <c r="H20" s="43">
        <f>+TS!N26/TS!K26%</f>
        <v>47.65175039620672</v>
      </c>
      <c r="I20" s="43">
        <f>+TS!R26/TS!O26%</f>
        <v>45.77171389498457</v>
      </c>
      <c r="J20" s="43">
        <f>+TS!S26/TS!P26%</f>
        <v>47.02447257383966</v>
      </c>
      <c r="K20" s="43">
        <f>+TS!T26/TS!Q26%</f>
        <v>46.37944586362744</v>
      </c>
    </row>
    <row r="21" spans="1:11" ht="15.75">
      <c r="A21" s="51">
        <v>2015</v>
      </c>
      <c r="B21" s="159">
        <v>7</v>
      </c>
      <c r="C21" s="43">
        <f>+TS!F27/TS!C27%</f>
        <v>60.39691477381382</v>
      </c>
      <c r="D21" s="43">
        <f>+TS!G27/TS!D27%</f>
        <v>64.1150700161474</v>
      </c>
      <c r="E21" s="43">
        <f>+TS!H27/TS!E27%</f>
        <v>61.85087326582527</v>
      </c>
      <c r="F21" s="43">
        <f>+TS!L27/TS!I27%</f>
        <v>62.44274809160305</v>
      </c>
      <c r="G21" s="43">
        <f>+TS!M27/TS!J27%</f>
        <v>68.03728336327006</v>
      </c>
      <c r="H21" s="43">
        <f>+TS!N27/TS!K27%</f>
        <v>64.55112607255896</v>
      </c>
      <c r="I21" s="43">
        <f>+TS!R27/TS!O27%</f>
        <v>66.49701261341005</v>
      </c>
      <c r="J21" s="43">
        <f>+TS!S27/TS!P27%</f>
        <v>67.06373140329714</v>
      </c>
      <c r="K21" s="43">
        <f>+TS!T27/TS!Q27%</f>
        <v>66.76237320844413</v>
      </c>
    </row>
    <row r="22" spans="1:11" ht="15.75">
      <c r="A22" s="50">
        <v>2016</v>
      </c>
      <c r="B22" s="159">
        <v>8</v>
      </c>
      <c r="C22" s="43">
        <f>+TS!F28/TS!C28%</f>
        <v>39.09186191415438</v>
      </c>
      <c r="D22" s="43">
        <f>+TS!G28/TS!D28%</f>
        <v>45.162712666422905</v>
      </c>
      <c r="E22" s="43">
        <f>+TS!H28/TS!E28%</f>
        <v>41.30954033434515</v>
      </c>
      <c r="F22" s="43">
        <f>+TS!L28/TS!I28%</f>
        <v>40.47931188846965</v>
      </c>
      <c r="G22" s="43">
        <f>+TS!M28/TS!J28%</f>
        <v>45.611471861471856</v>
      </c>
      <c r="H22" s="43">
        <f>+TS!N28/TS!K28%</f>
        <v>42.38553684125899</v>
      </c>
      <c r="I22" s="43">
        <f>+TS!R28/TS!O28%</f>
        <v>39.613490800044424</v>
      </c>
      <c r="J22" s="43">
        <f>+TS!S28/TS!P28%</f>
        <v>43.34042367201842</v>
      </c>
      <c r="K22" s="43">
        <f>+TS!T28/TS!Q28%</f>
        <v>41.06134184580206</v>
      </c>
    </row>
    <row r="25" spans="1:11" ht="15.75">
      <c r="A25" s="213" t="s">
        <v>108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</row>
    <row r="26" spans="1:11" ht="14.25">
      <c r="A26" s="214" t="s">
        <v>26</v>
      </c>
      <c r="B26" s="210" t="s">
        <v>98</v>
      </c>
      <c r="C26" s="193" t="s">
        <v>23</v>
      </c>
      <c r="D26" s="194"/>
      <c r="E26" s="201"/>
      <c r="F26" s="193" t="s">
        <v>24</v>
      </c>
      <c r="G26" s="194"/>
      <c r="H26" s="201"/>
      <c r="I26" s="193" t="s">
        <v>25</v>
      </c>
      <c r="J26" s="194"/>
      <c r="K26" s="201"/>
    </row>
    <row r="27" spans="1:11" ht="14.25">
      <c r="A27" s="215"/>
      <c r="B27" s="215"/>
      <c r="C27" s="37" t="s">
        <v>5</v>
      </c>
      <c r="D27" s="37" t="s">
        <v>6</v>
      </c>
      <c r="E27" s="37" t="s">
        <v>7</v>
      </c>
      <c r="F27" s="37" t="s">
        <v>5</v>
      </c>
      <c r="G27" s="37" t="s">
        <v>6</v>
      </c>
      <c r="H27" s="37" t="s">
        <v>7</v>
      </c>
      <c r="I27" s="37" t="s">
        <v>5</v>
      </c>
      <c r="J27" s="37" t="s">
        <v>6</v>
      </c>
      <c r="K27" s="37" t="s">
        <v>7</v>
      </c>
    </row>
    <row r="28" spans="1:11" ht="15.75">
      <c r="A28" s="50">
        <v>2010</v>
      </c>
      <c r="B28" s="159">
        <f>+B4+B16</f>
        <v>39</v>
      </c>
      <c r="C28" s="43">
        <f>+TS!F37/TS!C37%</f>
        <v>72.67022484572112</v>
      </c>
      <c r="D28" s="43">
        <f>+TS!G37/TS!D37%</f>
        <v>80.7921474334534</v>
      </c>
      <c r="E28" s="43">
        <f>+TS!H37/TS!E37%</f>
        <v>76.19865111710925</v>
      </c>
      <c r="F28" s="43">
        <f>+TS!L37/TS!I37%</f>
        <v>66.67669714537998</v>
      </c>
      <c r="G28" s="43">
        <f>+TS!M37/TS!J37%</f>
        <v>75.32230725769172</v>
      </c>
      <c r="H28" s="43">
        <f>+TS!N37/TS!K37%</f>
        <v>70.30695859994958</v>
      </c>
      <c r="I28" s="43">
        <f>+TS!R37/TS!O37%</f>
        <v>64.79473795978585</v>
      </c>
      <c r="J28" s="43">
        <f>+TS!S37/TS!P37%</f>
        <v>68.8997177145921</v>
      </c>
      <c r="K28" s="43">
        <f>+TS!T37/TS!Q37%</f>
        <v>66.49736398006306</v>
      </c>
    </row>
    <row r="29" spans="1:11" ht="15.75">
      <c r="A29" s="51">
        <v>2011</v>
      </c>
      <c r="B29" s="159">
        <f aca="true" t="shared" si="0" ref="B29:B34">+B5+B17</f>
        <v>39</v>
      </c>
      <c r="C29" s="43">
        <f>+TS!F38/TS!C38%</f>
        <v>70.2921325508089</v>
      </c>
      <c r="D29" s="43">
        <f>+TS!G38/TS!D38%</f>
        <v>80.4205375402835</v>
      </c>
      <c r="E29" s="43">
        <f>+TS!H38/TS!E38%</f>
        <v>74.76857984556061</v>
      </c>
      <c r="F29" s="43">
        <f>+TS!L38/TS!I38%</f>
        <v>62.89106643022305</v>
      </c>
      <c r="G29" s="43">
        <f>+TS!M38/TS!J38%</f>
        <v>76.13933402355036</v>
      </c>
      <c r="H29" s="43">
        <f>+TS!N38/TS!K38%</f>
        <v>68.53418297746792</v>
      </c>
      <c r="I29" s="43">
        <f>+TS!R38/TS!O38%</f>
        <v>64.01885224377976</v>
      </c>
      <c r="J29" s="43">
        <f>+TS!S38/TS!P38%</f>
        <v>68.43223453994766</v>
      </c>
      <c r="K29" s="43">
        <f>+TS!T38/TS!Q38%</f>
        <v>65.89067042894669</v>
      </c>
    </row>
    <row r="30" spans="1:11" ht="15.75">
      <c r="A30" s="50">
        <v>2012</v>
      </c>
      <c r="B30" s="159">
        <f t="shared" si="0"/>
        <v>40</v>
      </c>
      <c r="C30" s="43">
        <f>+TS!F39/TS!C39%</f>
        <v>75.31217099035267</v>
      </c>
      <c r="D30" s="43">
        <f>+TS!G39/TS!D39%</f>
        <v>83.59944954135045</v>
      </c>
      <c r="E30" s="43">
        <f>+TS!H39/TS!E39%</f>
        <v>78.93277893277893</v>
      </c>
      <c r="F30" s="43">
        <f>+TS!L39/TS!I39%</f>
        <v>70.52602276835164</v>
      </c>
      <c r="G30" s="43">
        <f>+TS!M39/TS!J39%</f>
        <v>80.76097531042541</v>
      </c>
      <c r="H30" s="43">
        <f>+TS!N39/TS!K39%</f>
        <v>74.93267107985515</v>
      </c>
      <c r="I30" s="43">
        <f>+TS!R39/TS!O39%</f>
        <v>66.06170465899736</v>
      </c>
      <c r="J30" s="43">
        <f>+TS!S39/TS!P39%</f>
        <v>71.42546662428067</v>
      </c>
      <c r="K30" s="43">
        <f>+TS!T39/TS!Q39%</f>
        <v>68.36590650975802</v>
      </c>
    </row>
    <row r="31" spans="1:11" ht="15.75">
      <c r="A31" s="51">
        <v>2013</v>
      </c>
      <c r="B31" s="159">
        <f t="shared" si="0"/>
        <v>41</v>
      </c>
      <c r="C31" s="43">
        <f>+TS!F40/TS!C40%</f>
        <v>75.58375313129737</v>
      </c>
      <c r="D31" s="43">
        <f>+TS!G40/TS!D40%</f>
        <v>82.61998310663874</v>
      </c>
      <c r="E31" s="43">
        <f>+TS!H40/TS!E40%</f>
        <v>78.67868570647464</v>
      </c>
      <c r="F31" s="43">
        <f>+TS!L40/TS!I40%</f>
        <v>71.88679721060153</v>
      </c>
      <c r="G31" s="43">
        <f>+TS!M40/TS!J40%</f>
        <v>77.92805184007015</v>
      </c>
      <c r="H31" s="43">
        <f>+TS!N40/TS!K40%</f>
        <v>74.54655306570969</v>
      </c>
      <c r="I31" s="43">
        <f>+TS!R40/TS!O40%</f>
        <v>66.07826848017011</v>
      </c>
      <c r="J31" s="43">
        <f>+TS!S40/TS!P40%</f>
        <v>71.08065232565518</v>
      </c>
      <c r="K31" s="43">
        <f>+TS!T40/TS!Q40%</f>
        <v>68.29588571274255</v>
      </c>
    </row>
    <row r="32" spans="1:11" ht="15.75">
      <c r="A32" s="50">
        <v>2014</v>
      </c>
      <c r="B32" s="159">
        <f t="shared" si="0"/>
        <v>41</v>
      </c>
      <c r="C32" s="43">
        <f>+TS!F41/TS!C41%</f>
        <v>75.71336683760823</v>
      </c>
      <c r="D32" s="43">
        <f>+TS!G41/TS!D41%</f>
        <v>83.45541123958034</v>
      </c>
      <c r="E32" s="43">
        <f>+TS!H41/TS!E41%</f>
        <v>79.16270445655238</v>
      </c>
      <c r="F32" s="43">
        <f>+TS!L41/TS!I41%</f>
        <v>71.33488207067732</v>
      </c>
      <c r="G32" s="43">
        <f>+TS!M41/TS!J41%</f>
        <v>79.77707536183664</v>
      </c>
      <c r="H32" s="43">
        <f>+TS!N41/TS!K41%</f>
        <v>75.10039628861662</v>
      </c>
      <c r="I32" s="43">
        <f>+TS!R41/TS!O41%</f>
        <v>66.75609893712438</v>
      </c>
      <c r="J32" s="43">
        <f>+TS!S41/TS!P41%</f>
        <v>72.63744593767335</v>
      </c>
      <c r="K32" s="43">
        <f>+TS!T41/TS!Q41%</f>
        <v>69.47897947394691</v>
      </c>
    </row>
    <row r="33" spans="1:11" ht="15.75">
      <c r="A33" s="51">
        <v>2015</v>
      </c>
      <c r="B33" s="159">
        <f t="shared" si="0"/>
        <v>41</v>
      </c>
      <c r="C33" s="43">
        <f>+TS!F42/TS!C42%</f>
        <v>76.04873900681535</v>
      </c>
      <c r="D33" s="43">
        <f>+TS!G42/TS!D42%</f>
        <v>84.00842039287748</v>
      </c>
      <c r="E33" s="43">
        <f>+TS!H42/TS!E42%</f>
        <v>79.64256253202784</v>
      </c>
      <c r="F33" s="43">
        <f>+TS!L42/TS!I42%</f>
        <v>72.69555978641122</v>
      </c>
      <c r="G33" s="43">
        <f>+TS!M42/TS!J42%</f>
        <v>79.65671427039639</v>
      </c>
      <c r="H33" s="43">
        <f>+TS!N42/TS!K42%</f>
        <v>75.85621760849529</v>
      </c>
      <c r="I33" s="43">
        <f>+TS!R42/TS!O42%</f>
        <v>65.56511085541443</v>
      </c>
      <c r="J33" s="43">
        <f>+TS!S42/TS!P42%</f>
        <v>71.71458194044747</v>
      </c>
      <c r="K33" s="43">
        <f>+TS!T42/TS!Q42%</f>
        <v>68.54145679859982</v>
      </c>
    </row>
    <row r="34" spans="1:11" ht="15.75">
      <c r="A34" s="50">
        <v>2016</v>
      </c>
      <c r="B34" s="159">
        <f t="shared" si="0"/>
        <v>49</v>
      </c>
      <c r="C34" s="43">
        <f>+TS!F43/TS!C43%</f>
        <v>72.30598475273227</v>
      </c>
      <c r="D34" s="43">
        <f>+TS!G43/TS!D43%</f>
        <v>80.76093830135785</v>
      </c>
      <c r="E34" s="43">
        <f>+TS!H43/TS!E43%</f>
        <v>76.08593680285364</v>
      </c>
      <c r="F34" s="43">
        <f>+TS!L43/TS!I43%</f>
        <v>69.2839508286414</v>
      </c>
      <c r="G34" s="43">
        <f>+TS!M43/TS!J43%</f>
        <v>76.76068425964085</v>
      </c>
      <c r="H34" s="43">
        <f>+TS!N43/TS!K43%</f>
        <v>72.64961958231322</v>
      </c>
      <c r="I34" s="43">
        <f>+TS!R43/TS!O43%</f>
        <v>63.12328318102122</v>
      </c>
      <c r="J34" s="43">
        <f>+TS!S43/TS!P43%</f>
        <v>69.42794585260236</v>
      </c>
      <c r="K34" s="43">
        <f>+TS!T43/TS!Q43%</f>
        <v>66.00395715737396</v>
      </c>
    </row>
  </sheetData>
  <sheetProtection/>
  <mergeCells count="18">
    <mergeCell ref="F26:H26"/>
    <mergeCell ref="A2:A3"/>
    <mergeCell ref="C2:E2"/>
    <mergeCell ref="F2:H2"/>
    <mergeCell ref="I2:K2"/>
    <mergeCell ref="B2:B3"/>
    <mergeCell ref="B14:B15"/>
    <mergeCell ref="I26:K26"/>
    <mergeCell ref="A1:K1"/>
    <mergeCell ref="A13:K13"/>
    <mergeCell ref="A14:A15"/>
    <mergeCell ref="C14:E14"/>
    <mergeCell ref="F14:H14"/>
    <mergeCell ref="B26:B27"/>
    <mergeCell ref="I14:K14"/>
    <mergeCell ref="A25:K25"/>
    <mergeCell ref="A26:A27"/>
    <mergeCell ref="C26:E26"/>
  </mergeCells>
  <printOptions/>
  <pageMargins left="0.7086614173228347" right="0.7086614173228347" top="0.7086614173228347" bottom="0.6299212598425197" header="0.31496062992125984" footer="0.31496062992125984"/>
  <pageSetup firstPageNumber="76" useFirstPageNumber="1" horizontalDpi="600" verticalDpi="600" orientation="landscape" paperSize="9" scale="98" r:id="rId1"/>
  <headerFooter alignWithMargins="0">
    <oddFooter>&amp;CXII-2016&amp;R&amp;P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chanderkant</dc:creator>
  <cp:keywords/>
  <dc:description/>
  <cp:lastModifiedBy>Jaishree</cp:lastModifiedBy>
  <cp:lastPrinted>2019-06-10T11:20:10Z</cp:lastPrinted>
  <dcterms:created xsi:type="dcterms:W3CDTF">2006-10-19T05:00:05Z</dcterms:created>
  <dcterms:modified xsi:type="dcterms:W3CDTF">2019-06-11T07:19:50Z</dcterms:modified>
  <cp:category/>
  <cp:version/>
  <cp:contentType/>
  <cp:contentStatus/>
</cp:coreProperties>
</file>