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50" windowWidth="9735" windowHeight="8445" tabRatio="595" activeTab="0"/>
  </bookViews>
  <sheets>
    <sheet name="Board" sheetId="1" r:id="rId1"/>
    <sheet name="OpenBoard" sheetId="2" r:id="rId2"/>
    <sheet name="TS" sheetId="3" r:id="rId3"/>
    <sheet name="Pass % TS" sheetId="4" r:id="rId4"/>
  </sheets>
  <definedNames>
    <definedName name="_xlnm.Print_Area" localSheetId="0">'Board'!$A$1:$FZ$56</definedName>
    <definedName name="_xlnm.Print_Area" localSheetId="1">'OpenBoard'!$A$1:$CH$18</definedName>
    <definedName name="_xlnm.Print_Titles" localSheetId="0">'Board'!$A:$B,'Board'!$1:$7</definedName>
    <definedName name="_xlnm.Print_Titles" localSheetId="1">'OpenBoard'!$A:$B</definedName>
    <definedName name="_xlnm.Print_Titles" localSheetId="2">'TS'!$A:$B</definedName>
  </definedNames>
  <calcPr fullCalcOnLoad="1"/>
</workbook>
</file>

<file path=xl/sharedStrings.xml><?xml version="1.0" encoding="utf-8"?>
<sst xmlns="http://schemas.openxmlformats.org/spreadsheetml/2006/main" count="661" uniqueCount="105">
  <si>
    <t>Name of the Board</t>
  </si>
  <si>
    <t>Number of Students</t>
  </si>
  <si>
    <t>Appeared</t>
  </si>
  <si>
    <t>Passed</t>
  </si>
  <si>
    <t>Pass %age</t>
  </si>
  <si>
    <t>Boys</t>
  </si>
  <si>
    <t>Girls</t>
  </si>
  <si>
    <t>Total</t>
  </si>
  <si>
    <t xml:space="preserve">Note: In Open Schooling System, candidates are not classified as 'Regular' or 'Private". </t>
  </si>
  <si>
    <t>Central Boards</t>
  </si>
  <si>
    <t>State Boards</t>
  </si>
  <si>
    <r>
      <t>Bihar</t>
    </r>
    <r>
      <rPr>
        <sz val="11"/>
        <rFont val="Cambria"/>
        <family val="1"/>
      </rPr>
      <t xml:space="preserve"> State Madrasa Education Board</t>
    </r>
  </si>
  <si>
    <r>
      <t xml:space="preserve">Chhatisgarh </t>
    </r>
    <r>
      <rPr>
        <sz val="11"/>
        <rFont val="Cambria"/>
        <family val="1"/>
      </rPr>
      <t>Sanskriti Vidya Mandalam</t>
    </r>
  </si>
  <si>
    <r>
      <t xml:space="preserve">Board of Secondary Education, </t>
    </r>
    <r>
      <rPr>
        <b/>
        <sz val="11"/>
        <rFont val="Cambria"/>
        <family val="1"/>
      </rPr>
      <t>Andhra Pradesh</t>
    </r>
  </si>
  <si>
    <r>
      <t xml:space="preserve">Board of Secondary Education </t>
    </r>
    <r>
      <rPr>
        <b/>
        <sz val="11"/>
        <rFont val="Cambria"/>
        <family val="1"/>
      </rPr>
      <t>Assam</t>
    </r>
  </si>
  <si>
    <r>
      <t>Bihar</t>
    </r>
    <r>
      <rPr>
        <sz val="11"/>
        <rFont val="Cambria"/>
        <family val="1"/>
      </rPr>
      <t xml:space="preserve"> School Education Board</t>
    </r>
  </si>
  <si>
    <r>
      <t>Chhattisgarh</t>
    </r>
    <r>
      <rPr>
        <sz val="11"/>
        <rFont val="Cambria"/>
        <family val="1"/>
      </rPr>
      <t xml:space="preserve"> Board of Secondary Education</t>
    </r>
  </si>
  <si>
    <r>
      <t>Goa</t>
    </r>
    <r>
      <rPr>
        <sz val="11"/>
        <rFont val="Cambria"/>
        <family val="1"/>
      </rPr>
      <t xml:space="preserve"> Board of Secondary &amp; Higher Secondary Education</t>
    </r>
  </si>
  <si>
    <r>
      <t>Gujarat</t>
    </r>
    <r>
      <rPr>
        <sz val="11"/>
        <rFont val="Cambria"/>
        <family val="1"/>
      </rPr>
      <t xml:space="preserve"> Secondary &amp; Higher Secondary Education Board</t>
    </r>
  </si>
  <si>
    <r>
      <t xml:space="preserve">Board of School Education </t>
    </r>
    <r>
      <rPr>
        <b/>
        <sz val="11"/>
        <rFont val="Cambria"/>
        <family val="1"/>
      </rPr>
      <t>Haryana</t>
    </r>
  </si>
  <si>
    <r>
      <t>H.P.</t>
    </r>
    <r>
      <rPr>
        <sz val="11"/>
        <rFont val="Cambria"/>
        <family val="1"/>
      </rPr>
      <t xml:space="preserve"> Board of School Education</t>
    </r>
  </si>
  <si>
    <r>
      <t xml:space="preserve">J.K </t>
    </r>
    <r>
      <rPr>
        <sz val="11"/>
        <rFont val="Cambria"/>
        <family val="1"/>
      </rPr>
      <t>State Board of School Education</t>
    </r>
  </si>
  <si>
    <r>
      <t>Jharkhand</t>
    </r>
    <r>
      <rPr>
        <sz val="11"/>
        <rFont val="Cambria"/>
        <family val="1"/>
      </rPr>
      <t xml:space="preserve"> Academic Council, Ranchi</t>
    </r>
  </si>
  <si>
    <r>
      <t>Karnataka</t>
    </r>
    <r>
      <rPr>
        <sz val="11"/>
        <rFont val="Cambria"/>
        <family val="1"/>
      </rPr>
      <t xml:space="preserve"> Secondary Education Examination Board</t>
    </r>
  </si>
  <si>
    <r>
      <t xml:space="preserve">Kerala </t>
    </r>
    <r>
      <rPr>
        <sz val="11"/>
        <rFont val="Cambria"/>
        <family val="1"/>
      </rPr>
      <t>Board of Public Examination</t>
    </r>
  </si>
  <si>
    <r>
      <t>Maharasthra</t>
    </r>
    <r>
      <rPr>
        <sz val="11"/>
        <rFont val="Cambria"/>
        <family val="1"/>
      </rPr>
      <t xml:space="preserve"> State Board of Secondary &amp; Higher Secondary Education</t>
    </r>
  </si>
  <si>
    <r>
      <t xml:space="preserve">Board of Secondary Education, </t>
    </r>
    <r>
      <rPr>
        <b/>
        <sz val="11"/>
        <rFont val="Cambria"/>
        <family val="1"/>
      </rPr>
      <t>Madhya Pradesh</t>
    </r>
  </si>
  <si>
    <r>
      <t xml:space="preserve">Board of Secondary Education, </t>
    </r>
    <r>
      <rPr>
        <b/>
        <sz val="11"/>
        <rFont val="Cambria"/>
        <family val="1"/>
      </rPr>
      <t>Manipur</t>
    </r>
  </si>
  <si>
    <r>
      <t>Mizoram</t>
    </r>
    <r>
      <rPr>
        <sz val="11"/>
        <rFont val="Cambria"/>
        <family val="1"/>
      </rPr>
      <t xml:space="preserve"> Board of School Education</t>
    </r>
  </si>
  <si>
    <r>
      <t>Nagaland</t>
    </r>
    <r>
      <rPr>
        <sz val="11"/>
        <rFont val="Cambria"/>
        <family val="1"/>
      </rPr>
      <t xml:space="preserve"> Board of School Education</t>
    </r>
  </si>
  <si>
    <r>
      <t xml:space="preserve">Board of Secondary Education, </t>
    </r>
    <r>
      <rPr>
        <b/>
        <sz val="11"/>
        <rFont val="Cambria"/>
        <family val="1"/>
      </rPr>
      <t>Orissa</t>
    </r>
  </si>
  <si>
    <r>
      <t>Punjab</t>
    </r>
    <r>
      <rPr>
        <sz val="11"/>
        <rFont val="Cambria"/>
        <family val="1"/>
      </rPr>
      <t xml:space="preserve"> School Education Board</t>
    </r>
  </si>
  <si>
    <r>
      <t xml:space="preserve">Board of Secondary Education, </t>
    </r>
    <r>
      <rPr>
        <b/>
        <sz val="11"/>
        <rFont val="Cambria"/>
        <family val="1"/>
      </rPr>
      <t>Rajasthan</t>
    </r>
  </si>
  <si>
    <r>
      <t>Tamil Nadu</t>
    </r>
    <r>
      <rPr>
        <sz val="11"/>
        <rFont val="Cambria"/>
        <family val="1"/>
      </rPr>
      <t xml:space="preserve"> State Board of School Examination</t>
    </r>
  </si>
  <si>
    <r>
      <t xml:space="preserve">Tripura </t>
    </r>
    <r>
      <rPr>
        <sz val="11"/>
        <rFont val="Cambria"/>
        <family val="1"/>
      </rPr>
      <t>Board of Secondary Education</t>
    </r>
  </si>
  <si>
    <r>
      <t xml:space="preserve">UP </t>
    </r>
    <r>
      <rPr>
        <sz val="11"/>
        <rFont val="Cambria"/>
        <family val="1"/>
      </rPr>
      <t>Board of High School &amp; Intermediate Education</t>
    </r>
  </si>
  <si>
    <r>
      <t>Uttranchal</t>
    </r>
    <r>
      <rPr>
        <sz val="11"/>
        <rFont val="Cambria"/>
        <family val="1"/>
      </rPr>
      <t xml:space="preserve"> Shiksha Evm Pariksha Parishad</t>
    </r>
  </si>
  <si>
    <r>
      <t>West Bengal</t>
    </r>
    <r>
      <rPr>
        <sz val="11"/>
        <rFont val="Cambria"/>
        <family val="1"/>
      </rPr>
      <t xml:space="preserve"> Board of Secondary Education</t>
    </r>
  </si>
  <si>
    <r>
      <t xml:space="preserve">National Institute of Open Schooling, </t>
    </r>
    <r>
      <rPr>
        <b/>
        <sz val="11"/>
        <rFont val="Cambria"/>
        <family val="1"/>
      </rPr>
      <t>New Delhi</t>
    </r>
  </si>
  <si>
    <r>
      <t>M.P.</t>
    </r>
    <r>
      <rPr>
        <sz val="11"/>
        <rFont val="Cambria"/>
        <family val="1"/>
      </rPr>
      <t xml:space="preserve"> State Open School Board of Secondary Education, Bhopal </t>
    </r>
  </si>
  <si>
    <r>
      <t>Rajasthan State Open School,</t>
    </r>
    <r>
      <rPr>
        <b/>
        <sz val="11"/>
        <rFont val="Cambria"/>
        <family val="1"/>
      </rPr>
      <t xml:space="preserve"> Rajasthan</t>
    </r>
  </si>
  <si>
    <t>Table 1- Annual and Supplementary Examination Results - Regular Students - All Categories</t>
  </si>
  <si>
    <t>Table 2 -Annual and Supplementary Examination Results - Private Students - All Categories</t>
  </si>
  <si>
    <t>Table 4 -Annual and Supplementary Examination Results - Regular SC Students</t>
  </si>
  <si>
    <t>Table 5 -Annual and Supplementary Examination Results - Private SC Students</t>
  </si>
  <si>
    <t>Table 7 -Annual and Supplementary Examination Results - Regular ST Students</t>
  </si>
  <si>
    <t>Table 8 -Annual and Supplementary Examination Results - Private ST Students</t>
  </si>
  <si>
    <t>Sl. No.</t>
  </si>
  <si>
    <t>Annual</t>
  </si>
  <si>
    <t>Supplementary</t>
  </si>
  <si>
    <t>Central Board of Secondary Education, New Delhi</t>
  </si>
  <si>
    <t>Council for the Indian School Certificate Examinations, New Delhi</t>
  </si>
  <si>
    <t>All Categories</t>
  </si>
  <si>
    <t>Scheduled Caste</t>
  </si>
  <si>
    <t>Scheduled Tribe</t>
  </si>
  <si>
    <t>Year</t>
  </si>
  <si>
    <t># The Institute is mainly meant for Women, Boys enrolment pertains to wards of the staff.</t>
  </si>
  <si>
    <r>
      <t xml:space="preserve">Banasthali Vidyapith,  </t>
    </r>
    <r>
      <rPr>
        <b/>
        <sz val="11"/>
        <rFont val="Cambria"/>
        <family val="1"/>
      </rPr>
      <t>Rajasthan #</t>
    </r>
  </si>
  <si>
    <r>
      <t>A.P</t>
    </r>
    <r>
      <rPr>
        <sz val="11"/>
        <rFont val="Cambria"/>
        <family val="1"/>
      </rPr>
      <t>. Open School Society, Hyderabad</t>
    </r>
  </si>
  <si>
    <r>
      <t>Chhattisgarh</t>
    </r>
    <r>
      <rPr>
        <sz val="11"/>
        <rFont val="Cambria"/>
        <family val="1"/>
      </rPr>
      <t xml:space="preserve"> State Open School</t>
    </r>
  </si>
  <si>
    <t>Percentage of Students passed with marks</t>
  </si>
  <si>
    <t>Total Number of Students Passed</t>
  </si>
  <si>
    <t>Out of the Total, Number of Students passed with marks</t>
  </si>
  <si>
    <t>Table 13 -Annual and Supplementary Examination Results - Percentage-wise-All Categories</t>
  </si>
  <si>
    <t>Table 14 -Annual and Supplementary Examination Results - Percentage-wise-SC Students</t>
  </si>
  <si>
    <t>Table 15 -Annual and Supplementary Examination Results - Percentage-wise-ST Students</t>
  </si>
  <si>
    <t>75% &amp; above</t>
  </si>
  <si>
    <t>60% to below 75%</t>
  </si>
  <si>
    <t>Other Backward Classes</t>
  </si>
  <si>
    <t>Table 21 -High School Open Examination Board Results - Percentage-wise-OBC Students</t>
  </si>
  <si>
    <t>Assam Sanskrit Board</t>
  </si>
  <si>
    <r>
      <t>Meghalaya</t>
    </r>
    <r>
      <rPr>
        <sz val="11"/>
        <color indexed="8"/>
        <rFont val="Cambria"/>
        <family val="1"/>
      </rPr>
      <t xml:space="preserve"> Board of School Education</t>
    </r>
  </si>
  <si>
    <r>
      <t xml:space="preserve">Telangana </t>
    </r>
    <r>
      <rPr>
        <sz val="11"/>
        <rFont val="Cambria"/>
        <family val="1"/>
      </rPr>
      <t>Open School Society, Hyderabad</t>
    </r>
  </si>
  <si>
    <r>
      <t xml:space="preserve">Uttarakhand </t>
    </r>
    <r>
      <rPr>
        <sz val="11"/>
        <rFont val="Cambria"/>
        <family val="1"/>
      </rPr>
      <t>Sanskriti Shiksha   Parishad</t>
    </r>
  </si>
  <si>
    <r>
      <t xml:space="preserve">U.P. </t>
    </r>
    <r>
      <rPr>
        <sz val="11"/>
        <rFont val="Cambria"/>
        <family val="1"/>
      </rPr>
      <t>Dayalbag Education Institute</t>
    </r>
  </si>
  <si>
    <r>
      <rPr>
        <b/>
        <sz val="11"/>
        <rFont val="Cambria"/>
        <family val="1"/>
      </rPr>
      <t>Madhya Pradesh</t>
    </r>
    <r>
      <rPr>
        <sz val="11"/>
        <rFont val="Cambria"/>
        <family val="1"/>
      </rPr>
      <t xml:space="preserve"> Maharshi Patanjali Sanskrit Sansthan</t>
    </r>
  </si>
  <si>
    <r>
      <rPr>
        <b/>
        <sz val="11"/>
        <rFont val="Cambria"/>
        <family val="1"/>
      </rPr>
      <t xml:space="preserve">New Delhi </t>
    </r>
    <r>
      <rPr>
        <sz val="11"/>
        <rFont val="Cambria"/>
        <family val="1"/>
      </rPr>
      <t>Rashtriya Sanskrit Sansthan</t>
    </r>
  </si>
  <si>
    <r>
      <rPr>
        <sz val="11"/>
        <rFont val="Cambria"/>
        <family val="1"/>
      </rPr>
      <t>Director of Government Examination</t>
    </r>
    <r>
      <rPr>
        <b/>
        <sz val="11"/>
        <rFont val="Cambria"/>
        <family val="1"/>
      </rPr>
      <t xml:space="preserve"> Telangana</t>
    </r>
  </si>
  <si>
    <r>
      <t>U.P.</t>
    </r>
    <r>
      <rPr>
        <sz val="11"/>
        <rFont val="Cambria"/>
        <family val="1"/>
      </rPr>
      <t>Madhymik Shiksha Parisad, Sanskriti Shiksha Parishad</t>
    </r>
  </si>
  <si>
    <t>Black cell indicates that either system does not exist or information is not available.</t>
  </si>
  <si>
    <t># Data repeated from previous year   2013, MHRD</t>
  </si>
  <si>
    <t>Rabindra Mukta Vidyalaya (West Bengal State Open School), Kolkata#</t>
  </si>
  <si>
    <t>## Data repeated from previous year   2013, MHRD</t>
  </si>
  <si>
    <t>No. of Boards</t>
  </si>
  <si>
    <t>RESULTS OF SECONDARY EXAMINATION- 2016</t>
  </si>
  <si>
    <r>
      <rPr>
        <b/>
        <sz val="11"/>
        <rFont val="Cambria"/>
        <family val="1"/>
      </rPr>
      <t>Aligarh Muslim University</t>
    </r>
    <r>
      <rPr>
        <sz val="11"/>
        <rFont val="Cambria"/>
        <family val="1"/>
      </rPr>
      <t xml:space="preserve"> Board of Secondary &amp; Sr.Secondary Education</t>
    </r>
  </si>
  <si>
    <t>Statement 1 - SECONDARY EXAMINATION RESULTS DURING 2010 - 2016 (CENTRAL/STATE BOARDS)</t>
  </si>
  <si>
    <t>Statement 2 -SECONDARY EXAMINATION RESULTS DURING 2010 - 2016 (OPEN BOARDS)</t>
  </si>
  <si>
    <t>Statement 3 - SECONDARY EXAMINATION RESULTS DURING 2010 - 2016 (ALL)</t>
  </si>
  <si>
    <t>Statement 4 - SECONDARY EXAMINATION RESULTS DURING 2010 - 2016 (CENTRAL/STATE BOARDS)</t>
  </si>
  <si>
    <t>Statement 5 -SECONDARY EXAMINATION RESULTS DURING 2010 - 2016 (OPEN BOARDS)</t>
  </si>
  <si>
    <t>Statement 6 - SECONDARY EXAMINATION RESULTS DURING 2010 - 2016 (ALL)</t>
  </si>
  <si>
    <t>## Data repeated from previous year 2015, MHRD</t>
  </si>
  <si>
    <t>Table 3 -Annual and Supplementary Examination Results - Regular and Private Students - All Categories</t>
  </si>
  <si>
    <t>Table 6 -Annual and Supplementary Examination Results - Regular and Private SC Students</t>
  </si>
  <si>
    <t>Table 9 -Annual and Supplementary Examination Results - Regular and Private ST Students</t>
  </si>
  <si>
    <t>Board of Madrasah Education, West Bengal, Kolkata ** ##</t>
  </si>
  <si>
    <t>Chhattisgarh Madarsa Board</t>
  </si>
  <si>
    <t>State Madrassa Education Board, Assam</t>
  </si>
  <si>
    <t>** Figures pertains to 'ALIM' and 'High Madrasah' as both are equivalent to Secondary Examination.</t>
  </si>
  <si>
    <t>Annual &amp; Supplementary</t>
  </si>
  <si>
    <t>Table 17 - Open Board</t>
  </si>
  <si>
    <t>Table 18 -Open Board - Percentage-wise-All Categories</t>
  </si>
  <si>
    <t>Table 19 - Open Board  - Percentage-wise-SC Students</t>
  </si>
  <si>
    <t>Table 20 - Open Board - Percentage-wise-ST Students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</si>
</sst>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sz val="14"/>
      <name val="Arial Narrow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sz val="11"/>
      <color indexed="60"/>
      <name val="Cambria"/>
      <family val="1"/>
    </font>
    <font>
      <i/>
      <sz val="9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name val="Cambria"/>
      <family val="1"/>
    </font>
    <font>
      <i/>
      <sz val="9"/>
      <color indexed="8"/>
      <name val="Cambria"/>
      <family val="1"/>
    </font>
    <font>
      <b/>
      <sz val="12"/>
      <name val="Cambria"/>
      <family val="1"/>
    </font>
    <font>
      <b/>
      <sz val="11"/>
      <color indexed="8"/>
      <name val="Cambria"/>
      <family val="1"/>
    </font>
    <font>
      <b/>
      <sz val="13"/>
      <name val="Cambria"/>
      <family val="1"/>
    </font>
    <font>
      <sz val="11"/>
      <color indexed="8"/>
      <name val="Cambria"/>
      <family val="1"/>
    </font>
    <font>
      <sz val="9"/>
      <name val="Cambria"/>
      <family val="1"/>
    </font>
    <font>
      <b/>
      <sz val="9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mbria"/>
      <family val="1"/>
    </font>
    <font>
      <sz val="11"/>
      <color indexed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 tint="0.24998000264167786"/>
      <name val="Cambria"/>
      <family val="1"/>
    </font>
    <font>
      <sz val="11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 quotePrefix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 quotePrefix="1">
      <alignment vertical="center"/>
      <protection locked="0"/>
    </xf>
    <xf numFmtId="0" fontId="5" fillId="0" borderId="1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/>
    </xf>
    <xf numFmtId="172" fontId="9" fillId="33" borderId="1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72" fontId="5" fillId="0" borderId="12" xfId="0" applyNumberFormat="1" applyFont="1" applyBorder="1" applyAlignment="1">
      <alignment vertical="center"/>
    </xf>
    <xf numFmtId="172" fontId="5" fillId="0" borderId="1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1" fontId="5" fillId="0" borderId="10" xfId="0" applyNumberFormat="1" applyFont="1" applyFill="1" applyBorder="1" applyAlignment="1" quotePrefix="1">
      <alignment horizontal="righ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 applyProtection="1">
      <alignment vertical="center"/>
      <protection locked="0"/>
    </xf>
    <xf numFmtId="0" fontId="57" fillId="0" borderId="10" xfId="0" applyFont="1" applyFill="1" applyBorder="1" applyAlignment="1" applyProtection="1">
      <alignment vertical="center"/>
      <protection/>
    </xf>
    <xf numFmtId="0" fontId="57" fillId="0" borderId="10" xfId="0" applyFont="1" applyFill="1" applyBorder="1" applyAlignment="1">
      <alignment vertical="center"/>
    </xf>
    <xf numFmtId="172" fontId="57" fillId="0" borderId="10" xfId="0" applyNumberFormat="1" applyFont="1" applyFill="1" applyBorder="1" applyAlignment="1">
      <alignment vertical="center"/>
    </xf>
    <xf numFmtId="0" fontId="57" fillId="0" borderId="10" xfId="0" applyFont="1" applyFill="1" applyBorder="1" applyAlignment="1">
      <alignment horizontal="right" vertical="center"/>
    </xf>
    <xf numFmtId="0" fontId="57" fillId="0" borderId="10" xfId="0" applyFont="1" applyFill="1" applyBorder="1" applyAlignment="1" applyProtection="1">
      <alignment horizontal="right" vertical="center"/>
      <protection locked="0"/>
    </xf>
    <xf numFmtId="172" fontId="57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 applyProtection="1" quotePrefix="1">
      <alignment horizontal="right" vertical="center"/>
      <protection locked="0"/>
    </xf>
    <xf numFmtId="0" fontId="5" fillId="35" borderId="10" xfId="0" applyFont="1" applyFill="1" applyBorder="1" applyAlignment="1">
      <alignment vertical="center"/>
    </xf>
    <xf numFmtId="172" fontId="58" fillId="0" borderId="10" xfId="0" applyNumberFormat="1" applyFont="1" applyBorder="1" applyAlignment="1">
      <alignment vertical="center"/>
    </xf>
    <xf numFmtId="172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" fillId="36" borderId="10" xfId="0" applyFont="1" applyFill="1" applyBorder="1" applyAlignment="1" applyProtection="1">
      <alignment horizontal="right" vertical="center"/>
      <protection locked="0"/>
    </xf>
    <xf numFmtId="0" fontId="5" fillId="36" borderId="10" xfId="0" applyFont="1" applyFill="1" applyBorder="1" applyAlignment="1">
      <alignment horizontal="right" vertical="center"/>
    </xf>
    <xf numFmtId="0" fontId="5" fillId="36" borderId="10" xfId="0" applyFont="1" applyFill="1" applyBorder="1" applyAlignment="1" applyProtection="1" quotePrefix="1">
      <alignment horizontal="right" vertical="center"/>
      <protection locked="0"/>
    </xf>
    <xf numFmtId="0" fontId="5" fillId="36" borderId="10" xfId="0" applyFont="1" applyFill="1" applyBorder="1" applyAlignment="1" applyProtection="1">
      <alignment vertical="center"/>
      <protection locked="0"/>
    </xf>
    <xf numFmtId="172" fontId="5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172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 quotePrefix="1">
      <alignment horizontal="right" vertical="center"/>
    </xf>
    <xf numFmtId="0" fontId="5" fillId="36" borderId="10" xfId="0" applyFont="1" applyFill="1" applyBorder="1" applyAlignment="1" applyProtection="1">
      <alignment vertical="center"/>
      <protection/>
    </xf>
    <xf numFmtId="0" fontId="57" fillId="36" borderId="10" xfId="0" applyFont="1" applyFill="1" applyBorder="1" applyAlignment="1" applyProtection="1" quotePrefix="1">
      <alignment horizontal="right" vertical="center"/>
      <protection locked="0"/>
    </xf>
    <xf numFmtId="0" fontId="57" fillId="36" borderId="10" xfId="0" applyFont="1" applyFill="1" applyBorder="1" applyAlignment="1" quotePrefix="1">
      <alignment horizontal="right" vertical="center"/>
    </xf>
    <xf numFmtId="0" fontId="57" fillId="36" borderId="10" xfId="0" applyFont="1" applyFill="1" applyBorder="1" applyAlignment="1">
      <alignment horizontal="right" vertical="center"/>
    </xf>
    <xf numFmtId="172" fontId="57" fillId="36" borderId="10" xfId="0" applyNumberFormat="1" applyFont="1" applyFill="1" applyBorder="1" applyAlignment="1">
      <alignment vertical="center"/>
    </xf>
    <xf numFmtId="3" fontId="5" fillId="36" borderId="10" xfId="0" applyNumberFormat="1" applyFont="1" applyFill="1" applyBorder="1" applyAlignment="1" applyProtection="1" quotePrefix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 quotePrefix="1">
      <alignment horizontal="right" vertical="center"/>
      <protection locked="0"/>
    </xf>
    <xf numFmtId="0" fontId="5" fillId="0" borderId="11" xfId="0" applyFont="1" applyFill="1" applyBorder="1" applyAlignment="1" applyProtection="1" quotePrefix="1">
      <alignment horizontal="right" vertical="center"/>
      <protection locked="0"/>
    </xf>
    <xf numFmtId="0" fontId="59" fillId="36" borderId="10" xfId="0" applyFont="1" applyFill="1" applyBorder="1" applyAlignment="1" applyProtection="1" quotePrefix="1">
      <alignment horizontal="right" vertical="center"/>
      <protection locked="0"/>
    </xf>
    <xf numFmtId="0" fontId="59" fillId="36" borderId="10" xfId="0" applyFont="1" applyFill="1" applyBorder="1" applyAlignment="1" quotePrefix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vertical="center"/>
    </xf>
    <xf numFmtId="172" fontId="5" fillId="0" borderId="12" xfId="0" applyNumberFormat="1" applyFont="1" applyBorder="1" applyAlignment="1">
      <alignment vertical="center"/>
    </xf>
    <xf numFmtId="0" fontId="37" fillId="0" borderId="18" xfId="0" applyFont="1" applyFill="1" applyBorder="1" applyAlignment="1">
      <alignment horizontal="left" vertical="center"/>
    </xf>
    <xf numFmtId="0" fontId="37" fillId="0" borderId="18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72" fontId="38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35" borderId="0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5" fillId="37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/>
    </xf>
    <xf numFmtId="0" fontId="5" fillId="38" borderId="10" xfId="0" applyFont="1" applyFill="1" applyBorder="1" applyAlignment="1">
      <alignment horizontal="right" vertical="center"/>
    </xf>
    <xf numFmtId="0" fontId="5" fillId="37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37" borderId="10" xfId="0" applyFont="1" applyFill="1" applyBorder="1" applyAlignment="1" quotePrefix="1">
      <alignment horizontal="right" vertical="center"/>
    </xf>
    <xf numFmtId="0" fontId="5" fillId="36" borderId="12" xfId="0" applyFont="1" applyFill="1" applyBorder="1" applyAlignment="1" applyProtection="1">
      <alignment horizontal="right" vertical="center"/>
      <protection locked="0"/>
    </xf>
    <xf numFmtId="0" fontId="5" fillId="36" borderId="12" xfId="0" applyFont="1" applyFill="1" applyBorder="1" applyAlignment="1" quotePrefix="1">
      <alignment horizontal="right" vertical="center"/>
    </xf>
    <xf numFmtId="172" fontId="5" fillId="37" borderId="12" xfId="0" applyNumberFormat="1" applyFont="1" applyFill="1" applyBorder="1" applyAlignment="1">
      <alignment horizontal="right" vertical="center"/>
    </xf>
    <xf numFmtId="1" fontId="5" fillId="36" borderId="10" xfId="0" applyNumberFormat="1" applyFont="1" applyFill="1" applyBorder="1" applyAlignment="1" quotePrefix="1">
      <alignment horizontal="center" vertical="center"/>
    </xf>
    <xf numFmtId="1" fontId="5" fillId="36" borderId="10" xfId="0" applyNumberFormat="1" applyFont="1" applyFill="1" applyBorder="1" applyAlignment="1" applyProtection="1" quotePrefix="1">
      <alignment horizontal="center" vertical="center"/>
      <protection locked="0"/>
    </xf>
    <xf numFmtId="0" fontId="5" fillId="36" borderId="12" xfId="0" applyFont="1" applyFill="1" applyBorder="1" applyAlignment="1">
      <alignment horizontal="right" vertical="center"/>
    </xf>
    <xf numFmtId="172" fontId="5" fillId="37" borderId="10" xfId="0" applyNumberFormat="1" applyFont="1" applyFill="1" applyBorder="1" applyAlignment="1">
      <alignment vertical="center"/>
    </xf>
    <xf numFmtId="2" fontId="5" fillId="36" borderId="10" xfId="0" applyNumberFormat="1" applyFont="1" applyFill="1" applyBorder="1" applyAlignment="1" quotePrefix="1">
      <alignment horizontal="right" vertical="center"/>
    </xf>
    <xf numFmtId="0" fontId="5" fillId="36" borderId="12" xfId="0" applyFont="1" applyFill="1" applyBorder="1" applyAlignment="1" applyProtection="1" quotePrefix="1">
      <alignment horizontal="right" vertical="center"/>
      <protection locked="0"/>
    </xf>
    <xf numFmtId="2" fontId="5" fillId="36" borderId="10" xfId="0" applyNumberFormat="1" applyFont="1" applyFill="1" applyBorder="1" applyAlignment="1">
      <alignment horizontal="right" vertical="center"/>
    </xf>
    <xf numFmtId="172" fontId="5" fillId="36" borderId="12" xfId="0" applyNumberFormat="1" applyFont="1" applyFill="1" applyBorder="1" applyAlignment="1">
      <alignment horizontal="right" vertical="center"/>
    </xf>
    <xf numFmtId="0" fontId="5" fillId="36" borderId="10" xfId="0" applyFont="1" applyFill="1" applyBorder="1" applyAlignment="1">
      <alignment vertical="center"/>
    </xf>
    <xf numFmtId="172" fontId="5" fillId="36" borderId="10" xfId="0" applyNumberFormat="1" applyFont="1" applyFill="1" applyBorder="1" applyAlignment="1">
      <alignment vertical="center"/>
    </xf>
    <xf numFmtId="172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right" vertical="center"/>
    </xf>
    <xf numFmtId="172" fontId="5" fillId="36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72" fontId="5" fillId="33" borderId="10" xfId="0" applyNumberFormat="1" applyFont="1" applyFill="1" applyBorder="1" applyAlignment="1">
      <alignment horizontal="center" vertical="center"/>
    </xf>
    <xf numFmtId="3" fontId="5" fillId="36" borderId="10" xfId="0" applyNumberFormat="1" applyFont="1" applyFill="1" applyBorder="1" applyAlignment="1" applyProtection="1" quotePrefix="1">
      <alignment horizontal="right" vertical="center"/>
      <protection locked="0"/>
    </xf>
    <xf numFmtId="0" fontId="5" fillId="36" borderId="10" xfId="0" applyFont="1" applyFill="1" applyBorder="1" applyAlignment="1" quotePrefix="1">
      <alignment horizontal="right" vertical="center"/>
    </xf>
    <xf numFmtId="0" fontId="5" fillId="37" borderId="10" xfId="0" applyFont="1" applyFill="1" applyBorder="1" applyAlignment="1" applyProtection="1" quotePrefix="1">
      <alignment horizontal="right" vertical="center"/>
      <protection locked="0"/>
    </xf>
    <xf numFmtId="0" fontId="5" fillId="37" borderId="10" xfId="0" applyFont="1" applyFill="1" applyBorder="1" applyAlignment="1">
      <alignment vertical="center"/>
    </xf>
    <xf numFmtId="0" fontId="5" fillId="36" borderId="10" xfId="0" applyFont="1" applyFill="1" applyBorder="1" applyAlignment="1" applyProtection="1" quotePrefix="1">
      <alignment horizontal="right" vertical="center"/>
      <protection locked="0"/>
    </xf>
    <xf numFmtId="173" fontId="57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37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6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3.421875" style="34" customWidth="1"/>
    <col min="2" max="2" width="37.7109375" style="21" customWidth="1"/>
    <col min="3" max="3" width="10.57421875" style="21" bestFit="1" customWidth="1"/>
    <col min="4" max="4" width="9.421875" style="21" customWidth="1"/>
    <col min="5" max="5" width="11.00390625" style="21" customWidth="1"/>
    <col min="6" max="7" width="9.57421875" style="21" customWidth="1"/>
    <col min="8" max="8" width="10.7109375" style="21" customWidth="1"/>
    <col min="9" max="9" width="8.140625" style="21" customWidth="1"/>
    <col min="10" max="10" width="8.421875" style="21" customWidth="1"/>
    <col min="11" max="11" width="8.00390625" style="21" customWidth="1"/>
    <col min="12" max="12" width="9.28125" style="21" customWidth="1"/>
    <col min="13" max="13" width="9.8515625" style="21" customWidth="1"/>
    <col min="14" max="14" width="10.8515625" style="21" customWidth="1"/>
    <col min="15" max="15" width="7.28125" style="21" customWidth="1"/>
    <col min="16" max="16" width="8.140625" style="21" customWidth="1"/>
    <col min="17" max="17" width="6.8515625" style="21" customWidth="1"/>
    <col min="18" max="18" width="9.421875" style="21" customWidth="1"/>
    <col min="19" max="19" width="7.8515625" style="21" customWidth="1"/>
    <col min="20" max="20" width="8.421875" style="21" customWidth="1"/>
    <col min="21" max="21" width="7.8515625" style="21" customWidth="1"/>
    <col min="22" max="22" width="8.421875" style="21" customWidth="1"/>
    <col min="23" max="23" width="8.8515625" style="21" customWidth="1"/>
    <col min="24" max="24" width="8.140625" style="21" customWidth="1"/>
    <col min="25" max="25" width="7.7109375" style="21" customWidth="1"/>
    <col min="26" max="26" width="8.140625" style="21" customWidth="1"/>
    <col min="27" max="27" width="8.421875" style="21" customWidth="1"/>
    <col min="28" max="28" width="8.140625" style="21" customWidth="1"/>
    <col min="29" max="29" width="8.00390625" style="21" customWidth="1"/>
    <col min="30" max="32" width="6.8515625" style="21" customWidth="1"/>
    <col min="33" max="33" width="11.140625" style="21" customWidth="1"/>
    <col min="34" max="34" width="9.57421875" style="21" customWidth="1"/>
    <col min="35" max="35" width="11.00390625" style="21" customWidth="1"/>
    <col min="36" max="36" width="9.8515625" style="21" customWidth="1"/>
    <col min="37" max="37" width="9.7109375" style="21" customWidth="1"/>
    <col min="38" max="38" width="10.57421875" style="21" customWidth="1"/>
    <col min="39" max="39" width="8.00390625" style="21" customWidth="1"/>
    <col min="40" max="40" width="8.140625" style="21" customWidth="1"/>
    <col min="41" max="41" width="7.8515625" style="21" customWidth="1"/>
    <col min="42" max="42" width="9.421875" style="21" customWidth="1"/>
    <col min="43" max="43" width="9.140625" style="21" customWidth="1"/>
    <col min="44" max="44" width="10.57421875" style="21" customWidth="1"/>
    <col min="45" max="45" width="6.57421875" style="21" customWidth="1"/>
    <col min="46" max="46" width="6.140625" style="21" customWidth="1"/>
    <col min="47" max="47" width="6.57421875" style="21" customWidth="1"/>
    <col min="48" max="48" width="9.421875" style="21" customWidth="1"/>
    <col min="49" max="49" width="9.57421875" style="21" customWidth="1"/>
    <col min="50" max="50" width="9.28125" style="21" customWidth="1"/>
    <col min="51" max="51" width="9.00390625" style="21" customWidth="1"/>
    <col min="52" max="52" width="9.140625" style="21" customWidth="1"/>
    <col min="53" max="53" width="9.7109375" style="21" customWidth="1"/>
    <col min="54" max="55" width="7.00390625" style="21" customWidth="1"/>
    <col min="56" max="56" width="7.7109375" style="21" customWidth="1"/>
    <col min="57" max="57" width="9.421875" style="21" customWidth="1"/>
    <col min="58" max="58" width="9.140625" style="21" customWidth="1"/>
    <col min="59" max="59" width="10.140625" style="21" customWidth="1"/>
    <col min="60" max="60" width="6.140625" style="21" customWidth="1"/>
    <col min="61" max="61" width="6.7109375" style="21" customWidth="1"/>
    <col min="62" max="62" width="6.8515625" style="21" customWidth="1"/>
    <col min="63" max="63" width="8.8515625" style="21" customWidth="1"/>
    <col min="64" max="64" width="9.57421875" style="21" customWidth="1"/>
    <col min="65" max="65" width="9.28125" style="21" customWidth="1"/>
    <col min="66" max="66" width="9.00390625" style="21" customWidth="1"/>
    <col min="67" max="67" width="9.140625" style="21" customWidth="1"/>
    <col min="68" max="68" width="8.8515625" style="21" customWidth="1"/>
    <col min="69" max="69" width="7.57421875" style="21" customWidth="1"/>
    <col min="70" max="70" width="7.7109375" style="21" customWidth="1"/>
    <col min="71" max="71" width="8.8515625" style="21" customWidth="1"/>
    <col min="72" max="72" width="9.421875" style="21" customWidth="1"/>
    <col min="73" max="73" width="7.8515625" style="21" customWidth="1"/>
    <col min="74" max="74" width="9.00390625" style="21" customWidth="1"/>
    <col min="75" max="75" width="7.00390625" style="21" customWidth="1"/>
    <col min="76" max="77" width="6.8515625" style="21" customWidth="1"/>
    <col min="78" max="78" width="9.8515625" style="21" customWidth="1"/>
    <col min="79" max="79" width="9.57421875" style="21" customWidth="1"/>
    <col min="80" max="80" width="9.28125" style="21" customWidth="1"/>
    <col min="81" max="81" width="9.00390625" style="21" customWidth="1"/>
    <col min="82" max="82" width="9.140625" style="21" customWidth="1"/>
    <col min="83" max="83" width="9.421875" style="21" customWidth="1"/>
    <col min="84" max="84" width="7.57421875" style="21" customWidth="1"/>
    <col min="85" max="85" width="7.7109375" style="21" customWidth="1"/>
    <col min="86" max="86" width="8.140625" style="21" customWidth="1"/>
    <col min="87" max="87" width="9.7109375" style="21" customWidth="1"/>
    <col min="88" max="88" width="9.140625" style="21" customWidth="1"/>
    <col min="89" max="89" width="11.140625" style="21" customWidth="1"/>
    <col min="90" max="90" width="6.7109375" style="21" customWidth="1"/>
    <col min="91" max="92" width="6.8515625" style="21" customWidth="1"/>
    <col min="93" max="93" width="8.8515625" style="21" customWidth="1"/>
    <col min="94" max="94" width="9.57421875" style="21" customWidth="1"/>
    <col min="95" max="95" width="9.28125" style="21" customWidth="1"/>
    <col min="96" max="97" width="8.421875" style="21" customWidth="1"/>
    <col min="98" max="98" width="8.8515625" style="21" customWidth="1"/>
    <col min="99" max="99" width="7.57421875" style="21" customWidth="1"/>
    <col min="100" max="100" width="6.7109375" style="21" customWidth="1"/>
    <col min="101" max="101" width="7.7109375" style="21" customWidth="1"/>
    <col min="102" max="102" width="9.421875" style="21" customWidth="1"/>
    <col min="103" max="103" width="9.140625" style="21" customWidth="1"/>
    <col min="104" max="104" width="9.7109375" style="21" customWidth="1"/>
    <col min="105" max="107" width="6.8515625" style="21" customWidth="1"/>
    <col min="108" max="108" width="8.8515625" style="21" customWidth="1"/>
    <col min="109" max="109" width="9.57421875" style="21" customWidth="1"/>
    <col min="110" max="110" width="9.28125" style="21" customWidth="1"/>
    <col min="111" max="111" width="9.00390625" style="21" customWidth="1"/>
    <col min="112" max="112" width="9.140625" style="21" customWidth="1"/>
    <col min="113" max="113" width="8.8515625" style="21" customWidth="1"/>
    <col min="114" max="114" width="7.57421875" style="21" customWidth="1"/>
    <col min="115" max="115" width="7.7109375" style="21" customWidth="1"/>
    <col min="116" max="116" width="8.8515625" style="21" customWidth="1"/>
    <col min="117" max="117" width="8.140625" style="21" customWidth="1"/>
    <col min="118" max="118" width="7.7109375" style="21" customWidth="1"/>
    <col min="119" max="119" width="10.28125" style="21" customWidth="1"/>
    <col min="120" max="122" width="6.8515625" style="21" customWidth="1"/>
    <col min="123" max="123" width="8.8515625" style="21" customWidth="1"/>
    <col min="124" max="124" width="9.57421875" style="21" customWidth="1"/>
    <col min="125" max="125" width="9.28125" style="21" customWidth="1"/>
    <col min="126" max="126" width="9.00390625" style="21" customWidth="1"/>
    <col min="127" max="127" width="9.140625" style="21" customWidth="1"/>
    <col min="128" max="128" width="8.8515625" style="21" customWidth="1"/>
    <col min="129" max="129" width="7.57421875" style="21" customWidth="1"/>
    <col min="130" max="130" width="7.7109375" style="21" customWidth="1"/>
    <col min="131" max="131" width="7.28125" style="21" customWidth="1"/>
    <col min="132" max="132" width="8.57421875" style="21" customWidth="1"/>
    <col min="133" max="133" width="9.140625" style="21" customWidth="1"/>
    <col min="134" max="134" width="8.28125" style="21" customWidth="1"/>
    <col min="135" max="137" width="6.8515625" style="21" customWidth="1"/>
    <col min="138" max="139" width="9.57421875" style="21" customWidth="1"/>
    <col min="140" max="140" width="11.00390625" style="21" customWidth="1"/>
    <col min="141" max="141" width="8.7109375" style="21" customWidth="1"/>
    <col min="142" max="142" width="9.7109375" style="21" customWidth="1"/>
    <col min="143" max="143" width="9.57421875" style="21" customWidth="1"/>
    <col min="144" max="144" width="10.28125" style="21" customWidth="1"/>
    <col min="145" max="145" width="10.00390625" style="21" customWidth="1"/>
    <col min="146" max="146" width="10.7109375" style="21" customWidth="1"/>
    <col min="147" max="152" width="8.140625" style="21" customWidth="1"/>
    <col min="153" max="155" width="9.57421875" style="21" customWidth="1"/>
    <col min="156" max="157" width="8.7109375" style="21" customWidth="1"/>
    <col min="158" max="158" width="9.57421875" style="21" customWidth="1"/>
    <col min="159" max="160" width="8.7109375" style="21" customWidth="1"/>
    <col min="161" max="161" width="9.57421875" style="21" customWidth="1"/>
    <col min="162" max="164" width="8.140625" style="21" customWidth="1"/>
    <col min="165" max="165" width="5.7109375" style="21" customWidth="1"/>
    <col min="166" max="166" width="6.421875" style="21" customWidth="1"/>
    <col min="167" max="167" width="5.57421875" style="21" customWidth="1"/>
    <col min="168" max="170" width="9.57421875" style="21" customWidth="1"/>
    <col min="171" max="172" width="8.7109375" style="21" customWidth="1"/>
    <col min="173" max="173" width="9.57421875" style="21" customWidth="1"/>
    <col min="174" max="175" width="8.7109375" style="21" customWidth="1"/>
    <col min="176" max="176" width="9.57421875" style="21" customWidth="1"/>
    <col min="177" max="177" width="7.28125" style="21" customWidth="1"/>
    <col min="178" max="178" width="7.00390625" style="21" customWidth="1"/>
    <col min="179" max="179" width="6.8515625" style="21" customWidth="1"/>
    <col min="180" max="180" width="7.140625" style="21" customWidth="1"/>
    <col min="181" max="181" width="6.7109375" style="21" customWidth="1"/>
    <col min="182" max="182" width="7.421875" style="21" customWidth="1"/>
    <col min="183" max="16384" width="9.140625" style="21" customWidth="1"/>
  </cols>
  <sheetData>
    <row r="1" spans="1:170" ht="21.75" customHeight="1">
      <c r="A1" s="21"/>
      <c r="B1" s="22"/>
      <c r="C1" s="44" t="s">
        <v>84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90" t="str">
        <f>C1</f>
        <v>RESULTS OF SECONDARY EXAMINATION- 2016</v>
      </c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 t="str">
        <f>R1</f>
        <v>RESULTS OF SECONDARY EXAMINATION- 2016</v>
      </c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 t="str">
        <f>AG1</f>
        <v>RESULTS OF SECONDARY EXAMINATION- 2016</v>
      </c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 t="str">
        <f>AV1</f>
        <v>RESULTS OF SECONDARY EXAMINATION- 2016</v>
      </c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 t="str">
        <f>BK1</f>
        <v>RESULTS OF SECONDARY EXAMINATION- 2016</v>
      </c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 t="str">
        <f>AG1</f>
        <v>RESULTS OF SECONDARY EXAMINATION- 2016</v>
      </c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 t="str">
        <f>CO1</f>
        <v>RESULTS OF SECONDARY EXAMINATION- 2016</v>
      </c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 t="str">
        <f>DD1</f>
        <v>RESULTS OF SECONDARY EXAMINATION- 2016</v>
      </c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44" t="str">
        <f>C1</f>
        <v>RESULTS OF SECONDARY EXAMINATION- 2016</v>
      </c>
      <c r="EI1" s="44"/>
      <c r="EJ1" s="44"/>
      <c r="EW1" s="44" t="str">
        <f>C1</f>
        <v>RESULTS OF SECONDARY EXAMINATION- 2016</v>
      </c>
      <c r="EX1" s="44"/>
      <c r="EY1" s="44"/>
      <c r="FL1" s="44" t="str">
        <f>C1</f>
        <v>RESULTS OF SECONDARY EXAMINATION- 2016</v>
      </c>
      <c r="FM1" s="44"/>
      <c r="FN1" s="44"/>
    </row>
    <row r="2" spans="2:182" s="23" customFormat="1" ht="18" customHeight="1">
      <c r="B2" s="24"/>
      <c r="C2" s="189" t="s">
        <v>41</v>
      </c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 t="s">
        <v>42</v>
      </c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 t="s">
        <v>93</v>
      </c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 t="s">
        <v>43</v>
      </c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 t="s">
        <v>44</v>
      </c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 t="s">
        <v>94</v>
      </c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 t="s">
        <v>45</v>
      </c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 t="s">
        <v>46</v>
      </c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 t="s">
        <v>95</v>
      </c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49" t="s">
        <v>63</v>
      </c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200" t="s">
        <v>64</v>
      </c>
      <c r="EX2" s="200"/>
      <c r="EY2" s="200"/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 t="s">
        <v>65</v>
      </c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</row>
    <row r="3" spans="1:182" ht="18" customHeight="1">
      <c r="A3" s="184" t="s">
        <v>47</v>
      </c>
      <c r="B3" s="187" t="s">
        <v>0</v>
      </c>
      <c r="C3" s="187" t="s">
        <v>1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 t="s">
        <v>4</v>
      </c>
      <c r="P3" s="187"/>
      <c r="Q3" s="187"/>
      <c r="R3" s="187" t="s">
        <v>1</v>
      </c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 t="s">
        <v>4</v>
      </c>
      <c r="AE3" s="187"/>
      <c r="AF3" s="187"/>
      <c r="AG3" s="187" t="s">
        <v>1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 t="s">
        <v>4</v>
      </c>
      <c r="AT3" s="187"/>
      <c r="AU3" s="187"/>
      <c r="AV3" s="187" t="s">
        <v>1</v>
      </c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 t="s">
        <v>4</v>
      </c>
      <c r="BI3" s="187"/>
      <c r="BJ3" s="187"/>
      <c r="BK3" s="187" t="s">
        <v>1</v>
      </c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 t="s">
        <v>4</v>
      </c>
      <c r="BX3" s="187"/>
      <c r="BY3" s="187"/>
      <c r="BZ3" s="187" t="s">
        <v>1</v>
      </c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 t="s">
        <v>4</v>
      </c>
      <c r="CM3" s="187"/>
      <c r="CN3" s="187"/>
      <c r="CO3" s="187" t="s">
        <v>1</v>
      </c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 t="s">
        <v>4</v>
      </c>
      <c r="DB3" s="187"/>
      <c r="DC3" s="187"/>
      <c r="DD3" s="187" t="s">
        <v>1</v>
      </c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 t="s">
        <v>4</v>
      </c>
      <c r="DQ3" s="187"/>
      <c r="DR3" s="187"/>
      <c r="DS3" s="187" t="s">
        <v>1</v>
      </c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 t="s">
        <v>4</v>
      </c>
      <c r="EF3" s="187"/>
      <c r="EG3" s="187"/>
      <c r="EH3" s="191" t="s">
        <v>61</v>
      </c>
      <c r="EI3" s="192"/>
      <c r="EJ3" s="193"/>
      <c r="EK3" s="191" t="s">
        <v>62</v>
      </c>
      <c r="EL3" s="192"/>
      <c r="EM3" s="192"/>
      <c r="EN3" s="192"/>
      <c r="EO3" s="192"/>
      <c r="EP3" s="193"/>
      <c r="EQ3" s="191" t="s">
        <v>60</v>
      </c>
      <c r="ER3" s="192"/>
      <c r="ES3" s="192"/>
      <c r="ET3" s="192"/>
      <c r="EU3" s="192"/>
      <c r="EV3" s="193"/>
      <c r="EW3" s="191" t="s">
        <v>61</v>
      </c>
      <c r="EX3" s="192"/>
      <c r="EY3" s="193"/>
      <c r="EZ3" s="191" t="s">
        <v>62</v>
      </c>
      <c r="FA3" s="192"/>
      <c r="FB3" s="192"/>
      <c r="FC3" s="192"/>
      <c r="FD3" s="192"/>
      <c r="FE3" s="193"/>
      <c r="FF3" s="191" t="s">
        <v>60</v>
      </c>
      <c r="FG3" s="192"/>
      <c r="FH3" s="192"/>
      <c r="FI3" s="192"/>
      <c r="FJ3" s="192"/>
      <c r="FK3" s="193"/>
      <c r="FL3" s="191" t="s">
        <v>61</v>
      </c>
      <c r="FM3" s="192"/>
      <c r="FN3" s="193"/>
      <c r="FO3" s="191" t="s">
        <v>62</v>
      </c>
      <c r="FP3" s="192"/>
      <c r="FQ3" s="192"/>
      <c r="FR3" s="192"/>
      <c r="FS3" s="192"/>
      <c r="FT3" s="193"/>
      <c r="FU3" s="191" t="s">
        <v>60</v>
      </c>
      <c r="FV3" s="192"/>
      <c r="FW3" s="192"/>
      <c r="FX3" s="192"/>
      <c r="FY3" s="192"/>
      <c r="FZ3" s="193"/>
    </row>
    <row r="4" spans="1:182" ht="18" customHeight="1">
      <c r="A4" s="184"/>
      <c r="B4" s="187"/>
      <c r="C4" s="187" t="s">
        <v>2</v>
      </c>
      <c r="D4" s="187"/>
      <c r="E4" s="187"/>
      <c r="F4" s="187" t="s">
        <v>3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 t="s">
        <v>2</v>
      </c>
      <c r="S4" s="187"/>
      <c r="T4" s="187"/>
      <c r="U4" s="187" t="s">
        <v>3</v>
      </c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 t="s">
        <v>2</v>
      </c>
      <c r="AH4" s="187"/>
      <c r="AI4" s="187"/>
      <c r="AJ4" s="187" t="s">
        <v>3</v>
      </c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 t="s">
        <v>2</v>
      </c>
      <c r="AW4" s="187"/>
      <c r="AX4" s="187"/>
      <c r="AY4" s="187" t="s">
        <v>3</v>
      </c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 t="s">
        <v>2</v>
      </c>
      <c r="BL4" s="187"/>
      <c r="BM4" s="187"/>
      <c r="BN4" s="187" t="s">
        <v>3</v>
      </c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 t="s">
        <v>2</v>
      </c>
      <c r="CA4" s="187"/>
      <c r="CB4" s="187"/>
      <c r="CC4" s="187" t="s">
        <v>3</v>
      </c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 t="s">
        <v>2</v>
      </c>
      <c r="CP4" s="187"/>
      <c r="CQ4" s="187"/>
      <c r="CR4" s="187" t="s">
        <v>3</v>
      </c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 t="s">
        <v>2</v>
      </c>
      <c r="DE4" s="187"/>
      <c r="DF4" s="187"/>
      <c r="DG4" s="187" t="s">
        <v>3</v>
      </c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 t="s">
        <v>2</v>
      </c>
      <c r="DT4" s="187"/>
      <c r="DU4" s="187"/>
      <c r="DV4" s="187" t="s">
        <v>3</v>
      </c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204"/>
      <c r="EI4" s="205"/>
      <c r="EJ4" s="206"/>
      <c r="EK4" s="194"/>
      <c r="EL4" s="195"/>
      <c r="EM4" s="195"/>
      <c r="EN4" s="195"/>
      <c r="EO4" s="195"/>
      <c r="EP4" s="196"/>
      <c r="EQ4" s="194"/>
      <c r="ER4" s="195"/>
      <c r="ES4" s="195"/>
      <c r="ET4" s="195"/>
      <c r="EU4" s="195"/>
      <c r="EV4" s="196"/>
      <c r="EW4" s="204"/>
      <c r="EX4" s="205"/>
      <c r="EY4" s="206"/>
      <c r="EZ4" s="194"/>
      <c r="FA4" s="195"/>
      <c r="FB4" s="195"/>
      <c r="FC4" s="195"/>
      <c r="FD4" s="195"/>
      <c r="FE4" s="196"/>
      <c r="FF4" s="194"/>
      <c r="FG4" s="195"/>
      <c r="FH4" s="195"/>
      <c r="FI4" s="195"/>
      <c r="FJ4" s="195"/>
      <c r="FK4" s="196"/>
      <c r="FL4" s="204"/>
      <c r="FM4" s="205"/>
      <c r="FN4" s="206"/>
      <c r="FO4" s="194"/>
      <c r="FP4" s="195"/>
      <c r="FQ4" s="195"/>
      <c r="FR4" s="195"/>
      <c r="FS4" s="195"/>
      <c r="FT4" s="196"/>
      <c r="FU4" s="194"/>
      <c r="FV4" s="195"/>
      <c r="FW4" s="195"/>
      <c r="FX4" s="195"/>
      <c r="FY4" s="195"/>
      <c r="FZ4" s="196"/>
    </row>
    <row r="5" spans="1:182" ht="14.25" customHeight="1">
      <c r="A5" s="184"/>
      <c r="B5" s="187"/>
      <c r="C5" s="187"/>
      <c r="D5" s="187"/>
      <c r="E5" s="187"/>
      <c r="F5" s="187" t="s">
        <v>48</v>
      </c>
      <c r="G5" s="187"/>
      <c r="H5" s="187"/>
      <c r="I5" s="187" t="s">
        <v>49</v>
      </c>
      <c r="J5" s="187"/>
      <c r="K5" s="187"/>
      <c r="L5" s="188" t="s">
        <v>100</v>
      </c>
      <c r="M5" s="187"/>
      <c r="N5" s="187"/>
      <c r="O5" s="187"/>
      <c r="P5" s="187"/>
      <c r="Q5" s="187"/>
      <c r="R5" s="187"/>
      <c r="S5" s="187"/>
      <c r="T5" s="187"/>
      <c r="U5" s="187" t="s">
        <v>48</v>
      </c>
      <c r="V5" s="187"/>
      <c r="W5" s="187"/>
      <c r="X5" s="187" t="s">
        <v>49</v>
      </c>
      <c r="Y5" s="187"/>
      <c r="Z5" s="187"/>
      <c r="AA5" s="188" t="s">
        <v>100</v>
      </c>
      <c r="AB5" s="187"/>
      <c r="AC5" s="187"/>
      <c r="AD5" s="187"/>
      <c r="AE5" s="187"/>
      <c r="AF5" s="187"/>
      <c r="AG5" s="187"/>
      <c r="AH5" s="187"/>
      <c r="AI5" s="187"/>
      <c r="AJ5" s="187" t="s">
        <v>48</v>
      </c>
      <c r="AK5" s="187"/>
      <c r="AL5" s="187"/>
      <c r="AM5" s="187" t="s">
        <v>49</v>
      </c>
      <c r="AN5" s="187"/>
      <c r="AO5" s="187"/>
      <c r="AP5" s="188" t="s">
        <v>100</v>
      </c>
      <c r="AQ5" s="187"/>
      <c r="AR5" s="187"/>
      <c r="AS5" s="187"/>
      <c r="AT5" s="187"/>
      <c r="AU5" s="187"/>
      <c r="AV5" s="187"/>
      <c r="AW5" s="187"/>
      <c r="AX5" s="187"/>
      <c r="AY5" s="187" t="s">
        <v>48</v>
      </c>
      <c r="AZ5" s="187"/>
      <c r="BA5" s="187"/>
      <c r="BB5" s="187" t="s">
        <v>49</v>
      </c>
      <c r="BC5" s="187"/>
      <c r="BD5" s="187"/>
      <c r="BE5" s="188" t="s">
        <v>100</v>
      </c>
      <c r="BF5" s="187"/>
      <c r="BG5" s="187"/>
      <c r="BH5" s="187"/>
      <c r="BI5" s="187"/>
      <c r="BJ5" s="187"/>
      <c r="BK5" s="187"/>
      <c r="BL5" s="187"/>
      <c r="BM5" s="187"/>
      <c r="BN5" s="187" t="s">
        <v>48</v>
      </c>
      <c r="BO5" s="187"/>
      <c r="BP5" s="187"/>
      <c r="BQ5" s="187" t="s">
        <v>49</v>
      </c>
      <c r="BR5" s="187"/>
      <c r="BS5" s="187"/>
      <c r="BT5" s="188" t="s">
        <v>100</v>
      </c>
      <c r="BU5" s="187"/>
      <c r="BV5" s="187"/>
      <c r="BW5" s="187"/>
      <c r="BX5" s="187"/>
      <c r="BY5" s="187"/>
      <c r="BZ5" s="187"/>
      <c r="CA5" s="187"/>
      <c r="CB5" s="187"/>
      <c r="CC5" s="187" t="s">
        <v>48</v>
      </c>
      <c r="CD5" s="187"/>
      <c r="CE5" s="187"/>
      <c r="CF5" s="187" t="s">
        <v>49</v>
      </c>
      <c r="CG5" s="187"/>
      <c r="CH5" s="187"/>
      <c r="CI5" s="188" t="s">
        <v>100</v>
      </c>
      <c r="CJ5" s="187"/>
      <c r="CK5" s="187"/>
      <c r="CL5" s="187"/>
      <c r="CM5" s="187"/>
      <c r="CN5" s="187"/>
      <c r="CO5" s="187"/>
      <c r="CP5" s="187"/>
      <c r="CQ5" s="187"/>
      <c r="CR5" s="187" t="s">
        <v>48</v>
      </c>
      <c r="CS5" s="187"/>
      <c r="CT5" s="187"/>
      <c r="CU5" s="187" t="s">
        <v>49</v>
      </c>
      <c r="CV5" s="187"/>
      <c r="CW5" s="187"/>
      <c r="CX5" s="188" t="s">
        <v>100</v>
      </c>
      <c r="CY5" s="187"/>
      <c r="CZ5" s="187"/>
      <c r="DA5" s="187"/>
      <c r="DB5" s="187"/>
      <c r="DC5" s="187"/>
      <c r="DD5" s="187"/>
      <c r="DE5" s="187"/>
      <c r="DF5" s="187"/>
      <c r="DG5" s="187" t="s">
        <v>48</v>
      </c>
      <c r="DH5" s="187"/>
      <c r="DI5" s="187"/>
      <c r="DJ5" s="187" t="s">
        <v>49</v>
      </c>
      <c r="DK5" s="187"/>
      <c r="DL5" s="187"/>
      <c r="DM5" s="188" t="s">
        <v>100</v>
      </c>
      <c r="DN5" s="187"/>
      <c r="DO5" s="187"/>
      <c r="DP5" s="187"/>
      <c r="DQ5" s="187"/>
      <c r="DR5" s="187"/>
      <c r="DS5" s="187"/>
      <c r="DT5" s="187"/>
      <c r="DU5" s="187"/>
      <c r="DV5" s="187" t="s">
        <v>48</v>
      </c>
      <c r="DW5" s="187"/>
      <c r="DX5" s="187"/>
      <c r="DY5" s="187" t="s">
        <v>49</v>
      </c>
      <c r="DZ5" s="187"/>
      <c r="EA5" s="187"/>
      <c r="EB5" s="188" t="s">
        <v>100</v>
      </c>
      <c r="EC5" s="187"/>
      <c r="ED5" s="187"/>
      <c r="EE5" s="187"/>
      <c r="EF5" s="187"/>
      <c r="EG5" s="187"/>
      <c r="EH5" s="194"/>
      <c r="EI5" s="195"/>
      <c r="EJ5" s="196"/>
      <c r="EK5" s="201" t="s">
        <v>66</v>
      </c>
      <c r="EL5" s="202"/>
      <c r="EM5" s="203"/>
      <c r="EN5" s="201" t="s">
        <v>67</v>
      </c>
      <c r="EO5" s="202"/>
      <c r="EP5" s="203"/>
      <c r="EQ5" s="201" t="s">
        <v>66</v>
      </c>
      <c r="ER5" s="202"/>
      <c r="ES5" s="203"/>
      <c r="ET5" s="201" t="s">
        <v>67</v>
      </c>
      <c r="EU5" s="202"/>
      <c r="EV5" s="203"/>
      <c r="EW5" s="194"/>
      <c r="EX5" s="195"/>
      <c r="EY5" s="196"/>
      <c r="EZ5" s="201" t="s">
        <v>66</v>
      </c>
      <c r="FA5" s="202"/>
      <c r="FB5" s="203"/>
      <c r="FC5" s="201" t="s">
        <v>67</v>
      </c>
      <c r="FD5" s="202"/>
      <c r="FE5" s="203"/>
      <c r="FF5" s="201" t="s">
        <v>66</v>
      </c>
      <c r="FG5" s="202"/>
      <c r="FH5" s="203"/>
      <c r="FI5" s="201" t="s">
        <v>67</v>
      </c>
      <c r="FJ5" s="202"/>
      <c r="FK5" s="203"/>
      <c r="FL5" s="194"/>
      <c r="FM5" s="195"/>
      <c r="FN5" s="196"/>
      <c r="FO5" s="201" t="s">
        <v>66</v>
      </c>
      <c r="FP5" s="202"/>
      <c r="FQ5" s="203"/>
      <c r="FR5" s="201" t="s">
        <v>67</v>
      </c>
      <c r="FS5" s="202"/>
      <c r="FT5" s="203"/>
      <c r="FU5" s="201" t="s">
        <v>66</v>
      </c>
      <c r="FV5" s="202"/>
      <c r="FW5" s="203"/>
      <c r="FX5" s="201" t="s">
        <v>67</v>
      </c>
      <c r="FY5" s="202"/>
      <c r="FZ5" s="203"/>
    </row>
    <row r="6" spans="1:182" ht="15.75" customHeight="1">
      <c r="A6" s="184"/>
      <c r="B6" s="187"/>
      <c r="C6" s="25" t="s">
        <v>5</v>
      </c>
      <c r="D6" s="25" t="s">
        <v>6</v>
      </c>
      <c r="E6" s="25" t="s">
        <v>7</v>
      </c>
      <c r="F6" s="25" t="s">
        <v>5</v>
      </c>
      <c r="G6" s="25" t="s">
        <v>6</v>
      </c>
      <c r="H6" s="25" t="s">
        <v>7</v>
      </c>
      <c r="I6" s="25" t="s">
        <v>5</v>
      </c>
      <c r="J6" s="25" t="s">
        <v>6</v>
      </c>
      <c r="K6" s="25" t="s">
        <v>7</v>
      </c>
      <c r="L6" s="25" t="s">
        <v>5</v>
      </c>
      <c r="M6" s="25" t="s">
        <v>6</v>
      </c>
      <c r="N6" s="25" t="s">
        <v>7</v>
      </c>
      <c r="O6" s="25" t="s">
        <v>5</v>
      </c>
      <c r="P6" s="25" t="s">
        <v>6</v>
      </c>
      <c r="Q6" s="25" t="s">
        <v>7</v>
      </c>
      <c r="R6" s="25" t="s">
        <v>5</v>
      </c>
      <c r="S6" s="25" t="s">
        <v>6</v>
      </c>
      <c r="T6" s="25" t="s">
        <v>7</v>
      </c>
      <c r="U6" s="25" t="s">
        <v>5</v>
      </c>
      <c r="V6" s="25" t="s">
        <v>6</v>
      </c>
      <c r="W6" s="25" t="s">
        <v>7</v>
      </c>
      <c r="X6" s="25" t="s">
        <v>5</v>
      </c>
      <c r="Y6" s="25" t="s">
        <v>6</v>
      </c>
      <c r="Z6" s="25" t="s">
        <v>7</v>
      </c>
      <c r="AA6" s="25" t="s">
        <v>5</v>
      </c>
      <c r="AB6" s="25" t="s">
        <v>6</v>
      </c>
      <c r="AC6" s="25" t="s">
        <v>7</v>
      </c>
      <c r="AD6" s="25" t="s">
        <v>5</v>
      </c>
      <c r="AE6" s="25" t="s">
        <v>6</v>
      </c>
      <c r="AF6" s="25" t="s">
        <v>7</v>
      </c>
      <c r="AG6" s="25" t="s">
        <v>5</v>
      </c>
      <c r="AH6" s="25" t="s">
        <v>6</v>
      </c>
      <c r="AI6" s="25" t="s">
        <v>7</v>
      </c>
      <c r="AJ6" s="25" t="s">
        <v>5</v>
      </c>
      <c r="AK6" s="25" t="s">
        <v>6</v>
      </c>
      <c r="AL6" s="25" t="s">
        <v>7</v>
      </c>
      <c r="AM6" s="25" t="s">
        <v>5</v>
      </c>
      <c r="AN6" s="25" t="s">
        <v>6</v>
      </c>
      <c r="AO6" s="25" t="s">
        <v>7</v>
      </c>
      <c r="AP6" s="25" t="s">
        <v>5</v>
      </c>
      <c r="AQ6" s="25" t="s">
        <v>6</v>
      </c>
      <c r="AR6" s="25" t="s">
        <v>7</v>
      </c>
      <c r="AS6" s="25" t="s">
        <v>5</v>
      </c>
      <c r="AT6" s="25" t="s">
        <v>6</v>
      </c>
      <c r="AU6" s="25" t="s">
        <v>7</v>
      </c>
      <c r="AV6" s="25" t="s">
        <v>5</v>
      </c>
      <c r="AW6" s="25" t="s">
        <v>6</v>
      </c>
      <c r="AX6" s="25" t="s">
        <v>7</v>
      </c>
      <c r="AY6" s="25" t="s">
        <v>5</v>
      </c>
      <c r="AZ6" s="25" t="s">
        <v>6</v>
      </c>
      <c r="BA6" s="25" t="s">
        <v>7</v>
      </c>
      <c r="BB6" s="25" t="s">
        <v>5</v>
      </c>
      <c r="BC6" s="25" t="s">
        <v>6</v>
      </c>
      <c r="BD6" s="25" t="s">
        <v>7</v>
      </c>
      <c r="BE6" s="25" t="s">
        <v>5</v>
      </c>
      <c r="BF6" s="25" t="s">
        <v>6</v>
      </c>
      <c r="BG6" s="25" t="s">
        <v>7</v>
      </c>
      <c r="BH6" s="25" t="s">
        <v>5</v>
      </c>
      <c r="BI6" s="25" t="s">
        <v>6</v>
      </c>
      <c r="BJ6" s="25" t="s">
        <v>7</v>
      </c>
      <c r="BK6" s="25" t="s">
        <v>5</v>
      </c>
      <c r="BL6" s="25" t="s">
        <v>6</v>
      </c>
      <c r="BM6" s="25" t="s">
        <v>7</v>
      </c>
      <c r="BN6" s="25" t="s">
        <v>5</v>
      </c>
      <c r="BO6" s="25" t="s">
        <v>6</v>
      </c>
      <c r="BP6" s="25" t="s">
        <v>7</v>
      </c>
      <c r="BQ6" s="25" t="s">
        <v>5</v>
      </c>
      <c r="BR6" s="25" t="s">
        <v>6</v>
      </c>
      <c r="BS6" s="25" t="s">
        <v>7</v>
      </c>
      <c r="BT6" s="25" t="s">
        <v>5</v>
      </c>
      <c r="BU6" s="25" t="s">
        <v>6</v>
      </c>
      <c r="BV6" s="25" t="s">
        <v>7</v>
      </c>
      <c r="BW6" s="25" t="s">
        <v>5</v>
      </c>
      <c r="BX6" s="25" t="s">
        <v>6</v>
      </c>
      <c r="BY6" s="25" t="s">
        <v>7</v>
      </c>
      <c r="BZ6" s="25" t="s">
        <v>5</v>
      </c>
      <c r="CA6" s="25" t="s">
        <v>6</v>
      </c>
      <c r="CB6" s="25" t="s">
        <v>7</v>
      </c>
      <c r="CC6" s="25" t="s">
        <v>5</v>
      </c>
      <c r="CD6" s="25" t="s">
        <v>6</v>
      </c>
      <c r="CE6" s="25" t="s">
        <v>7</v>
      </c>
      <c r="CF6" s="25" t="s">
        <v>5</v>
      </c>
      <c r="CG6" s="25" t="s">
        <v>6</v>
      </c>
      <c r="CH6" s="25" t="s">
        <v>7</v>
      </c>
      <c r="CI6" s="25" t="s">
        <v>5</v>
      </c>
      <c r="CJ6" s="25" t="s">
        <v>6</v>
      </c>
      <c r="CK6" s="25" t="s">
        <v>7</v>
      </c>
      <c r="CL6" s="25" t="s">
        <v>5</v>
      </c>
      <c r="CM6" s="25" t="s">
        <v>6</v>
      </c>
      <c r="CN6" s="25" t="s">
        <v>7</v>
      </c>
      <c r="CO6" s="25" t="s">
        <v>5</v>
      </c>
      <c r="CP6" s="25" t="s">
        <v>6</v>
      </c>
      <c r="CQ6" s="25" t="s">
        <v>7</v>
      </c>
      <c r="CR6" s="25" t="s">
        <v>5</v>
      </c>
      <c r="CS6" s="25" t="s">
        <v>6</v>
      </c>
      <c r="CT6" s="25" t="s">
        <v>7</v>
      </c>
      <c r="CU6" s="25" t="s">
        <v>5</v>
      </c>
      <c r="CV6" s="25" t="s">
        <v>6</v>
      </c>
      <c r="CW6" s="25" t="s">
        <v>7</v>
      </c>
      <c r="CX6" s="25" t="s">
        <v>5</v>
      </c>
      <c r="CY6" s="25" t="s">
        <v>6</v>
      </c>
      <c r="CZ6" s="25" t="s">
        <v>7</v>
      </c>
      <c r="DA6" s="25" t="s">
        <v>5</v>
      </c>
      <c r="DB6" s="25" t="s">
        <v>6</v>
      </c>
      <c r="DC6" s="25" t="s">
        <v>7</v>
      </c>
      <c r="DD6" s="25" t="s">
        <v>5</v>
      </c>
      <c r="DE6" s="25" t="s">
        <v>6</v>
      </c>
      <c r="DF6" s="25" t="s">
        <v>7</v>
      </c>
      <c r="DG6" s="25" t="s">
        <v>5</v>
      </c>
      <c r="DH6" s="25" t="s">
        <v>6</v>
      </c>
      <c r="DI6" s="25" t="s">
        <v>7</v>
      </c>
      <c r="DJ6" s="25" t="s">
        <v>5</v>
      </c>
      <c r="DK6" s="25" t="s">
        <v>6</v>
      </c>
      <c r="DL6" s="25" t="s">
        <v>7</v>
      </c>
      <c r="DM6" s="25" t="s">
        <v>5</v>
      </c>
      <c r="DN6" s="25" t="s">
        <v>6</v>
      </c>
      <c r="DO6" s="25" t="s">
        <v>7</v>
      </c>
      <c r="DP6" s="25" t="s">
        <v>5</v>
      </c>
      <c r="DQ6" s="25" t="s">
        <v>6</v>
      </c>
      <c r="DR6" s="25" t="s">
        <v>7</v>
      </c>
      <c r="DS6" s="25" t="s">
        <v>5</v>
      </c>
      <c r="DT6" s="25" t="s">
        <v>6</v>
      </c>
      <c r="DU6" s="25" t="s">
        <v>7</v>
      </c>
      <c r="DV6" s="25" t="s">
        <v>5</v>
      </c>
      <c r="DW6" s="25" t="s">
        <v>6</v>
      </c>
      <c r="DX6" s="25" t="s">
        <v>7</v>
      </c>
      <c r="DY6" s="25" t="s">
        <v>5</v>
      </c>
      <c r="DZ6" s="25" t="s">
        <v>6</v>
      </c>
      <c r="EA6" s="25" t="s">
        <v>7</v>
      </c>
      <c r="EB6" s="25" t="s">
        <v>5</v>
      </c>
      <c r="EC6" s="25" t="s">
        <v>6</v>
      </c>
      <c r="ED6" s="25" t="s">
        <v>7</v>
      </c>
      <c r="EE6" s="25" t="s">
        <v>5</v>
      </c>
      <c r="EF6" s="25" t="s">
        <v>6</v>
      </c>
      <c r="EG6" s="25" t="s">
        <v>7</v>
      </c>
      <c r="EH6" s="25" t="s">
        <v>5</v>
      </c>
      <c r="EI6" s="25" t="s">
        <v>6</v>
      </c>
      <c r="EJ6" s="25" t="s">
        <v>7</v>
      </c>
      <c r="EK6" s="25" t="s">
        <v>5</v>
      </c>
      <c r="EL6" s="25" t="s">
        <v>6</v>
      </c>
      <c r="EM6" s="25" t="s">
        <v>7</v>
      </c>
      <c r="EN6" s="25" t="s">
        <v>5</v>
      </c>
      <c r="EO6" s="25" t="s">
        <v>6</v>
      </c>
      <c r="EP6" s="25" t="s">
        <v>7</v>
      </c>
      <c r="EQ6" s="25" t="s">
        <v>5</v>
      </c>
      <c r="ER6" s="25" t="s">
        <v>6</v>
      </c>
      <c r="ES6" s="25" t="s">
        <v>7</v>
      </c>
      <c r="ET6" s="25" t="s">
        <v>5</v>
      </c>
      <c r="EU6" s="25" t="s">
        <v>6</v>
      </c>
      <c r="EV6" s="25" t="s">
        <v>7</v>
      </c>
      <c r="EW6" s="25" t="s">
        <v>5</v>
      </c>
      <c r="EX6" s="25" t="s">
        <v>6</v>
      </c>
      <c r="EY6" s="25" t="s">
        <v>7</v>
      </c>
      <c r="EZ6" s="25" t="s">
        <v>5</v>
      </c>
      <c r="FA6" s="25" t="s">
        <v>6</v>
      </c>
      <c r="FB6" s="25" t="s">
        <v>7</v>
      </c>
      <c r="FC6" s="25" t="s">
        <v>5</v>
      </c>
      <c r="FD6" s="25" t="s">
        <v>6</v>
      </c>
      <c r="FE6" s="25" t="s">
        <v>7</v>
      </c>
      <c r="FF6" s="25" t="s">
        <v>5</v>
      </c>
      <c r="FG6" s="25" t="s">
        <v>6</v>
      </c>
      <c r="FH6" s="25" t="s">
        <v>7</v>
      </c>
      <c r="FI6" s="25" t="s">
        <v>5</v>
      </c>
      <c r="FJ6" s="25" t="s">
        <v>6</v>
      </c>
      <c r="FK6" s="25" t="s">
        <v>7</v>
      </c>
      <c r="FL6" s="25" t="s">
        <v>5</v>
      </c>
      <c r="FM6" s="25" t="s">
        <v>6</v>
      </c>
      <c r="FN6" s="25" t="s">
        <v>7</v>
      </c>
      <c r="FO6" s="25" t="s">
        <v>5</v>
      </c>
      <c r="FP6" s="25" t="s">
        <v>6</v>
      </c>
      <c r="FQ6" s="25" t="s">
        <v>7</v>
      </c>
      <c r="FR6" s="25" t="s">
        <v>5</v>
      </c>
      <c r="FS6" s="25" t="s">
        <v>6</v>
      </c>
      <c r="FT6" s="25" t="s">
        <v>7</v>
      </c>
      <c r="FU6" s="25" t="s">
        <v>5</v>
      </c>
      <c r="FV6" s="25" t="s">
        <v>6</v>
      </c>
      <c r="FW6" s="25" t="s">
        <v>7</v>
      </c>
      <c r="FX6" s="25" t="s">
        <v>5</v>
      </c>
      <c r="FY6" s="25" t="s">
        <v>6</v>
      </c>
      <c r="FZ6" s="25" t="s">
        <v>7</v>
      </c>
    </row>
    <row r="7" spans="1:182" s="27" customFormat="1" ht="1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3</v>
      </c>
      <c r="S7" s="26">
        <v>4</v>
      </c>
      <c r="T7" s="26">
        <v>5</v>
      </c>
      <c r="U7" s="26">
        <v>6</v>
      </c>
      <c r="V7" s="26">
        <v>7</v>
      </c>
      <c r="W7" s="26">
        <v>8</v>
      </c>
      <c r="X7" s="26">
        <v>9</v>
      </c>
      <c r="Y7" s="26">
        <v>10</v>
      </c>
      <c r="Z7" s="26">
        <v>11</v>
      </c>
      <c r="AA7" s="26">
        <v>12</v>
      </c>
      <c r="AB7" s="26">
        <v>13</v>
      </c>
      <c r="AC7" s="26">
        <v>14</v>
      </c>
      <c r="AD7" s="26">
        <v>15</v>
      </c>
      <c r="AE7" s="26">
        <v>16</v>
      </c>
      <c r="AF7" s="26">
        <v>17</v>
      </c>
      <c r="AG7" s="26">
        <v>3</v>
      </c>
      <c r="AH7" s="26">
        <v>4</v>
      </c>
      <c r="AI7" s="26">
        <v>5</v>
      </c>
      <c r="AJ7" s="26">
        <v>6</v>
      </c>
      <c r="AK7" s="26">
        <v>7</v>
      </c>
      <c r="AL7" s="26">
        <v>8</v>
      </c>
      <c r="AM7" s="26">
        <v>9</v>
      </c>
      <c r="AN7" s="26">
        <v>10</v>
      </c>
      <c r="AO7" s="26">
        <v>11</v>
      </c>
      <c r="AP7" s="26">
        <v>12</v>
      </c>
      <c r="AQ7" s="26">
        <v>13</v>
      </c>
      <c r="AR7" s="26">
        <v>14</v>
      </c>
      <c r="AS7" s="26">
        <v>15</v>
      </c>
      <c r="AT7" s="26">
        <v>16</v>
      </c>
      <c r="AU7" s="26">
        <v>17</v>
      </c>
      <c r="AV7" s="26">
        <v>3</v>
      </c>
      <c r="AW7" s="26">
        <v>4</v>
      </c>
      <c r="AX7" s="26">
        <v>5</v>
      </c>
      <c r="AY7" s="26">
        <v>6</v>
      </c>
      <c r="AZ7" s="26">
        <v>7</v>
      </c>
      <c r="BA7" s="26">
        <v>8</v>
      </c>
      <c r="BB7" s="26">
        <v>9</v>
      </c>
      <c r="BC7" s="26">
        <v>10</v>
      </c>
      <c r="BD7" s="26">
        <v>11</v>
      </c>
      <c r="BE7" s="26">
        <v>12</v>
      </c>
      <c r="BF7" s="26">
        <v>13</v>
      </c>
      <c r="BG7" s="26">
        <v>14</v>
      </c>
      <c r="BH7" s="26">
        <v>15</v>
      </c>
      <c r="BI7" s="26">
        <v>16</v>
      </c>
      <c r="BJ7" s="26">
        <v>17</v>
      </c>
      <c r="BK7" s="26">
        <v>3</v>
      </c>
      <c r="BL7" s="26">
        <v>4</v>
      </c>
      <c r="BM7" s="26">
        <v>5</v>
      </c>
      <c r="BN7" s="26">
        <v>6</v>
      </c>
      <c r="BO7" s="26">
        <v>7</v>
      </c>
      <c r="BP7" s="26">
        <v>8</v>
      </c>
      <c r="BQ7" s="26">
        <v>9</v>
      </c>
      <c r="BR7" s="26">
        <v>10</v>
      </c>
      <c r="BS7" s="26">
        <v>11</v>
      </c>
      <c r="BT7" s="26">
        <v>12</v>
      </c>
      <c r="BU7" s="26">
        <v>13</v>
      </c>
      <c r="BV7" s="26">
        <v>14</v>
      </c>
      <c r="BW7" s="26">
        <v>15</v>
      </c>
      <c r="BX7" s="26">
        <v>16</v>
      </c>
      <c r="BY7" s="26">
        <v>17</v>
      </c>
      <c r="BZ7" s="26">
        <v>3</v>
      </c>
      <c r="CA7" s="26">
        <v>4</v>
      </c>
      <c r="CB7" s="26">
        <v>5</v>
      </c>
      <c r="CC7" s="26">
        <v>6</v>
      </c>
      <c r="CD7" s="26">
        <v>7</v>
      </c>
      <c r="CE7" s="26">
        <v>8</v>
      </c>
      <c r="CF7" s="26">
        <v>9</v>
      </c>
      <c r="CG7" s="26">
        <v>10</v>
      </c>
      <c r="CH7" s="26">
        <v>11</v>
      </c>
      <c r="CI7" s="26">
        <v>12</v>
      </c>
      <c r="CJ7" s="26">
        <v>13</v>
      </c>
      <c r="CK7" s="26">
        <v>14</v>
      </c>
      <c r="CL7" s="26">
        <v>15</v>
      </c>
      <c r="CM7" s="26">
        <v>16</v>
      </c>
      <c r="CN7" s="26">
        <v>17</v>
      </c>
      <c r="CO7" s="26">
        <v>3</v>
      </c>
      <c r="CP7" s="26">
        <v>4</v>
      </c>
      <c r="CQ7" s="26">
        <v>5</v>
      </c>
      <c r="CR7" s="26">
        <v>6</v>
      </c>
      <c r="CS7" s="26">
        <v>7</v>
      </c>
      <c r="CT7" s="26">
        <v>8</v>
      </c>
      <c r="CU7" s="26">
        <v>9</v>
      </c>
      <c r="CV7" s="26">
        <v>10</v>
      </c>
      <c r="CW7" s="26">
        <v>11</v>
      </c>
      <c r="CX7" s="26">
        <v>12</v>
      </c>
      <c r="CY7" s="26">
        <v>13</v>
      </c>
      <c r="CZ7" s="26">
        <v>14</v>
      </c>
      <c r="DA7" s="26">
        <v>15</v>
      </c>
      <c r="DB7" s="26">
        <v>16</v>
      </c>
      <c r="DC7" s="26">
        <v>17</v>
      </c>
      <c r="DD7" s="26">
        <v>3</v>
      </c>
      <c r="DE7" s="26">
        <v>4</v>
      </c>
      <c r="DF7" s="26">
        <v>5</v>
      </c>
      <c r="DG7" s="26">
        <v>6</v>
      </c>
      <c r="DH7" s="26">
        <v>7</v>
      </c>
      <c r="DI7" s="26">
        <v>8</v>
      </c>
      <c r="DJ7" s="26">
        <v>9</v>
      </c>
      <c r="DK7" s="26">
        <v>10</v>
      </c>
      <c r="DL7" s="26">
        <v>11</v>
      </c>
      <c r="DM7" s="26">
        <v>12</v>
      </c>
      <c r="DN7" s="26">
        <v>13</v>
      </c>
      <c r="DO7" s="26">
        <v>14</v>
      </c>
      <c r="DP7" s="26">
        <v>15</v>
      </c>
      <c r="DQ7" s="26">
        <v>16</v>
      </c>
      <c r="DR7" s="26">
        <v>17</v>
      </c>
      <c r="DS7" s="26">
        <v>3</v>
      </c>
      <c r="DT7" s="26">
        <v>4</v>
      </c>
      <c r="DU7" s="26">
        <v>5</v>
      </c>
      <c r="DV7" s="26">
        <v>6</v>
      </c>
      <c r="DW7" s="26">
        <v>7</v>
      </c>
      <c r="DX7" s="26">
        <v>8</v>
      </c>
      <c r="DY7" s="26">
        <v>9</v>
      </c>
      <c r="DZ7" s="26">
        <v>10</v>
      </c>
      <c r="EA7" s="26">
        <v>11</v>
      </c>
      <c r="EB7" s="26">
        <v>12</v>
      </c>
      <c r="EC7" s="26">
        <v>13</v>
      </c>
      <c r="ED7" s="26">
        <v>14</v>
      </c>
      <c r="EE7" s="26">
        <v>15</v>
      </c>
      <c r="EF7" s="26">
        <v>16</v>
      </c>
      <c r="EG7" s="26">
        <v>17</v>
      </c>
      <c r="EH7" s="40">
        <v>3</v>
      </c>
      <c r="EI7" s="40">
        <v>4</v>
      </c>
      <c r="EJ7" s="40">
        <v>5</v>
      </c>
      <c r="EK7" s="40">
        <v>6</v>
      </c>
      <c r="EL7" s="40">
        <v>7</v>
      </c>
      <c r="EM7" s="40">
        <v>8</v>
      </c>
      <c r="EN7" s="40">
        <v>9</v>
      </c>
      <c r="EO7" s="40">
        <v>10</v>
      </c>
      <c r="EP7" s="40">
        <v>11</v>
      </c>
      <c r="EQ7" s="40">
        <v>12</v>
      </c>
      <c r="ER7" s="40">
        <v>13</v>
      </c>
      <c r="ES7" s="40">
        <v>14</v>
      </c>
      <c r="ET7" s="40">
        <v>15</v>
      </c>
      <c r="EU7" s="40">
        <v>16</v>
      </c>
      <c r="EV7" s="40">
        <v>17</v>
      </c>
      <c r="EW7" s="40">
        <v>3</v>
      </c>
      <c r="EX7" s="40">
        <v>4</v>
      </c>
      <c r="EY7" s="40">
        <v>5</v>
      </c>
      <c r="EZ7" s="40">
        <v>6</v>
      </c>
      <c r="FA7" s="40">
        <v>7</v>
      </c>
      <c r="FB7" s="40">
        <v>8</v>
      </c>
      <c r="FC7" s="40">
        <v>9</v>
      </c>
      <c r="FD7" s="40">
        <v>10</v>
      </c>
      <c r="FE7" s="40">
        <v>11</v>
      </c>
      <c r="FF7" s="40">
        <v>12</v>
      </c>
      <c r="FG7" s="40">
        <v>13</v>
      </c>
      <c r="FH7" s="40">
        <v>14</v>
      </c>
      <c r="FI7" s="40">
        <v>15</v>
      </c>
      <c r="FJ7" s="40">
        <v>16</v>
      </c>
      <c r="FK7" s="40">
        <v>17</v>
      </c>
      <c r="FL7" s="40">
        <v>3</v>
      </c>
      <c r="FM7" s="40">
        <v>4</v>
      </c>
      <c r="FN7" s="40">
        <v>5</v>
      </c>
      <c r="FO7" s="40">
        <v>6</v>
      </c>
      <c r="FP7" s="40">
        <v>7</v>
      </c>
      <c r="FQ7" s="40">
        <v>8</v>
      </c>
      <c r="FR7" s="40">
        <v>9</v>
      </c>
      <c r="FS7" s="40">
        <v>10</v>
      </c>
      <c r="FT7" s="40">
        <v>11</v>
      </c>
      <c r="FU7" s="40">
        <v>12</v>
      </c>
      <c r="FV7" s="40">
        <v>13</v>
      </c>
      <c r="FW7" s="40">
        <v>14</v>
      </c>
      <c r="FX7" s="40">
        <v>15</v>
      </c>
      <c r="FY7" s="40">
        <v>16</v>
      </c>
      <c r="FZ7" s="40">
        <v>17</v>
      </c>
    </row>
    <row r="8" spans="1:182" s="28" customFormat="1" ht="15.75" customHeight="1">
      <c r="A8" s="185" t="s">
        <v>9</v>
      </c>
      <c r="B8" s="185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97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9"/>
      <c r="EW8" s="197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9"/>
      <c r="FL8" s="197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9"/>
    </row>
    <row r="9" spans="1:182" ht="36" customHeight="1">
      <c r="A9" s="3">
        <v>1</v>
      </c>
      <c r="B9" s="5" t="s">
        <v>50</v>
      </c>
      <c r="C9" s="67">
        <v>886741</v>
      </c>
      <c r="D9" s="67">
        <v>602280</v>
      </c>
      <c r="E9" s="81">
        <f>C9+D9</f>
        <v>1489021</v>
      </c>
      <c r="F9" s="67">
        <v>851691</v>
      </c>
      <c r="G9" s="67">
        <v>580170</v>
      </c>
      <c r="H9" s="82">
        <f>F9+G9</f>
        <v>1431861</v>
      </c>
      <c r="I9" s="83">
        <v>10320</v>
      </c>
      <c r="J9" s="83">
        <v>6545</v>
      </c>
      <c r="K9" s="84">
        <f>I9+J9</f>
        <v>16865</v>
      </c>
      <c r="L9" s="67">
        <f aca="true" t="shared" si="0" ref="L9:N10">SUM(F9,I9)</f>
        <v>862011</v>
      </c>
      <c r="M9" s="67">
        <f t="shared" si="0"/>
        <v>586715</v>
      </c>
      <c r="N9" s="67">
        <f t="shared" si="0"/>
        <v>1448726</v>
      </c>
      <c r="O9" s="85">
        <f>L9/C9*100</f>
        <v>97.21113605889431</v>
      </c>
      <c r="P9" s="85">
        <f>M9/D9*100</f>
        <v>97.41565384870825</v>
      </c>
      <c r="Q9" s="85">
        <f>N9/E9*100</f>
        <v>97.29385952246477</v>
      </c>
      <c r="R9" s="67">
        <v>3432</v>
      </c>
      <c r="S9" s="67">
        <v>3291</v>
      </c>
      <c r="T9" s="82">
        <f>R9+S9</f>
        <v>6723</v>
      </c>
      <c r="U9" s="67">
        <v>220</v>
      </c>
      <c r="V9" s="67">
        <v>81</v>
      </c>
      <c r="W9" s="82">
        <f>U9+V9</f>
        <v>301</v>
      </c>
      <c r="X9" s="83">
        <v>40</v>
      </c>
      <c r="Y9" s="83">
        <v>70</v>
      </c>
      <c r="Z9" s="84">
        <f>X9+Y9</f>
        <v>110</v>
      </c>
      <c r="AA9" s="67">
        <f aca="true" t="shared" si="1" ref="AA9:AC10">SUM(U9,X9)</f>
        <v>260</v>
      </c>
      <c r="AB9" s="67">
        <f t="shared" si="1"/>
        <v>151</v>
      </c>
      <c r="AC9" s="67">
        <f t="shared" si="1"/>
        <v>411</v>
      </c>
      <c r="AD9" s="85">
        <f aca="true" t="shared" si="2" ref="AD9:AF10">IF(R9=0,"",AA9/R9*100)</f>
        <v>7.575757575757576</v>
      </c>
      <c r="AE9" s="85">
        <f t="shared" si="2"/>
        <v>4.588271042236403</v>
      </c>
      <c r="AF9" s="85">
        <f t="shared" si="2"/>
        <v>6.113342257920571</v>
      </c>
      <c r="AG9" s="84">
        <f>C9+R9</f>
        <v>890173</v>
      </c>
      <c r="AH9" s="84">
        <f>D9+S9</f>
        <v>605571</v>
      </c>
      <c r="AI9" s="84">
        <f>AG9+AH9</f>
        <v>1495744</v>
      </c>
      <c r="AJ9" s="84">
        <f>F9+U9</f>
        <v>851911</v>
      </c>
      <c r="AK9" s="84">
        <f>G9+V9</f>
        <v>580251</v>
      </c>
      <c r="AL9" s="84">
        <f>AJ9+AK9</f>
        <v>1432162</v>
      </c>
      <c r="AM9" s="84">
        <f>I9+X9</f>
        <v>10360</v>
      </c>
      <c r="AN9" s="84">
        <f>J9+Y9</f>
        <v>6615</v>
      </c>
      <c r="AO9" s="84">
        <f>AM9+AN9</f>
        <v>16975</v>
      </c>
      <c r="AP9" s="67">
        <f aca="true" t="shared" si="3" ref="AP9:AR10">SUM(AJ9,AM9)</f>
        <v>862271</v>
      </c>
      <c r="AQ9" s="67">
        <f t="shared" si="3"/>
        <v>586866</v>
      </c>
      <c r="AR9" s="67">
        <f t="shared" si="3"/>
        <v>1449137</v>
      </c>
      <c r="AS9" s="85">
        <f aca="true" t="shared" si="4" ref="AS9:AU10">IF(AG9=0,"",AP9/AG9*100)</f>
        <v>96.86555310035241</v>
      </c>
      <c r="AT9" s="85">
        <f t="shared" si="4"/>
        <v>96.91117969651783</v>
      </c>
      <c r="AU9" s="85">
        <f t="shared" si="4"/>
        <v>96.88402560866031</v>
      </c>
      <c r="AV9" s="83">
        <v>64270</v>
      </c>
      <c r="AW9" s="83">
        <v>46113</v>
      </c>
      <c r="AX9" s="84">
        <f>AV9+AW9</f>
        <v>110383</v>
      </c>
      <c r="AY9" s="83">
        <v>60951</v>
      </c>
      <c r="AZ9" s="83">
        <v>43581</v>
      </c>
      <c r="BA9" s="84">
        <f>AY9+AZ9</f>
        <v>104532</v>
      </c>
      <c r="BB9" s="83">
        <v>972</v>
      </c>
      <c r="BC9" s="83">
        <v>838</v>
      </c>
      <c r="BD9" s="84">
        <f>BB9+BC9</f>
        <v>1810</v>
      </c>
      <c r="BE9" s="67">
        <f aca="true" t="shared" si="5" ref="BE9:BG10">SUM(AY9,BB9)</f>
        <v>61923</v>
      </c>
      <c r="BF9" s="67">
        <f t="shared" si="5"/>
        <v>44419</v>
      </c>
      <c r="BG9" s="67">
        <f t="shared" si="5"/>
        <v>106342</v>
      </c>
      <c r="BH9" s="85">
        <f aca="true" t="shared" si="6" ref="BH9:BJ10">IF(AV9=0,"",BE9/AV9*100)</f>
        <v>96.34821845339972</v>
      </c>
      <c r="BI9" s="85">
        <f t="shared" si="6"/>
        <v>96.32641554442348</v>
      </c>
      <c r="BJ9" s="85">
        <f t="shared" si="6"/>
        <v>96.33911018906896</v>
      </c>
      <c r="BK9" s="83">
        <v>140</v>
      </c>
      <c r="BL9" s="83">
        <v>151</v>
      </c>
      <c r="BM9" s="84">
        <f>BK9+BL9</f>
        <v>291</v>
      </c>
      <c r="BN9" s="83">
        <v>25</v>
      </c>
      <c r="BO9" s="83">
        <v>4</v>
      </c>
      <c r="BP9" s="84">
        <f>BN9+BO9</f>
        <v>29</v>
      </c>
      <c r="BQ9" s="83">
        <v>4</v>
      </c>
      <c r="BR9" s="83">
        <v>6</v>
      </c>
      <c r="BS9" s="84">
        <f>BQ9+BR9</f>
        <v>10</v>
      </c>
      <c r="BT9" s="67">
        <f aca="true" t="shared" si="7" ref="BT9:BV10">SUM(BN9,BQ9)</f>
        <v>29</v>
      </c>
      <c r="BU9" s="67">
        <f t="shared" si="7"/>
        <v>10</v>
      </c>
      <c r="BV9" s="67">
        <f t="shared" si="7"/>
        <v>39</v>
      </c>
      <c r="BW9" s="85">
        <f aca="true" t="shared" si="8" ref="BW9:BY10">IF(BK9=0,"",BT9/BK9*100)</f>
        <v>20.714285714285715</v>
      </c>
      <c r="BX9" s="85">
        <f t="shared" si="8"/>
        <v>6.622516556291391</v>
      </c>
      <c r="BY9" s="85">
        <f t="shared" si="8"/>
        <v>13.402061855670103</v>
      </c>
      <c r="BZ9" s="84">
        <f>AV9+BK9</f>
        <v>64410</v>
      </c>
      <c r="CA9" s="84">
        <f>AW9+BL9</f>
        <v>46264</v>
      </c>
      <c r="CB9" s="84">
        <f>BZ9+CA9</f>
        <v>110674</v>
      </c>
      <c r="CC9" s="84">
        <f>AY9+BN9</f>
        <v>60976</v>
      </c>
      <c r="CD9" s="84">
        <f>AZ9+BO9</f>
        <v>43585</v>
      </c>
      <c r="CE9" s="84">
        <f>CC9+CD9</f>
        <v>104561</v>
      </c>
      <c r="CF9" s="84">
        <f>BB9+BQ9</f>
        <v>976</v>
      </c>
      <c r="CG9" s="84">
        <f>BC9+BR9</f>
        <v>844</v>
      </c>
      <c r="CH9" s="84">
        <f>CF9+CG9</f>
        <v>1820</v>
      </c>
      <c r="CI9" s="67">
        <f aca="true" t="shared" si="9" ref="CI9:CK10">SUM(CC9,CF9)</f>
        <v>61952</v>
      </c>
      <c r="CJ9" s="67">
        <f t="shared" si="9"/>
        <v>44429</v>
      </c>
      <c r="CK9" s="67">
        <f t="shared" si="9"/>
        <v>106381</v>
      </c>
      <c r="CL9" s="85">
        <f aca="true" t="shared" si="10" ref="CL9:CN10">IF(BZ9=0,"",CI9/BZ9*100)</f>
        <v>96.18382238782797</v>
      </c>
      <c r="CM9" s="85">
        <f t="shared" si="10"/>
        <v>96.03363306242436</v>
      </c>
      <c r="CN9" s="85">
        <f t="shared" si="10"/>
        <v>96.1210401720368</v>
      </c>
      <c r="CO9" s="83">
        <v>30305</v>
      </c>
      <c r="CP9" s="83">
        <v>24757</v>
      </c>
      <c r="CQ9" s="84">
        <f>CO9+CP9</f>
        <v>55062</v>
      </c>
      <c r="CR9" s="83">
        <v>26356</v>
      </c>
      <c r="CS9" s="83">
        <v>21227</v>
      </c>
      <c r="CT9" s="84">
        <f>CR9+CS9</f>
        <v>47583</v>
      </c>
      <c r="CU9" s="83">
        <v>462</v>
      </c>
      <c r="CV9" s="83">
        <v>378</v>
      </c>
      <c r="CW9" s="84">
        <f>CU9+CV9</f>
        <v>840</v>
      </c>
      <c r="CX9" s="67">
        <f aca="true" t="shared" si="11" ref="CX9:CZ10">SUM(CR9,CU9)</f>
        <v>26818</v>
      </c>
      <c r="CY9" s="67">
        <f t="shared" si="11"/>
        <v>21605</v>
      </c>
      <c r="CZ9" s="67">
        <f t="shared" si="11"/>
        <v>48423</v>
      </c>
      <c r="DA9" s="85">
        <f aca="true" t="shared" si="12" ref="DA9:DC10">IF(CO9=0,"",CX9/CO9*100)</f>
        <v>88.49364791288566</v>
      </c>
      <c r="DB9" s="85">
        <f t="shared" si="12"/>
        <v>87.26824736438179</v>
      </c>
      <c r="DC9" s="85">
        <f t="shared" si="12"/>
        <v>87.94268279394137</v>
      </c>
      <c r="DD9" s="83">
        <v>468</v>
      </c>
      <c r="DE9" s="83">
        <v>433</v>
      </c>
      <c r="DF9" s="84">
        <f>DD9+DE9</f>
        <v>901</v>
      </c>
      <c r="DG9" s="83">
        <v>10</v>
      </c>
      <c r="DH9" s="83">
        <v>4</v>
      </c>
      <c r="DI9" s="84">
        <f>DG9+DH9</f>
        <v>14</v>
      </c>
      <c r="DJ9" s="83">
        <v>12</v>
      </c>
      <c r="DK9" s="83">
        <v>12</v>
      </c>
      <c r="DL9" s="84">
        <f>DJ9+DK9</f>
        <v>24</v>
      </c>
      <c r="DM9" s="67">
        <f aca="true" t="shared" si="13" ref="DM9:DO10">SUM(DG9,DJ9)</f>
        <v>22</v>
      </c>
      <c r="DN9" s="67">
        <f t="shared" si="13"/>
        <v>16</v>
      </c>
      <c r="DO9" s="67">
        <f t="shared" si="13"/>
        <v>38</v>
      </c>
      <c r="DP9" s="85">
        <f aca="true" t="shared" si="14" ref="DP9:DR10">IF(DD9=0,"",DM9/DD9*100)</f>
        <v>4.700854700854701</v>
      </c>
      <c r="DQ9" s="85">
        <f t="shared" si="14"/>
        <v>3.695150115473441</v>
      </c>
      <c r="DR9" s="85">
        <f t="shared" si="14"/>
        <v>4.217536071032186</v>
      </c>
      <c r="DS9" s="84">
        <f>CO9+DD9</f>
        <v>30773</v>
      </c>
      <c r="DT9" s="84">
        <f>CP9+DE9</f>
        <v>25190</v>
      </c>
      <c r="DU9" s="84">
        <f>DS9+DT9</f>
        <v>55963</v>
      </c>
      <c r="DV9" s="84">
        <f>CR9+DG9</f>
        <v>26366</v>
      </c>
      <c r="DW9" s="84">
        <f>CS9+DH9</f>
        <v>21231</v>
      </c>
      <c r="DX9" s="84">
        <f>DV9+DW9</f>
        <v>47597</v>
      </c>
      <c r="DY9" s="84">
        <f>CU9+DJ9</f>
        <v>474</v>
      </c>
      <c r="DZ9" s="84">
        <f>CV9+DK9</f>
        <v>390</v>
      </c>
      <c r="EA9" s="84">
        <f>DY9+DZ9</f>
        <v>864</v>
      </c>
      <c r="EB9" s="67">
        <f aca="true" t="shared" si="15" ref="EB9:ED10">SUM(DV9,DY9)</f>
        <v>26840</v>
      </c>
      <c r="EC9" s="67">
        <f t="shared" si="15"/>
        <v>21621</v>
      </c>
      <c r="ED9" s="67">
        <f t="shared" si="15"/>
        <v>48461</v>
      </c>
      <c r="EE9" s="85">
        <f aca="true" t="shared" si="16" ref="EE9:EG10">IF(DS9=0,"",EB9/DS9*100)</f>
        <v>87.21931563383485</v>
      </c>
      <c r="EF9" s="85">
        <f t="shared" si="16"/>
        <v>85.83167923779278</v>
      </c>
      <c r="EG9" s="85">
        <f t="shared" si="16"/>
        <v>86.5947143648482</v>
      </c>
      <c r="EH9" s="86">
        <f aca="true" t="shared" si="17" ref="EH9:EJ10">AP9</f>
        <v>862271</v>
      </c>
      <c r="EI9" s="86">
        <f t="shared" si="17"/>
        <v>586866</v>
      </c>
      <c r="EJ9" s="86">
        <f t="shared" si="17"/>
        <v>1449137</v>
      </c>
      <c r="EK9" s="153"/>
      <c r="EL9" s="153"/>
      <c r="EM9" s="153"/>
      <c r="EN9" s="153"/>
      <c r="EO9" s="153"/>
      <c r="EP9" s="153"/>
      <c r="EQ9" s="154"/>
      <c r="ER9" s="154"/>
      <c r="ES9" s="154"/>
      <c r="ET9" s="155"/>
      <c r="EU9" s="155"/>
      <c r="EV9" s="155"/>
      <c r="EW9" s="86">
        <f aca="true" t="shared" si="18" ref="EW9:EY10">CI9</f>
        <v>61952</v>
      </c>
      <c r="EX9" s="86">
        <f t="shared" si="18"/>
        <v>44429</v>
      </c>
      <c r="EY9" s="86">
        <f t="shared" si="18"/>
        <v>106381</v>
      </c>
      <c r="EZ9" s="153"/>
      <c r="FA9" s="153"/>
      <c r="FB9" s="153"/>
      <c r="FC9" s="153"/>
      <c r="FD9" s="153"/>
      <c r="FE9" s="153"/>
      <c r="FF9" s="154"/>
      <c r="FG9" s="154"/>
      <c r="FH9" s="154"/>
      <c r="FI9" s="155"/>
      <c r="FJ9" s="155"/>
      <c r="FK9" s="155"/>
      <c r="FL9" s="86">
        <f aca="true" t="shared" si="19" ref="FL9:FN10">EB9</f>
        <v>26840</v>
      </c>
      <c r="FM9" s="86">
        <f t="shared" si="19"/>
        <v>21621</v>
      </c>
      <c r="FN9" s="86">
        <f t="shared" si="19"/>
        <v>48461</v>
      </c>
      <c r="FO9" s="153"/>
      <c r="FP9" s="153"/>
      <c r="FQ9" s="153"/>
      <c r="FR9" s="153"/>
      <c r="FS9" s="153"/>
      <c r="FT9" s="153"/>
      <c r="FU9" s="154"/>
      <c r="FV9" s="154"/>
      <c r="FW9" s="154"/>
      <c r="FX9" s="155"/>
      <c r="FY9" s="155"/>
      <c r="FZ9" s="155"/>
    </row>
    <row r="10" spans="1:182" ht="34.5" customHeight="1">
      <c r="A10" s="3">
        <v>2</v>
      </c>
      <c r="B10" s="5" t="s">
        <v>51</v>
      </c>
      <c r="C10" s="7">
        <v>92688</v>
      </c>
      <c r="D10" s="7">
        <v>75608</v>
      </c>
      <c r="E10" s="16">
        <f>C10+D10</f>
        <v>168296</v>
      </c>
      <c r="F10" s="7">
        <v>91061</v>
      </c>
      <c r="G10" s="7">
        <v>74842</v>
      </c>
      <c r="H10" s="8">
        <f>F10+G10</f>
        <v>165903</v>
      </c>
      <c r="I10" s="99"/>
      <c r="J10" s="99"/>
      <c r="K10" s="97"/>
      <c r="L10" s="7">
        <f t="shared" si="0"/>
        <v>91061</v>
      </c>
      <c r="M10" s="7">
        <f t="shared" si="0"/>
        <v>74842</v>
      </c>
      <c r="N10" s="7">
        <f t="shared" si="0"/>
        <v>165903</v>
      </c>
      <c r="O10" s="29">
        <f aca="true" t="shared" si="20" ref="O10:Q48">L10/C10*100</f>
        <v>98.24464871396513</v>
      </c>
      <c r="P10" s="29">
        <f t="shared" si="20"/>
        <v>98.98687969527035</v>
      </c>
      <c r="Q10" s="29">
        <f t="shared" si="20"/>
        <v>98.57810048961355</v>
      </c>
      <c r="R10" s="7">
        <v>204</v>
      </c>
      <c r="S10" s="7">
        <v>94</v>
      </c>
      <c r="T10" s="8">
        <f>R10+S10</f>
        <v>298</v>
      </c>
      <c r="U10" s="7">
        <v>110</v>
      </c>
      <c r="V10" s="7">
        <v>55</v>
      </c>
      <c r="W10" s="8">
        <f>U10+V10</f>
        <v>165</v>
      </c>
      <c r="X10" s="145"/>
      <c r="Y10" s="146"/>
      <c r="Z10" s="97"/>
      <c r="AA10" s="7">
        <f t="shared" si="1"/>
        <v>110</v>
      </c>
      <c r="AB10" s="7">
        <f t="shared" si="1"/>
        <v>55</v>
      </c>
      <c r="AC10" s="7">
        <f t="shared" si="1"/>
        <v>165</v>
      </c>
      <c r="AD10" s="29">
        <f t="shared" si="2"/>
        <v>53.92156862745098</v>
      </c>
      <c r="AE10" s="29">
        <f t="shared" si="2"/>
        <v>58.51063829787234</v>
      </c>
      <c r="AF10" s="29">
        <f t="shared" si="2"/>
        <v>55.369127516778526</v>
      </c>
      <c r="AG10" s="10">
        <f>C10+R10</f>
        <v>92892</v>
      </c>
      <c r="AH10" s="10">
        <f>D10+S10</f>
        <v>75702</v>
      </c>
      <c r="AI10" s="10">
        <f>AG10+AH10</f>
        <v>168594</v>
      </c>
      <c r="AJ10" s="10">
        <f>F10+U10</f>
        <v>91171</v>
      </c>
      <c r="AK10" s="10">
        <f>G10+V10</f>
        <v>74897</v>
      </c>
      <c r="AL10" s="10">
        <f>AJ10+AK10</f>
        <v>166068</v>
      </c>
      <c r="AM10" s="97"/>
      <c r="AN10" s="97"/>
      <c r="AO10" s="97"/>
      <c r="AP10" s="7">
        <f t="shared" si="3"/>
        <v>91171</v>
      </c>
      <c r="AQ10" s="7">
        <f t="shared" si="3"/>
        <v>74897</v>
      </c>
      <c r="AR10" s="7">
        <f t="shared" si="3"/>
        <v>166068</v>
      </c>
      <c r="AS10" s="29">
        <f t="shared" si="4"/>
        <v>98.14731085561728</v>
      </c>
      <c r="AT10" s="29">
        <f t="shared" si="4"/>
        <v>98.93661990436185</v>
      </c>
      <c r="AU10" s="29">
        <f t="shared" si="4"/>
        <v>98.5017260400726</v>
      </c>
      <c r="AV10" s="9">
        <v>4204</v>
      </c>
      <c r="AW10" s="9">
        <v>3178</v>
      </c>
      <c r="AX10" s="10">
        <f>AV10+AW10</f>
        <v>7382</v>
      </c>
      <c r="AY10" s="9">
        <v>4081</v>
      </c>
      <c r="AZ10" s="9">
        <v>3103</v>
      </c>
      <c r="BA10" s="10">
        <f>AY10+AZ10</f>
        <v>7184</v>
      </c>
      <c r="BB10" s="98"/>
      <c r="BC10" s="98"/>
      <c r="BD10" s="97"/>
      <c r="BE10" s="7">
        <f t="shared" si="5"/>
        <v>4081</v>
      </c>
      <c r="BF10" s="7">
        <f t="shared" si="5"/>
        <v>3103</v>
      </c>
      <c r="BG10" s="7">
        <f t="shared" si="5"/>
        <v>7184</v>
      </c>
      <c r="BH10" s="29">
        <f t="shared" si="6"/>
        <v>97.07421503330161</v>
      </c>
      <c r="BI10" s="29">
        <f t="shared" si="6"/>
        <v>97.64002517306483</v>
      </c>
      <c r="BJ10" s="29">
        <f t="shared" si="6"/>
        <v>97.31780005418585</v>
      </c>
      <c r="BK10" s="9">
        <v>9</v>
      </c>
      <c r="BL10" s="9">
        <v>7</v>
      </c>
      <c r="BM10" s="10">
        <f>BK10+BL10</f>
        <v>16</v>
      </c>
      <c r="BN10" s="9">
        <v>5</v>
      </c>
      <c r="BO10" s="9">
        <v>3</v>
      </c>
      <c r="BP10" s="10">
        <f>BN10+BO10</f>
        <v>8</v>
      </c>
      <c r="BQ10" s="98"/>
      <c r="BR10" s="98"/>
      <c r="BS10" s="97"/>
      <c r="BT10" s="7">
        <f t="shared" si="7"/>
        <v>5</v>
      </c>
      <c r="BU10" s="7">
        <f t="shared" si="7"/>
        <v>3</v>
      </c>
      <c r="BV10" s="7">
        <f t="shared" si="7"/>
        <v>8</v>
      </c>
      <c r="BW10" s="29">
        <f t="shared" si="8"/>
        <v>55.55555555555556</v>
      </c>
      <c r="BX10" s="29">
        <f t="shared" si="8"/>
        <v>42.857142857142854</v>
      </c>
      <c r="BY10" s="29">
        <f t="shared" si="8"/>
        <v>50</v>
      </c>
      <c r="BZ10" s="10">
        <f>AV10+BK10</f>
        <v>4213</v>
      </c>
      <c r="CA10" s="10">
        <f>AW10+BL10</f>
        <v>3185</v>
      </c>
      <c r="CB10" s="10">
        <f>BZ10+CA10</f>
        <v>7398</v>
      </c>
      <c r="CC10" s="10">
        <f>AY10+BN10</f>
        <v>4086</v>
      </c>
      <c r="CD10" s="10">
        <f>AZ10+BO10</f>
        <v>3106</v>
      </c>
      <c r="CE10" s="10">
        <f>CC10+CD10</f>
        <v>7192</v>
      </c>
      <c r="CF10" s="97"/>
      <c r="CG10" s="97"/>
      <c r="CH10" s="97"/>
      <c r="CI10" s="7">
        <f t="shared" si="9"/>
        <v>4086</v>
      </c>
      <c r="CJ10" s="7">
        <f t="shared" si="9"/>
        <v>3106</v>
      </c>
      <c r="CK10" s="7">
        <f t="shared" si="9"/>
        <v>7192</v>
      </c>
      <c r="CL10" s="29">
        <f t="shared" si="10"/>
        <v>96.98552100640873</v>
      </c>
      <c r="CM10" s="29">
        <f t="shared" si="10"/>
        <v>97.51962323390894</v>
      </c>
      <c r="CN10" s="29">
        <f t="shared" si="10"/>
        <v>97.21546363882129</v>
      </c>
      <c r="CO10" s="9">
        <v>2868</v>
      </c>
      <c r="CP10" s="9">
        <v>2579</v>
      </c>
      <c r="CQ10" s="10">
        <f>CO10+CP10</f>
        <v>5447</v>
      </c>
      <c r="CR10" s="9">
        <v>2786</v>
      </c>
      <c r="CS10" s="9">
        <v>2513</v>
      </c>
      <c r="CT10" s="10">
        <f>CR10+CS10</f>
        <v>5299</v>
      </c>
      <c r="CU10" s="98"/>
      <c r="CV10" s="98"/>
      <c r="CW10" s="97"/>
      <c r="CX10" s="7">
        <f t="shared" si="11"/>
        <v>2786</v>
      </c>
      <c r="CY10" s="7">
        <f t="shared" si="11"/>
        <v>2513</v>
      </c>
      <c r="CZ10" s="7">
        <f t="shared" si="11"/>
        <v>5299</v>
      </c>
      <c r="DA10" s="29">
        <f t="shared" si="12"/>
        <v>97.14086471408648</v>
      </c>
      <c r="DB10" s="29">
        <f t="shared" si="12"/>
        <v>97.44086855370298</v>
      </c>
      <c r="DC10" s="29">
        <f t="shared" si="12"/>
        <v>97.28290802276483</v>
      </c>
      <c r="DD10" s="9">
        <v>18</v>
      </c>
      <c r="DE10" s="9">
        <v>4</v>
      </c>
      <c r="DF10" s="10">
        <f>DD10+DE10</f>
        <v>22</v>
      </c>
      <c r="DG10" s="9">
        <v>9</v>
      </c>
      <c r="DH10" s="9">
        <v>2</v>
      </c>
      <c r="DI10" s="10">
        <f>DG10+DH10</f>
        <v>11</v>
      </c>
      <c r="DJ10" s="98"/>
      <c r="DK10" s="98"/>
      <c r="DL10" s="97"/>
      <c r="DM10" s="7">
        <f t="shared" si="13"/>
        <v>9</v>
      </c>
      <c r="DN10" s="7">
        <f t="shared" si="13"/>
        <v>2</v>
      </c>
      <c r="DO10" s="7">
        <f t="shared" si="13"/>
        <v>11</v>
      </c>
      <c r="DP10" s="29">
        <f t="shared" si="14"/>
        <v>50</v>
      </c>
      <c r="DQ10" s="29">
        <f t="shared" si="14"/>
        <v>50</v>
      </c>
      <c r="DR10" s="29">
        <f t="shared" si="14"/>
        <v>50</v>
      </c>
      <c r="DS10" s="10">
        <f>CO10+DD10</f>
        <v>2886</v>
      </c>
      <c r="DT10" s="10">
        <f>CP10+DE10</f>
        <v>2583</v>
      </c>
      <c r="DU10" s="10">
        <f>DS10+DT10</f>
        <v>5469</v>
      </c>
      <c r="DV10" s="10">
        <f>CR10+DG10</f>
        <v>2795</v>
      </c>
      <c r="DW10" s="10">
        <f>CS10+DH10</f>
        <v>2515</v>
      </c>
      <c r="DX10" s="10">
        <f>DV10+DW10</f>
        <v>5310</v>
      </c>
      <c r="DY10" s="97"/>
      <c r="DZ10" s="97"/>
      <c r="EA10" s="97"/>
      <c r="EB10" s="7">
        <f t="shared" si="15"/>
        <v>2795</v>
      </c>
      <c r="EC10" s="7">
        <f t="shared" si="15"/>
        <v>2515</v>
      </c>
      <c r="ED10" s="7">
        <f t="shared" si="15"/>
        <v>5310</v>
      </c>
      <c r="EE10" s="29">
        <f t="shared" si="16"/>
        <v>96.84684684684684</v>
      </c>
      <c r="EF10" s="29">
        <f t="shared" si="16"/>
        <v>97.36740224545103</v>
      </c>
      <c r="EG10" s="29">
        <f t="shared" si="16"/>
        <v>97.09270433351618</v>
      </c>
      <c r="EH10" s="20">
        <f t="shared" si="17"/>
        <v>91171</v>
      </c>
      <c r="EI10" s="20">
        <f t="shared" si="17"/>
        <v>74897</v>
      </c>
      <c r="EJ10" s="20">
        <f t="shared" si="17"/>
        <v>166068</v>
      </c>
      <c r="EK10" s="20">
        <v>55041</v>
      </c>
      <c r="EL10" s="20">
        <v>51463</v>
      </c>
      <c r="EM10" s="20">
        <f>EK10+EL10</f>
        <v>106504</v>
      </c>
      <c r="EN10" s="20">
        <v>27058</v>
      </c>
      <c r="EO10" s="20">
        <v>19125</v>
      </c>
      <c r="EP10" s="20">
        <f>EN10+EO10</f>
        <v>46183</v>
      </c>
      <c r="EQ10" s="53">
        <f>EK10/EH10%</f>
        <v>60.371170657336215</v>
      </c>
      <c r="ER10" s="53">
        <f>EL10/EI10%</f>
        <v>68.7116973977596</v>
      </c>
      <c r="ES10" s="53">
        <f>EM10/EJ10%</f>
        <v>64.13276489149023</v>
      </c>
      <c r="ET10" s="41">
        <f>EN10/EH10%</f>
        <v>29.678296826841866</v>
      </c>
      <c r="EU10" s="41">
        <f>EO10/EI10%</f>
        <v>25.53506816027344</v>
      </c>
      <c r="EV10" s="41">
        <f>EP10/EJ10%</f>
        <v>27.809692415155236</v>
      </c>
      <c r="EW10" s="20">
        <f t="shared" si="18"/>
        <v>4086</v>
      </c>
      <c r="EX10" s="20">
        <f t="shared" si="18"/>
        <v>3106</v>
      </c>
      <c r="EY10" s="20">
        <f t="shared" si="18"/>
        <v>7192</v>
      </c>
      <c r="EZ10" s="20">
        <v>1958</v>
      </c>
      <c r="FA10" s="20">
        <v>1647</v>
      </c>
      <c r="FB10" s="20">
        <f>EZ10+FA10</f>
        <v>3605</v>
      </c>
      <c r="FC10" s="20">
        <v>1522</v>
      </c>
      <c r="FD10" s="20">
        <v>1117</v>
      </c>
      <c r="FE10" s="20">
        <f>FC10+FD10</f>
        <v>2639</v>
      </c>
      <c r="FF10" s="53">
        <f>EZ10/EW10%</f>
        <v>47.91972589329418</v>
      </c>
      <c r="FG10" s="53">
        <f>FA10/EX10%</f>
        <v>53.026400515132</v>
      </c>
      <c r="FH10" s="53">
        <f>FB10/EY10%</f>
        <v>50.12513904338154</v>
      </c>
      <c r="FI10" s="41">
        <f>FC10/EW10%</f>
        <v>37.2491434165443</v>
      </c>
      <c r="FJ10" s="41">
        <f>FD10/EX10%</f>
        <v>35.96265292981327</v>
      </c>
      <c r="FK10" s="41">
        <f>FE10/EY10%</f>
        <v>36.693548387096776</v>
      </c>
      <c r="FL10" s="20">
        <f t="shared" si="19"/>
        <v>2795</v>
      </c>
      <c r="FM10" s="20">
        <f t="shared" si="19"/>
        <v>2515</v>
      </c>
      <c r="FN10" s="20">
        <f t="shared" si="19"/>
        <v>5310</v>
      </c>
      <c r="FO10" s="20">
        <v>886</v>
      </c>
      <c r="FP10" s="20">
        <v>1017</v>
      </c>
      <c r="FQ10" s="20">
        <f>FO10+FP10</f>
        <v>1903</v>
      </c>
      <c r="FR10" s="20">
        <v>1307</v>
      </c>
      <c r="FS10" s="20">
        <v>1132</v>
      </c>
      <c r="FT10" s="20">
        <f>FR10+FS10</f>
        <v>2439</v>
      </c>
      <c r="FU10" s="53">
        <f>FO10/FL10%</f>
        <v>31.699463327370307</v>
      </c>
      <c r="FV10" s="53">
        <f>FP10/FM10%</f>
        <v>40.43737574552684</v>
      </c>
      <c r="FW10" s="53">
        <f>FQ10/FN10%</f>
        <v>35.83804143126177</v>
      </c>
      <c r="FX10" s="41">
        <f>FR10/FL10%</f>
        <v>46.76207513416816</v>
      </c>
      <c r="FY10" s="41">
        <f>FS10/FM10%</f>
        <v>45.009940357852884</v>
      </c>
      <c r="FZ10" s="41">
        <f>FT10/FN10%</f>
        <v>45.932203389830505</v>
      </c>
    </row>
    <row r="11" spans="1:182" s="28" customFormat="1" ht="15.75" customHeight="1">
      <c r="A11" s="185" t="s">
        <v>10</v>
      </c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50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2"/>
      <c r="EW11" s="50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2"/>
      <c r="FL11" s="50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2"/>
    </row>
    <row r="12" spans="1:182" ht="29.25" customHeight="1">
      <c r="A12" s="3">
        <v>3</v>
      </c>
      <c r="B12" s="5" t="s">
        <v>13</v>
      </c>
      <c r="C12" s="7">
        <v>316965</v>
      </c>
      <c r="D12" s="7">
        <v>300065</v>
      </c>
      <c r="E12" s="16">
        <f aca="true" t="shared" si="21" ref="E12:E17">C12+D12</f>
        <v>617030</v>
      </c>
      <c r="F12" s="7">
        <v>298884</v>
      </c>
      <c r="G12" s="7">
        <v>284382</v>
      </c>
      <c r="H12" s="8">
        <f aca="true" t="shared" si="22" ref="H12:H51">F12+G12</f>
        <v>583266</v>
      </c>
      <c r="I12" s="98"/>
      <c r="J12" s="98"/>
      <c r="K12" s="103"/>
      <c r="L12" s="7">
        <f aca="true" t="shared" si="23" ref="L12:N48">SUM(F12,I12)</f>
        <v>298884</v>
      </c>
      <c r="M12" s="7">
        <f t="shared" si="23"/>
        <v>284382</v>
      </c>
      <c r="N12" s="7">
        <f t="shared" si="23"/>
        <v>583266</v>
      </c>
      <c r="O12" s="29">
        <f t="shared" si="20"/>
        <v>94.29558468600634</v>
      </c>
      <c r="P12" s="29">
        <f t="shared" si="20"/>
        <v>94.77346574908769</v>
      </c>
      <c r="Q12" s="29">
        <f t="shared" si="20"/>
        <v>94.52798081130577</v>
      </c>
      <c r="R12" s="7">
        <v>23442</v>
      </c>
      <c r="S12" s="7">
        <v>11902</v>
      </c>
      <c r="T12" s="8">
        <f>R12+S12</f>
        <v>35344</v>
      </c>
      <c r="U12" s="7">
        <v>12387</v>
      </c>
      <c r="V12" s="7">
        <v>7218</v>
      </c>
      <c r="W12" s="8">
        <f aca="true" t="shared" si="24" ref="W12:W50">U12+V12</f>
        <v>19605</v>
      </c>
      <c r="X12" s="96"/>
      <c r="Y12" s="96"/>
      <c r="Z12" s="97"/>
      <c r="AA12" s="7">
        <f aca="true" t="shared" si="25" ref="AA12:AB48">SUM(U12,X12)</f>
        <v>12387</v>
      </c>
      <c r="AB12" s="7">
        <f t="shared" si="25"/>
        <v>7218</v>
      </c>
      <c r="AC12" s="10">
        <f>SUM(AA12,AB12)</f>
        <v>19605</v>
      </c>
      <c r="AD12" s="29">
        <f>IF(R12=0,"",AA12/R12*100)</f>
        <v>52.84105451753264</v>
      </c>
      <c r="AE12" s="29">
        <f>IF(S12=0,"",AB12/S12*100)</f>
        <v>60.64526970257099</v>
      </c>
      <c r="AF12" s="29">
        <f>IF(T12=0,"",AC12/T12*100)</f>
        <v>55.46910366681757</v>
      </c>
      <c r="AG12" s="10">
        <f aca="true" t="shared" si="26" ref="AG12:AH48">C12+R12</f>
        <v>340407</v>
      </c>
      <c r="AH12" s="10">
        <f t="shared" si="26"/>
        <v>311967</v>
      </c>
      <c r="AI12" s="10">
        <f aca="true" t="shared" si="27" ref="AI12:AI48">AG12+AH12</f>
        <v>652374</v>
      </c>
      <c r="AJ12" s="10">
        <f aca="true" t="shared" si="28" ref="AJ12:AK48">F12+U12</f>
        <v>311271</v>
      </c>
      <c r="AK12" s="10">
        <f t="shared" si="28"/>
        <v>291600</v>
      </c>
      <c r="AL12" s="10">
        <f aca="true" t="shared" si="29" ref="AL12:AL48">AJ12+AK12</f>
        <v>602871</v>
      </c>
      <c r="AM12" s="97"/>
      <c r="AN12" s="97"/>
      <c r="AO12" s="97"/>
      <c r="AP12" s="7">
        <f aca="true" t="shared" si="30" ref="AP12:AQ48">SUM(AJ12,AM12)</f>
        <v>311271</v>
      </c>
      <c r="AQ12" s="7">
        <f t="shared" si="30"/>
        <v>291600</v>
      </c>
      <c r="AR12" s="10">
        <f>SUM(AP12,AQ12)</f>
        <v>602871</v>
      </c>
      <c r="AS12" s="29">
        <f aca="true" t="shared" si="31" ref="AS12:AU13">IF(AG12=0,"",AP12/AG12*100)</f>
        <v>91.44083406040416</v>
      </c>
      <c r="AT12" s="29">
        <f t="shared" si="31"/>
        <v>93.47142486224504</v>
      </c>
      <c r="AU12" s="29">
        <f t="shared" si="31"/>
        <v>92.41186803888567</v>
      </c>
      <c r="AV12" s="9">
        <v>58448</v>
      </c>
      <c r="AW12" s="9">
        <v>57884</v>
      </c>
      <c r="AX12" s="10">
        <f aca="true" t="shared" si="32" ref="AX12:AX50">AV12+AW12</f>
        <v>116332</v>
      </c>
      <c r="AY12" s="9">
        <v>53472</v>
      </c>
      <c r="AZ12" s="9">
        <v>53274</v>
      </c>
      <c r="BA12" s="10">
        <f aca="true" t="shared" si="33" ref="BA12:BA47">AY12+AZ12</f>
        <v>106746</v>
      </c>
      <c r="BB12" s="98"/>
      <c r="BC12" s="98"/>
      <c r="BD12" s="97"/>
      <c r="BE12" s="7">
        <f aca="true" t="shared" si="34" ref="BE12:BF48">SUM(AY12,BB12)</f>
        <v>53472</v>
      </c>
      <c r="BF12" s="7">
        <f t="shared" si="34"/>
        <v>53274</v>
      </c>
      <c r="BG12" s="10">
        <f>SUM(BE12,BF12)</f>
        <v>106746</v>
      </c>
      <c r="BH12" s="29">
        <f aca="true" t="shared" si="35" ref="BH12:BJ14">IF(AV12=0,"",BE12/AV12*100)</f>
        <v>91.48644949356694</v>
      </c>
      <c r="BI12" s="29">
        <f t="shared" si="35"/>
        <v>92.03579572938982</v>
      </c>
      <c r="BJ12" s="29">
        <f t="shared" si="35"/>
        <v>91.75979094316267</v>
      </c>
      <c r="BK12" s="9">
        <v>5380</v>
      </c>
      <c r="BL12" s="9">
        <v>3077</v>
      </c>
      <c r="BM12" s="10">
        <f aca="true" t="shared" si="36" ref="BM12:BM50">BK12+BL12</f>
        <v>8457</v>
      </c>
      <c r="BN12" s="9">
        <v>2585</v>
      </c>
      <c r="BO12" s="9">
        <v>1700</v>
      </c>
      <c r="BP12" s="10">
        <f aca="true" t="shared" si="37" ref="BP12:BP49">BN12+BO12</f>
        <v>4285</v>
      </c>
      <c r="BQ12" s="98"/>
      <c r="BR12" s="98"/>
      <c r="BS12" s="97"/>
      <c r="BT12" s="7">
        <f aca="true" t="shared" si="38" ref="BT12:BU48">SUM(BN12,BQ12)</f>
        <v>2585</v>
      </c>
      <c r="BU12" s="7">
        <f t="shared" si="38"/>
        <v>1700</v>
      </c>
      <c r="BV12" s="10">
        <f>SUM(BT12,BU12)</f>
        <v>4285</v>
      </c>
      <c r="BW12" s="29">
        <f>IF(BK12=0,"",BT12/BK12*100)</f>
        <v>48.04832713754647</v>
      </c>
      <c r="BX12" s="29">
        <f>IF(BL12=0,"",BU12/BL12*100)</f>
        <v>55.24861878453039</v>
      </c>
      <c r="BY12" s="29">
        <f>IF(BM12=0,"",BV12/BM12*100)</f>
        <v>50.66808560955421</v>
      </c>
      <c r="BZ12" s="10">
        <f aca="true" t="shared" si="39" ref="BZ12:CA48">AV12+BK12</f>
        <v>63828</v>
      </c>
      <c r="CA12" s="10">
        <f t="shared" si="39"/>
        <v>60961</v>
      </c>
      <c r="CB12" s="10">
        <f aca="true" t="shared" si="40" ref="CB12:CB48">BZ12+CA12</f>
        <v>124789</v>
      </c>
      <c r="CC12" s="10">
        <f aca="true" t="shared" si="41" ref="CC12:CD48">AY12+BN12</f>
        <v>56057</v>
      </c>
      <c r="CD12" s="10">
        <f t="shared" si="41"/>
        <v>54974</v>
      </c>
      <c r="CE12" s="10">
        <f aca="true" t="shared" si="42" ref="CE12:CE48">CC12+CD12</f>
        <v>111031</v>
      </c>
      <c r="CF12" s="97"/>
      <c r="CG12" s="97"/>
      <c r="CH12" s="97"/>
      <c r="CI12" s="7">
        <f aca="true" t="shared" si="43" ref="CI12:CJ48">SUM(CC12,CF12)</f>
        <v>56057</v>
      </c>
      <c r="CJ12" s="7">
        <f t="shared" si="43"/>
        <v>54974</v>
      </c>
      <c r="CK12" s="10">
        <f>SUM(CI12,CJ12)</f>
        <v>111031</v>
      </c>
      <c r="CL12" s="29">
        <f aca="true" t="shared" si="44" ref="CL12:CN13">IF(BZ12=0,"",CI12/BZ12*100)</f>
        <v>87.82509243592153</v>
      </c>
      <c r="CM12" s="29">
        <f t="shared" si="44"/>
        <v>90.17896688046456</v>
      </c>
      <c r="CN12" s="29">
        <f t="shared" si="44"/>
        <v>88.97498978275328</v>
      </c>
      <c r="CO12" s="9">
        <v>14774</v>
      </c>
      <c r="CP12" s="9">
        <v>14759</v>
      </c>
      <c r="CQ12" s="10">
        <f>CO12+CP12</f>
        <v>29533</v>
      </c>
      <c r="CR12" s="9">
        <v>13494</v>
      </c>
      <c r="CS12" s="9">
        <v>13393</v>
      </c>
      <c r="CT12" s="10">
        <f>CR12+CS12</f>
        <v>26887</v>
      </c>
      <c r="CU12" s="96"/>
      <c r="CV12" s="96"/>
      <c r="CW12" s="97"/>
      <c r="CX12" s="7">
        <f aca="true" t="shared" si="45" ref="CX12:CX48">SUM(CR12,CU12)</f>
        <v>13494</v>
      </c>
      <c r="CY12" s="7">
        <f aca="true" t="shared" si="46" ref="CY12:CY48">SUM(CS12,CV12)</f>
        <v>13393</v>
      </c>
      <c r="CZ12" s="10">
        <f>SUM(CX12,CY12)</f>
        <v>26887</v>
      </c>
      <c r="DA12" s="29">
        <f aca="true" t="shared" si="47" ref="DA12:DC14">IF(CO12=0,"",CX12/CO12*100)</f>
        <v>91.336131041018</v>
      </c>
      <c r="DB12" s="29">
        <f t="shared" si="47"/>
        <v>90.74463039501322</v>
      </c>
      <c r="DC12" s="29">
        <f t="shared" si="47"/>
        <v>91.04053093150036</v>
      </c>
      <c r="DD12" s="9">
        <v>1065</v>
      </c>
      <c r="DE12" s="9">
        <v>647</v>
      </c>
      <c r="DF12" s="10">
        <f aca="true" t="shared" si="48" ref="DF12:DF50">DD12+DE12</f>
        <v>1712</v>
      </c>
      <c r="DG12" s="9">
        <v>483</v>
      </c>
      <c r="DH12" s="9">
        <v>280</v>
      </c>
      <c r="DI12" s="10">
        <f aca="true" t="shared" si="49" ref="DI12:DI50">DG12+DH12</f>
        <v>763</v>
      </c>
      <c r="DJ12" s="98"/>
      <c r="DK12" s="98"/>
      <c r="DL12" s="98"/>
      <c r="DM12" s="7">
        <f>SUM(DG12,DJ12)</f>
        <v>483</v>
      </c>
      <c r="DN12" s="7">
        <f>SUM(DH12,DK12)</f>
        <v>280</v>
      </c>
      <c r="DO12" s="10">
        <f>SUM(DM12,DN12)</f>
        <v>763</v>
      </c>
      <c r="DP12" s="29">
        <f>IF(DD12=0,"",DM12/DD12*100)</f>
        <v>45.352112676056336</v>
      </c>
      <c r="DQ12" s="29">
        <f>IF(DE12=0,"",DN12/DE12*100)</f>
        <v>43.27666151468315</v>
      </c>
      <c r="DR12" s="29">
        <f>IF(DF12=0,"",DO12/DF12*100)</f>
        <v>44.56775700934579</v>
      </c>
      <c r="DS12" s="10">
        <f aca="true" t="shared" si="50" ref="DS12:DS20">CO12+DD12</f>
        <v>15839</v>
      </c>
      <c r="DT12" s="10">
        <f aca="true" t="shared" si="51" ref="DT12:DT20">CP12+DE12</f>
        <v>15406</v>
      </c>
      <c r="DU12" s="10">
        <f aca="true" t="shared" si="52" ref="DU12:DU20">DS12+DT12</f>
        <v>31245</v>
      </c>
      <c r="DV12" s="10">
        <f aca="true" t="shared" si="53" ref="DV12:DV20">CR12+DG12</f>
        <v>13977</v>
      </c>
      <c r="DW12" s="10">
        <f aca="true" t="shared" si="54" ref="DW12:DW20">CS12+DH12</f>
        <v>13673</v>
      </c>
      <c r="DX12" s="10">
        <f aca="true" t="shared" si="55" ref="DX12:DX20">DV12+DW12</f>
        <v>27650</v>
      </c>
      <c r="DY12" s="97"/>
      <c r="DZ12" s="97"/>
      <c r="EA12" s="97"/>
      <c r="EB12" s="7">
        <f aca="true" t="shared" si="56" ref="EB12:EB18">SUM(DV12,DY12)</f>
        <v>13977</v>
      </c>
      <c r="EC12" s="7">
        <f aca="true" t="shared" si="57" ref="EC12:EC18">SUM(DW12,DZ12)</f>
        <v>13673</v>
      </c>
      <c r="ED12" s="10">
        <f>SUM(EB12,EC12)</f>
        <v>27650</v>
      </c>
      <c r="EE12" s="29">
        <f aca="true" t="shared" si="58" ref="EE12:EG13">IF(DS12=0,"",EB12/DS12*100)</f>
        <v>88.24420733632174</v>
      </c>
      <c r="EF12" s="29">
        <f t="shared" si="58"/>
        <v>88.75113592106972</v>
      </c>
      <c r="EG12" s="29">
        <f t="shared" si="58"/>
        <v>88.49415906545048</v>
      </c>
      <c r="EH12" s="20">
        <f aca="true" t="shared" si="59" ref="EH12:EJ13">AP12</f>
        <v>311271</v>
      </c>
      <c r="EI12" s="20">
        <f t="shared" si="59"/>
        <v>291600</v>
      </c>
      <c r="EJ12" s="20">
        <f t="shared" si="59"/>
        <v>602871</v>
      </c>
      <c r="EK12" s="8">
        <v>839</v>
      </c>
      <c r="EL12" s="8">
        <v>720</v>
      </c>
      <c r="EM12" s="20">
        <f aca="true" t="shared" si="60" ref="EM12:EM50">EK12+EL12</f>
        <v>1559</v>
      </c>
      <c r="EN12" s="20">
        <v>10164</v>
      </c>
      <c r="EO12" s="20">
        <v>5309</v>
      </c>
      <c r="EP12" s="20">
        <f aca="true" t="shared" si="61" ref="EP12:EP50">EN12+EO12</f>
        <v>15473</v>
      </c>
      <c r="EQ12" s="53">
        <f aca="true" t="shared" si="62" ref="EQ12:EQ52">EK12/EH12%</f>
        <v>0.26954004709722396</v>
      </c>
      <c r="ER12" s="53">
        <f aca="true" t="shared" si="63" ref="ER12:ER52">EL12/EI12%</f>
        <v>0.24691358024691357</v>
      </c>
      <c r="ES12" s="53">
        <f aca="true" t="shared" si="64" ref="ES12:ES52">EM12/EJ12%</f>
        <v>0.2585959517044276</v>
      </c>
      <c r="ET12" s="41">
        <f aca="true" t="shared" si="65" ref="ET12:ET52">EN12/EH12%</f>
        <v>3.2653218578023653</v>
      </c>
      <c r="EU12" s="41">
        <f aca="true" t="shared" si="66" ref="EU12:EU52">EO12/EI12%</f>
        <v>1.820644718792867</v>
      </c>
      <c r="EV12" s="41">
        <f aca="true" t="shared" si="67" ref="EV12:EV52">EP12/EJ12%</f>
        <v>2.5665523801941044</v>
      </c>
      <c r="EW12" s="20">
        <f aca="true" t="shared" si="68" ref="EW12:EW50">CI12</f>
        <v>56057</v>
      </c>
      <c r="EX12" s="20">
        <f aca="true" t="shared" si="69" ref="EX12:EX50">CJ12</f>
        <v>54974</v>
      </c>
      <c r="EY12" s="20">
        <f aca="true" t="shared" si="70" ref="EY12:EY50">CK12</f>
        <v>111031</v>
      </c>
      <c r="EZ12" s="8">
        <v>53</v>
      </c>
      <c r="FA12" s="8">
        <v>55</v>
      </c>
      <c r="FB12" s="20">
        <f aca="true" t="shared" si="71" ref="FB12:FB50">EZ12+FA12</f>
        <v>108</v>
      </c>
      <c r="FC12" s="20">
        <v>2194</v>
      </c>
      <c r="FD12" s="20">
        <v>1346</v>
      </c>
      <c r="FE12" s="20">
        <f aca="true" t="shared" si="72" ref="FE12:FE50">FC12+FD12</f>
        <v>3540</v>
      </c>
      <c r="FF12" s="53">
        <f aca="true" t="shared" si="73" ref="FF12:FF50">EZ12/EW12%</f>
        <v>0.09454662218812993</v>
      </c>
      <c r="FG12" s="53">
        <f aca="true" t="shared" si="74" ref="FG12:FG50">FA12/EX12%</f>
        <v>0.10004729508494925</v>
      </c>
      <c r="FH12" s="53">
        <f aca="true" t="shared" si="75" ref="FH12:FH50">FB12/EY12%</f>
        <v>0.09727013176500257</v>
      </c>
      <c r="FI12" s="41">
        <f aca="true" t="shared" si="76" ref="FI12:FI50">FC12/EW12%</f>
        <v>3.913873378882209</v>
      </c>
      <c r="FJ12" s="41">
        <f aca="true" t="shared" si="77" ref="FJ12:FJ50">FD12/EX12%</f>
        <v>2.4484301669880306</v>
      </c>
      <c r="FK12" s="41">
        <f aca="true" t="shared" si="78" ref="FK12:FK50">FE12/EY12%</f>
        <v>3.1882987634084174</v>
      </c>
      <c r="FL12" s="20">
        <f aca="true" t="shared" si="79" ref="FL12:FL18">EB12</f>
        <v>13977</v>
      </c>
      <c r="FM12" s="20">
        <f aca="true" t="shared" si="80" ref="FM12:FM18">EC12</f>
        <v>13673</v>
      </c>
      <c r="FN12" s="20">
        <f aca="true" t="shared" si="81" ref="FN12:FN18">ED12</f>
        <v>27650</v>
      </c>
      <c r="FO12" s="8">
        <v>19</v>
      </c>
      <c r="FP12" s="8">
        <v>8</v>
      </c>
      <c r="FQ12" s="20">
        <f aca="true" t="shared" si="82" ref="FQ12:FQ50">FO12+FP12</f>
        <v>27</v>
      </c>
      <c r="FR12" s="20">
        <v>421</v>
      </c>
      <c r="FS12" s="20">
        <v>235</v>
      </c>
      <c r="FT12" s="20">
        <f aca="true" t="shared" si="83" ref="FT12:FT50">FR12+FS12</f>
        <v>656</v>
      </c>
      <c r="FU12" s="53">
        <f>FO12/FL12%</f>
        <v>0.13593761179079916</v>
      </c>
      <c r="FV12" s="53">
        <f aca="true" t="shared" si="84" ref="FV12:FV49">FP12/FM12%</f>
        <v>0.05850947122065385</v>
      </c>
      <c r="FW12" s="53">
        <f aca="true" t="shared" si="85" ref="FW12:FW49">FQ12/FN12%</f>
        <v>0.09764918625678119</v>
      </c>
      <c r="FX12" s="41">
        <f aca="true" t="shared" si="86" ref="FX12:FX50">FR12/FL12%</f>
        <v>3.012091292838234</v>
      </c>
      <c r="FY12" s="41">
        <f aca="true" t="shared" si="87" ref="FY12:FY50">FS12/FM12%</f>
        <v>1.7187157171067067</v>
      </c>
      <c r="FZ12" s="41">
        <f aca="true" t="shared" si="88" ref="FZ12:FZ50">FT12/FN12%</f>
        <v>2.37251356238698</v>
      </c>
    </row>
    <row r="13" spans="1:182" ht="31.5" customHeight="1">
      <c r="A13" s="3">
        <v>4</v>
      </c>
      <c r="B13" s="70" t="s">
        <v>70</v>
      </c>
      <c r="C13" s="7">
        <v>12640</v>
      </c>
      <c r="D13" s="7">
        <v>8030</v>
      </c>
      <c r="E13" s="16">
        <f t="shared" si="21"/>
        <v>20670</v>
      </c>
      <c r="F13" s="7">
        <v>8000</v>
      </c>
      <c r="G13" s="7">
        <v>5064</v>
      </c>
      <c r="H13" s="8">
        <f t="shared" si="22"/>
        <v>13064</v>
      </c>
      <c r="I13" s="98"/>
      <c r="J13" s="98"/>
      <c r="K13" s="103"/>
      <c r="L13" s="7">
        <f aca="true" t="shared" si="89" ref="L13:N14">SUM(F13,I13)</f>
        <v>8000</v>
      </c>
      <c r="M13" s="7">
        <f t="shared" si="89"/>
        <v>5064</v>
      </c>
      <c r="N13" s="7">
        <f t="shared" si="89"/>
        <v>13064</v>
      </c>
      <c r="O13" s="29">
        <f aca="true" t="shared" si="90" ref="O13:Q14">L13/C13*100</f>
        <v>63.29113924050633</v>
      </c>
      <c r="P13" s="29">
        <f t="shared" si="90"/>
        <v>63.06351183063512</v>
      </c>
      <c r="Q13" s="29">
        <f t="shared" si="90"/>
        <v>63.20270924044509</v>
      </c>
      <c r="R13" s="99"/>
      <c r="S13" s="99"/>
      <c r="T13" s="101"/>
      <c r="U13" s="99"/>
      <c r="V13" s="99"/>
      <c r="W13" s="101"/>
      <c r="X13" s="96"/>
      <c r="Y13" s="96"/>
      <c r="Z13" s="97"/>
      <c r="AA13" s="99"/>
      <c r="AB13" s="99"/>
      <c r="AC13" s="97"/>
      <c r="AD13" s="100"/>
      <c r="AE13" s="100"/>
      <c r="AF13" s="100"/>
      <c r="AG13" s="10">
        <f>C13+R13</f>
        <v>12640</v>
      </c>
      <c r="AH13" s="10">
        <f>D13+S13</f>
        <v>8030</v>
      </c>
      <c r="AI13" s="10">
        <f>AG13+AH13</f>
        <v>20670</v>
      </c>
      <c r="AJ13" s="10">
        <f>F13+U13</f>
        <v>8000</v>
      </c>
      <c r="AK13" s="10">
        <f>G13+V13</f>
        <v>5064</v>
      </c>
      <c r="AL13" s="10">
        <f>AJ13+AK13</f>
        <v>13064</v>
      </c>
      <c r="AM13" s="97"/>
      <c r="AN13" s="97"/>
      <c r="AO13" s="97"/>
      <c r="AP13" s="7">
        <f>SUM(AJ13,AM13)</f>
        <v>8000</v>
      </c>
      <c r="AQ13" s="7">
        <f>SUM(AK13,AN13)</f>
        <v>5064</v>
      </c>
      <c r="AR13" s="10">
        <f>SUM(AP13,AQ13)</f>
        <v>13064</v>
      </c>
      <c r="AS13" s="29">
        <f t="shared" si="31"/>
        <v>63.29113924050633</v>
      </c>
      <c r="AT13" s="29">
        <f t="shared" si="31"/>
        <v>63.06351183063512</v>
      </c>
      <c r="AU13" s="29">
        <f t="shared" si="31"/>
        <v>63.20270924044509</v>
      </c>
      <c r="AV13" s="9">
        <v>1341</v>
      </c>
      <c r="AW13" s="9">
        <v>876</v>
      </c>
      <c r="AX13" s="10">
        <f>AV13+AW13</f>
        <v>2217</v>
      </c>
      <c r="AY13" s="9">
        <v>780</v>
      </c>
      <c r="AZ13" s="9">
        <v>493</v>
      </c>
      <c r="BA13" s="10">
        <f>AY13+AZ13</f>
        <v>1273</v>
      </c>
      <c r="BB13" s="98"/>
      <c r="BC13" s="98"/>
      <c r="BD13" s="97"/>
      <c r="BE13" s="7">
        <f>SUM(AY13,BB13)</f>
        <v>780</v>
      </c>
      <c r="BF13" s="7">
        <f>SUM(AZ13,BC13)</f>
        <v>493</v>
      </c>
      <c r="BG13" s="10">
        <f>SUM(BE13,BF13)</f>
        <v>1273</v>
      </c>
      <c r="BH13" s="29">
        <f t="shared" si="35"/>
        <v>58.16554809843401</v>
      </c>
      <c r="BI13" s="29">
        <f t="shared" si="35"/>
        <v>56.278538812785385</v>
      </c>
      <c r="BJ13" s="29">
        <f t="shared" si="35"/>
        <v>57.419936851601264</v>
      </c>
      <c r="BK13" s="96"/>
      <c r="BL13" s="96"/>
      <c r="BM13" s="97"/>
      <c r="BN13" s="96"/>
      <c r="BO13" s="96"/>
      <c r="BP13" s="97"/>
      <c r="BQ13" s="98"/>
      <c r="BR13" s="98"/>
      <c r="BS13" s="97"/>
      <c r="BT13" s="99"/>
      <c r="BU13" s="99"/>
      <c r="BV13" s="97"/>
      <c r="BW13" s="100"/>
      <c r="BX13" s="100"/>
      <c r="BY13" s="100"/>
      <c r="BZ13" s="10">
        <f>AV13+BK13</f>
        <v>1341</v>
      </c>
      <c r="CA13" s="10">
        <f>AW13+BL13</f>
        <v>876</v>
      </c>
      <c r="CB13" s="10">
        <f>BZ13+CA13</f>
        <v>2217</v>
      </c>
      <c r="CC13" s="10">
        <f>AY13+BN13</f>
        <v>780</v>
      </c>
      <c r="CD13" s="10">
        <f>AZ13+BO13</f>
        <v>493</v>
      </c>
      <c r="CE13" s="10">
        <f>CC13+CD13</f>
        <v>1273</v>
      </c>
      <c r="CF13" s="97"/>
      <c r="CG13" s="97"/>
      <c r="CH13" s="97"/>
      <c r="CI13" s="7">
        <f>SUM(CC13,CF13)</f>
        <v>780</v>
      </c>
      <c r="CJ13" s="7">
        <f>SUM(CD13,CG13)</f>
        <v>493</v>
      </c>
      <c r="CK13" s="10">
        <f>SUM(CI13,CJ13)</f>
        <v>1273</v>
      </c>
      <c r="CL13" s="29">
        <f t="shared" si="44"/>
        <v>58.16554809843401</v>
      </c>
      <c r="CM13" s="29">
        <f t="shared" si="44"/>
        <v>56.278538812785385</v>
      </c>
      <c r="CN13" s="29">
        <f t="shared" si="44"/>
        <v>57.419936851601264</v>
      </c>
      <c r="CO13" s="9">
        <v>1233</v>
      </c>
      <c r="CP13" s="9">
        <v>845</v>
      </c>
      <c r="CQ13" s="10">
        <f>CO13+CP13</f>
        <v>2078</v>
      </c>
      <c r="CR13" s="9">
        <v>845</v>
      </c>
      <c r="CS13" s="9">
        <v>561</v>
      </c>
      <c r="CT13" s="10">
        <f>CR13+CS13</f>
        <v>1406</v>
      </c>
      <c r="CU13" s="96"/>
      <c r="CV13" s="96"/>
      <c r="CW13" s="97"/>
      <c r="CX13" s="7">
        <f>SUM(CR13,CU13)</f>
        <v>845</v>
      </c>
      <c r="CY13" s="7">
        <f>SUM(CS13,CV13)</f>
        <v>561</v>
      </c>
      <c r="CZ13" s="10">
        <f>SUM(CX13,CY13)</f>
        <v>1406</v>
      </c>
      <c r="DA13" s="29">
        <f t="shared" si="47"/>
        <v>68.53203568532035</v>
      </c>
      <c r="DB13" s="29">
        <f t="shared" si="47"/>
        <v>66.3905325443787</v>
      </c>
      <c r="DC13" s="29">
        <f t="shared" si="47"/>
        <v>67.66121270452358</v>
      </c>
      <c r="DD13" s="96"/>
      <c r="DE13" s="96"/>
      <c r="DF13" s="97"/>
      <c r="DG13" s="96"/>
      <c r="DH13" s="96"/>
      <c r="DI13" s="97"/>
      <c r="DJ13" s="98"/>
      <c r="DK13" s="98"/>
      <c r="DL13" s="98"/>
      <c r="DM13" s="99"/>
      <c r="DN13" s="99"/>
      <c r="DO13" s="97"/>
      <c r="DP13" s="100"/>
      <c r="DQ13" s="100"/>
      <c r="DR13" s="100"/>
      <c r="DS13" s="10">
        <f>CO13+DD13</f>
        <v>1233</v>
      </c>
      <c r="DT13" s="10">
        <f>CP13+DE13</f>
        <v>845</v>
      </c>
      <c r="DU13" s="10">
        <f>DS13+DT13</f>
        <v>2078</v>
      </c>
      <c r="DV13" s="10">
        <f>CR13+DG13</f>
        <v>845</v>
      </c>
      <c r="DW13" s="10">
        <f>CS13+DH13</f>
        <v>561</v>
      </c>
      <c r="DX13" s="10">
        <f>DV13+DW13</f>
        <v>1406</v>
      </c>
      <c r="DY13" s="97"/>
      <c r="DZ13" s="97"/>
      <c r="EA13" s="97"/>
      <c r="EB13" s="7">
        <f>SUM(DV13,DY13)</f>
        <v>845</v>
      </c>
      <c r="EC13" s="7">
        <f>SUM(DW13,DZ13)</f>
        <v>561</v>
      </c>
      <c r="ED13" s="10">
        <f>SUM(EB13,EC13)</f>
        <v>1406</v>
      </c>
      <c r="EE13" s="29">
        <f t="shared" si="58"/>
        <v>68.53203568532035</v>
      </c>
      <c r="EF13" s="29">
        <f t="shared" si="58"/>
        <v>66.3905325443787</v>
      </c>
      <c r="EG13" s="29">
        <f t="shared" si="58"/>
        <v>67.66121270452358</v>
      </c>
      <c r="EH13" s="20">
        <f t="shared" si="59"/>
        <v>8000</v>
      </c>
      <c r="EI13" s="20">
        <f t="shared" si="59"/>
        <v>5064</v>
      </c>
      <c r="EJ13" s="20">
        <f t="shared" si="59"/>
        <v>13064</v>
      </c>
      <c r="EK13" s="8">
        <v>5</v>
      </c>
      <c r="EL13" s="8">
        <v>5</v>
      </c>
      <c r="EM13" s="20">
        <f>EK13+EL13</f>
        <v>10</v>
      </c>
      <c r="EN13" s="20">
        <v>724</v>
      </c>
      <c r="EO13" s="20">
        <v>519</v>
      </c>
      <c r="EP13" s="20">
        <f>EN13+EO13</f>
        <v>1243</v>
      </c>
      <c r="EQ13" s="53">
        <f aca="true" t="shared" si="91" ref="EQ13:ES14">EK13/EH13%</f>
        <v>0.0625</v>
      </c>
      <c r="ER13" s="53">
        <f t="shared" si="91"/>
        <v>0.09873617693522907</v>
      </c>
      <c r="ES13" s="53">
        <f t="shared" si="91"/>
        <v>0.07654623392529088</v>
      </c>
      <c r="ET13" s="41">
        <f aca="true" t="shared" si="92" ref="ET13:EV14">EN13/EH13%</f>
        <v>9.05</v>
      </c>
      <c r="EU13" s="41">
        <f t="shared" si="92"/>
        <v>10.248815165876778</v>
      </c>
      <c r="EV13" s="41">
        <f t="shared" si="92"/>
        <v>9.514696876913657</v>
      </c>
      <c r="EW13" s="20">
        <f aca="true" t="shared" si="93" ref="EW13:EY14">CI13</f>
        <v>780</v>
      </c>
      <c r="EX13" s="20">
        <f t="shared" si="93"/>
        <v>493</v>
      </c>
      <c r="EY13" s="20">
        <f t="shared" si="93"/>
        <v>1273</v>
      </c>
      <c r="EZ13" s="8">
        <v>0</v>
      </c>
      <c r="FA13" s="8">
        <v>0</v>
      </c>
      <c r="FB13" s="20">
        <f>EZ13+FA13</f>
        <v>0</v>
      </c>
      <c r="FC13" s="20">
        <v>59</v>
      </c>
      <c r="FD13" s="20">
        <v>40</v>
      </c>
      <c r="FE13" s="20">
        <f>FC13+FD13</f>
        <v>99</v>
      </c>
      <c r="FF13" s="53">
        <f aca="true" t="shared" si="94" ref="FF13:FH14">EZ13/EW13%</f>
        <v>0</v>
      </c>
      <c r="FG13" s="53">
        <f t="shared" si="94"/>
        <v>0</v>
      </c>
      <c r="FH13" s="53">
        <f t="shared" si="94"/>
        <v>0</v>
      </c>
      <c r="FI13" s="41">
        <f aca="true" t="shared" si="95" ref="FI13:FK14">FC13/EW13%</f>
        <v>7.564102564102564</v>
      </c>
      <c r="FJ13" s="41">
        <f t="shared" si="95"/>
        <v>8.113590263691684</v>
      </c>
      <c r="FK13" s="41">
        <f t="shared" si="95"/>
        <v>7.776904948939513</v>
      </c>
      <c r="FL13" s="20">
        <f>EB13</f>
        <v>845</v>
      </c>
      <c r="FM13" s="20">
        <f>EC13</f>
        <v>561</v>
      </c>
      <c r="FN13" s="20">
        <f t="shared" si="81"/>
        <v>1406</v>
      </c>
      <c r="FO13" s="8">
        <v>0</v>
      </c>
      <c r="FP13" s="8">
        <v>0</v>
      </c>
      <c r="FQ13" s="20">
        <f>FO13+FP13</f>
        <v>0</v>
      </c>
      <c r="FR13" s="20">
        <v>107</v>
      </c>
      <c r="FS13" s="20">
        <v>53</v>
      </c>
      <c r="FT13" s="20">
        <f>FR13+FS13</f>
        <v>160</v>
      </c>
      <c r="FU13" s="53">
        <f aca="true" t="shared" si="96" ref="FU13:FW14">FO13/FL13%</f>
        <v>0</v>
      </c>
      <c r="FV13" s="53">
        <f t="shared" si="96"/>
        <v>0</v>
      </c>
      <c r="FW13" s="53">
        <f t="shared" si="96"/>
        <v>0</v>
      </c>
      <c r="FX13" s="41">
        <f>FR13/FL13%</f>
        <v>12.662721893491126</v>
      </c>
      <c r="FY13" s="41">
        <f>FS13/FM13%</f>
        <v>9.44741532976827</v>
      </c>
      <c r="FZ13" s="41">
        <f t="shared" si="88"/>
        <v>11.379800853485063</v>
      </c>
    </row>
    <row r="14" spans="1:182" ht="31.5" customHeight="1">
      <c r="A14" s="3">
        <v>5</v>
      </c>
      <c r="B14" s="70" t="s">
        <v>76</v>
      </c>
      <c r="C14" s="7">
        <v>508</v>
      </c>
      <c r="D14" s="7">
        <v>280</v>
      </c>
      <c r="E14" s="16">
        <f t="shared" si="21"/>
        <v>788</v>
      </c>
      <c r="F14" s="7">
        <v>467</v>
      </c>
      <c r="G14" s="7">
        <v>259</v>
      </c>
      <c r="H14" s="8">
        <f t="shared" si="22"/>
        <v>726</v>
      </c>
      <c r="I14" s="98"/>
      <c r="J14" s="98"/>
      <c r="K14" s="103"/>
      <c r="L14" s="7">
        <f t="shared" si="89"/>
        <v>467</v>
      </c>
      <c r="M14" s="7">
        <f t="shared" si="89"/>
        <v>259</v>
      </c>
      <c r="N14" s="7">
        <f t="shared" si="89"/>
        <v>726</v>
      </c>
      <c r="O14" s="29">
        <f t="shared" si="90"/>
        <v>91.92913385826772</v>
      </c>
      <c r="P14" s="29">
        <f t="shared" si="90"/>
        <v>92.5</v>
      </c>
      <c r="Q14" s="29">
        <f t="shared" si="90"/>
        <v>92.13197969543148</v>
      </c>
      <c r="R14" s="99"/>
      <c r="S14" s="99"/>
      <c r="T14" s="101"/>
      <c r="U14" s="99"/>
      <c r="V14" s="99"/>
      <c r="W14" s="101"/>
      <c r="X14" s="96"/>
      <c r="Y14" s="96"/>
      <c r="Z14" s="97"/>
      <c r="AA14" s="99"/>
      <c r="AB14" s="99"/>
      <c r="AC14" s="97"/>
      <c r="AD14" s="100"/>
      <c r="AE14" s="100"/>
      <c r="AF14" s="100"/>
      <c r="AG14" s="10">
        <f>C14+R14</f>
        <v>508</v>
      </c>
      <c r="AH14" s="10">
        <f>D14+S14</f>
        <v>280</v>
      </c>
      <c r="AI14" s="10">
        <f>AG14+AH14</f>
        <v>788</v>
      </c>
      <c r="AJ14" s="10">
        <f>F14+U14</f>
        <v>467</v>
      </c>
      <c r="AK14" s="10">
        <f>G14+V14</f>
        <v>259</v>
      </c>
      <c r="AL14" s="10">
        <f>AJ14+AK14</f>
        <v>726</v>
      </c>
      <c r="AM14" s="97"/>
      <c r="AN14" s="97"/>
      <c r="AO14" s="97"/>
      <c r="AP14" s="7">
        <f>SUM(AJ14,AM14)</f>
        <v>467</v>
      </c>
      <c r="AQ14" s="7">
        <f>SUM(AK14,AN14)</f>
        <v>259</v>
      </c>
      <c r="AR14" s="10">
        <f>SUM(AP14,AQ14)</f>
        <v>726</v>
      </c>
      <c r="AS14" s="29">
        <f>IF(AG14=0,"",AP14/AG14*100)</f>
        <v>91.92913385826772</v>
      </c>
      <c r="AT14" s="29">
        <f>IF(AH14=0,"",AQ14/AH14*100)</f>
        <v>92.5</v>
      </c>
      <c r="AU14" s="29">
        <f>IF(AI14=0,"",AR14/AI14*100)</f>
        <v>92.13197969543148</v>
      </c>
      <c r="AV14" s="83">
        <v>63</v>
      </c>
      <c r="AW14" s="83">
        <v>56</v>
      </c>
      <c r="AX14" s="10">
        <f>AV14+AW14</f>
        <v>119</v>
      </c>
      <c r="AY14" s="83">
        <v>55</v>
      </c>
      <c r="AZ14" s="83">
        <v>50</v>
      </c>
      <c r="BA14" s="10">
        <f>AY14+AZ14</f>
        <v>105</v>
      </c>
      <c r="BB14" s="98"/>
      <c r="BC14" s="98"/>
      <c r="BD14" s="97"/>
      <c r="BE14" s="7">
        <f>SUM(AY14,BB14)</f>
        <v>55</v>
      </c>
      <c r="BF14" s="7">
        <f>SUM(AZ14,BC14)</f>
        <v>50</v>
      </c>
      <c r="BG14" s="10">
        <f>SUM(BE14,BF14)</f>
        <v>105</v>
      </c>
      <c r="BH14" s="29">
        <f t="shared" si="35"/>
        <v>87.3015873015873</v>
      </c>
      <c r="BI14" s="29">
        <f t="shared" si="35"/>
        <v>89.28571428571429</v>
      </c>
      <c r="BJ14" s="29">
        <f t="shared" si="35"/>
        <v>88.23529411764706</v>
      </c>
      <c r="BK14" s="96"/>
      <c r="BL14" s="96"/>
      <c r="BM14" s="97"/>
      <c r="BN14" s="96"/>
      <c r="BO14" s="96"/>
      <c r="BP14" s="97"/>
      <c r="BQ14" s="98"/>
      <c r="BR14" s="98"/>
      <c r="BS14" s="97"/>
      <c r="BT14" s="99"/>
      <c r="BU14" s="99"/>
      <c r="BV14" s="97"/>
      <c r="BW14" s="100"/>
      <c r="BX14" s="100"/>
      <c r="BY14" s="100"/>
      <c r="BZ14" s="10">
        <f>AV14+BK14</f>
        <v>63</v>
      </c>
      <c r="CA14" s="10">
        <f>AW14+BL14</f>
        <v>56</v>
      </c>
      <c r="CB14" s="10">
        <f>BZ14+CA14</f>
        <v>119</v>
      </c>
      <c r="CC14" s="10">
        <f>AY14+BN14</f>
        <v>55</v>
      </c>
      <c r="CD14" s="10">
        <f>AZ14+BO14</f>
        <v>50</v>
      </c>
      <c r="CE14" s="10">
        <f>CC14+CD14</f>
        <v>105</v>
      </c>
      <c r="CF14" s="156"/>
      <c r="CG14" s="97"/>
      <c r="CH14" s="97"/>
      <c r="CI14" s="7">
        <f>SUM(CC14,CF14)</f>
        <v>55</v>
      </c>
      <c r="CJ14" s="7">
        <f>SUM(CD14,CG14)</f>
        <v>50</v>
      </c>
      <c r="CK14" s="10">
        <f>SUM(CI14,CJ14)</f>
        <v>105</v>
      </c>
      <c r="CL14" s="29">
        <f>IF(BZ14=0,"",CI14/BZ14*100)</f>
        <v>87.3015873015873</v>
      </c>
      <c r="CM14" s="29">
        <f>IF(CA14=0,"",CJ14/CA14*100)</f>
        <v>89.28571428571429</v>
      </c>
      <c r="CN14" s="29">
        <f>IF(CB14=0,"",CK14/CB14*100)</f>
        <v>88.23529411764706</v>
      </c>
      <c r="CO14" s="9">
        <v>4</v>
      </c>
      <c r="CP14" s="9">
        <v>7</v>
      </c>
      <c r="CQ14" s="10">
        <f>CO14+CP14</f>
        <v>11</v>
      </c>
      <c r="CR14" s="9">
        <v>2</v>
      </c>
      <c r="CS14" s="9">
        <v>4</v>
      </c>
      <c r="CT14" s="10">
        <f>CR14+CS14</f>
        <v>6</v>
      </c>
      <c r="CU14" s="96"/>
      <c r="CV14" s="96"/>
      <c r="CW14" s="97"/>
      <c r="CX14" s="7">
        <f>SUM(CR14,CU14)</f>
        <v>2</v>
      </c>
      <c r="CY14" s="7">
        <f>SUM(CS14,CV14)</f>
        <v>4</v>
      </c>
      <c r="CZ14" s="10">
        <f>SUM(CX14,CY14)</f>
        <v>6</v>
      </c>
      <c r="DA14" s="29">
        <f t="shared" si="47"/>
        <v>50</v>
      </c>
      <c r="DB14" s="29">
        <f t="shared" si="47"/>
        <v>57.14285714285714</v>
      </c>
      <c r="DC14" s="29">
        <f t="shared" si="47"/>
        <v>54.54545454545454</v>
      </c>
      <c r="DD14" s="96"/>
      <c r="DE14" s="96"/>
      <c r="DF14" s="97"/>
      <c r="DG14" s="96"/>
      <c r="DH14" s="96"/>
      <c r="DI14" s="97"/>
      <c r="DJ14" s="98"/>
      <c r="DK14" s="98"/>
      <c r="DL14" s="98"/>
      <c r="DM14" s="99"/>
      <c r="DN14" s="99"/>
      <c r="DO14" s="97"/>
      <c r="DP14" s="100"/>
      <c r="DQ14" s="100"/>
      <c r="DR14" s="100"/>
      <c r="DS14" s="10">
        <f>CO14+DD14</f>
        <v>4</v>
      </c>
      <c r="DT14" s="10">
        <f>CP14+DE14</f>
        <v>7</v>
      </c>
      <c r="DU14" s="10">
        <f>DS14+DT14</f>
        <v>11</v>
      </c>
      <c r="DV14" s="10">
        <f>CR14+DG14</f>
        <v>2</v>
      </c>
      <c r="DW14" s="10">
        <f>CS14+DH14</f>
        <v>4</v>
      </c>
      <c r="DX14" s="10">
        <f>DV14+DW14</f>
        <v>6</v>
      </c>
      <c r="DY14" s="97"/>
      <c r="DZ14" s="97"/>
      <c r="EA14" s="97"/>
      <c r="EB14" s="7">
        <f>SUM(DV14,DY14)</f>
        <v>2</v>
      </c>
      <c r="EC14" s="7">
        <f>SUM(DW14,DZ14)</f>
        <v>4</v>
      </c>
      <c r="ED14" s="10">
        <f>SUM(EB14,EC14)</f>
        <v>6</v>
      </c>
      <c r="EE14" s="29">
        <f aca="true" t="shared" si="97" ref="EE14:EG15">IF(DS14=0,"",EB14/DS14*100)</f>
        <v>50</v>
      </c>
      <c r="EF14" s="29">
        <f t="shared" si="97"/>
        <v>57.14285714285714</v>
      </c>
      <c r="EG14" s="29">
        <f t="shared" si="97"/>
        <v>54.54545454545454</v>
      </c>
      <c r="EH14" s="20">
        <f>AP14</f>
        <v>467</v>
      </c>
      <c r="EI14" s="20">
        <f>AQ14</f>
        <v>259</v>
      </c>
      <c r="EJ14" s="20">
        <f>AR14</f>
        <v>726</v>
      </c>
      <c r="EK14" s="8">
        <v>7</v>
      </c>
      <c r="EL14" s="8">
        <v>0</v>
      </c>
      <c r="EM14" s="20">
        <f>EK14+EL14</f>
        <v>7</v>
      </c>
      <c r="EN14" s="20">
        <v>147</v>
      </c>
      <c r="EO14" s="20">
        <v>79</v>
      </c>
      <c r="EP14" s="20">
        <f>EN14+EO14</f>
        <v>226</v>
      </c>
      <c r="EQ14" s="53">
        <f t="shared" si="91"/>
        <v>1.4989293361884368</v>
      </c>
      <c r="ER14" s="53">
        <f t="shared" si="91"/>
        <v>0</v>
      </c>
      <c r="ES14" s="53">
        <f t="shared" si="91"/>
        <v>0.9641873278236915</v>
      </c>
      <c r="ET14" s="41">
        <f t="shared" si="92"/>
        <v>31.477516059957175</v>
      </c>
      <c r="EU14" s="41">
        <f t="shared" si="92"/>
        <v>30.501930501930502</v>
      </c>
      <c r="EV14" s="41">
        <f t="shared" si="92"/>
        <v>31.12947658402204</v>
      </c>
      <c r="EW14" s="20">
        <f t="shared" si="93"/>
        <v>55</v>
      </c>
      <c r="EX14" s="20">
        <f t="shared" si="93"/>
        <v>50</v>
      </c>
      <c r="EY14" s="20">
        <f t="shared" si="93"/>
        <v>105</v>
      </c>
      <c r="EZ14" s="8">
        <v>0</v>
      </c>
      <c r="FA14" s="8">
        <v>0</v>
      </c>
      <c r="FB14" s="20">
        <f>EZ14+FA14</f>
        <v>0</v>
      </c>
      <c r="FC14" s="20">
        <v>16</v>
      </c>
      <c r="FD14" s="20">
        <v>7</v>
      </c>
      <c r="FE14" s="20">
        <f>FC14+FD14</f>
        <v>23</v>
      </c>
      <c r="FF14" s="53">
        <f t="shared" si="94"/>
        <v>0</v>
      </c>
      <c r="FG14" s="53">
        <f t="shared" si="94"/>
        <v>0</v>
      </c>
      <c r="FH14" s="53">
        <f t="shared" si="94"/>
        <v>0</v>
      </c>
      <c r="FI14" s="41">
        <f t="shared" si="95"/>
        <v>29.09090909090909</v>
      </c>
      <c r="FJ14" s="41">
        <f t="shared" si="95"/>
        <v>14</v>
      </c>
      <c r="FK14" s="41">
        <f t="shared" si="95"/>
        <v>21.904761904761905</v>
      </c>
      <c r="FL14" s="20">
        <f>EB14</f>
        <v>2</v>
      </c>
      <c r="FM14" s="20">
        <f>EC14</f>
        <v>4</v>
      </c>
      <c r="FN14" s="20">
        <f>ED14</f>
        <v>6</v>
      </c>
      <c r="FO14" s="8">
        <v>0</v>
      </c>
      <c r="FP14" s="8">
        <v>0</v>
      </c>
      <c r="FQ14" s="20">
        <f>FO14+FP14</f>
        <v>0</v>
      </c>
      <c r="FR14" s="20">
        <v>0</v>
      </c>
      <c r="FS14" s="20">
        <v>1</v>
      </c>
      <c r="FT14" s="20">
        <f>FR14+FS14</f>
        <v>1</v>
      </c>
      <c r="FU14" s="53">
        <f t="shared" si="96"/>
        <v>0</v>
      </c>
      <c r="FV14" s="53">
        <f t="shared" si="96"/>
        <v>0</v>
      </c>
      <c r="FW14" s="53">
        <f t="shared" si="96"/>
        <v>0</v>
      </c>
      <c r="FX14" s="41">
        <f>FR14/FL14%</f>
        <v>0</v>
      </c>
      <c r="FY14" s="41">
        <f>FS14/FM14%</f>
        <v>25</v>
      </c>
      <c r="FZ14" s="41">
        <f t="shared" si="88"/>
        <v>16.666666666666668</v>
      </c>
    </row>
    <row r="15" spans="1:182" ht="35.25" customHeight="1">
      <c r="A15" s="3">
        <v>6</v>
      </c>
      <c r="B15" s="5" t="s">
        <v>14</v>
      </c>
      <c r="C15" s="7">
        <v>189117</v>
      </c>
      <c r="D15" s="7">
        <v>202587</v>
      </c>
      <c r="E15" s="16">
        <f t="shared" si="21"/>
        <v>391704</v>
      </c>
      <c r="F15" s="7">
        <v>121735</v>
      </c>
      <c r="G15" s="7">
        <v>125262</v>
      </c>
      <c r="H15" s="8">
        <f>F15+G15</f>
        <v>246997</v>
      </c>
      <c r="I15" s="98"/>
      <c r="J15" s="98"/>
      <c r="K15" s="103"/>
      <c r="L15" s="7">
        <f t="shared" si="23"/>
        <v>121735</v>
      </c>
      <c r="M15" s="7">
        <f t="shared" si="23"/>
        <v>125262</v>
      </c>
      <c r="N15" s="7">
        <f t="shared" si="23"/>
        <v>246997</v>
      </c>
      <c r="O15" s="29">
        <f t="shared" si="20"/>
        <v>64.37020468810313</v>
      </c>
      <c r="P15" s="29">
        <f t="shared" si="20"/>
        <v>61.83121325652683</v>
      </c>
      <c r="Q15" s="29">
        <f t="shared" si="20"/>
        <v>63.05705328513367</v>
      </c>
      <c r="R15" s="99"/>
      <c r="S15" s="99"/>
      <c r="T15" s="101"/>
      <c r="U15" s="99"/>
      <c r="V15" s="99"/>
      <c r="W15" s="101"/>
      <c r="X15" s="103"/>
      <c r="Y15" s="103"/>
      <c r="Z15" s="97"/>
      <c r="AA15" s="99"/>
      <c r="AB15" s="99"/>
      <c r="AC15" s="97"/>
      <c r="AD15" s="100"/>
      <c r="AE15" s="100"/>
      <c r="AF15" s="100"/>
      <c r="AG15" s="10">
        <f t="shared" si="26"/>
        <v>189117</v>
      </c>
      <c r="AH15" s="10">
        <f t="shared" si="26"/>
        <v>202587</v>
      </c>
      <c r="AI15" s="10">
        <f t="shared" si="27"/>
        <v>391704</v>
      </c>
      <c r="AJ15" s="10">
        <f t="shared" si="28"/>
        <v>121735</v>
      </c>
      <c r="AK15" s="10">
        <f t="shared" si="28"/>
        <v>125262</v>
      </c>
      <c r="AL15" s="10">
        <f t="shared" si="29"/>
        <v>246997</v>
      </c>
      <c r="AM15" s="97"/>
      <c r="AN15" s="97"/>
      <c r="AO15" s="97"/>
      <c r="AP15" s="7">
        <f t="shared" si="30"/>
        <v>121735</v>
      </c>
      <c r="AQ15" s="7">
        <f t="shared" si="30"/>
        <v>125262</v>
      </c>
      <c r="AR15" s="10">
        <f aca="true" t="shared" si="98" ref="AR15:AR48">SUM(AP15,AQ15)</f>
        <v>246997</v>
      </c>
      <c r="AS15" s="29">
        <f aca="true" t="shared" si="99" ref="AS15:AU48">IF(AG15=0,"",AP15/AG15*100)</f>
        <v>64.37020468810313</v>
      </c>
      <c r="AT15" s="29">
        <f t="shared" si="99"/>
        <v>61.83121325652683</v>
      </c>
      <c r="AU15" s="29">
        <f t="shared" si="99"/>
        <v>63.05705328513367</v>
      </c>
      <c r="AV15" s="9">
        <v>18456</v>
      </c>
      <c r="AW15" s="9">
        <v>19385</v>
      </c>
      <c r="AX15" s="10">
        <f t="shared" si="32"/>
        <v>37841</v>
      </c>
      <c r="AY15" s="9">
        <v>10945</v>
      </c>
      <c r="AZ15" s="9">
        <v>10918</v>
      </c>
      <c r="BA15" s="10">
        <f t="shared" si="33"/>
        <v>21863</v>
      </c>
      <c r="BB15" s="98"/>
      <c r="BC15" s="98"/>
      <c r="BD15" s="97"/>
      <c r="BE15" s="7">
        <f t="shared" si="34"/>
        <v>10945</v>
      </c>
      <c r="BF15" s="7">
        <f t="shared" si="34"/>
        <v>10918</v>
      </c>
      <c r="BG15" s="10">
        <f aca="true" t="shared" si="100" ref="BG15:BG48">SUM(BE15,BF15)</f>
        <v>21863</v>
      </c>
      <c r="BH15" s="29">
        <f aca="true" t="shared" si="101" ref="BH15:BJ48">IF(AV15=0,"",BE15/AV15*100)</f>
        <v>59.303207628955356</v>
      </c>
      <c r="BI15" s="29">
        <f t="shared" si="101"/>
        <v>56.32189837503224</v>
      </c>
      <c r="BJ15" s="29">
        <f t="shared" si="101"/>
        <v>57.7759572949975</v>
      </c>
      <c r="BK15" s="96"/>
      <c r="BL15" s="96"/>
      <c r="BM15" s="97"/>
      <c r="BN15" s="96"/>
      <c r="BO15" s="96"/>
      <c r="BP15" s="97"/>
      <c r="BQ15" s="96"/>
      <c r="BR15" s="96"/>
      <c r="BS15" s="97"/>
      <c r="BT15" s="99"/>
      <c r="BU15" s="99"/>
      <c r="BV15" s="97"/>
      <c r="BW15" s="100"/>
      <c r="BX15" s="100"/>
      <c r="BY15" s="100"/>
      <c r="BZ15" s="10">
        <f t="shared" si="39"/>
        <v>18456</v>
      </c>
      <c r="CA15" s="10">
        <f t="shared" si="39"/>
        <v>19385</v>
      </c>
      <c r="CB15" s="10">
        <f t="shared" si="40"/>
        <v>37841</v>
      </c>
      <c r="CC15" s="10">
        <f t="shared" si="41"/>
        <v>10945</v>
      </c>
      <c r="CD15" s="10">
        <f t="shared" si="41"/>
        <v>10918</v>
      </c>
      <c r="CE15" s="10">
        <f t="shared" si="42"/>
        <v>21863</v>
      </c>
      <c r="CF15" s="97"/>
      <c r="CG15" s="97"/>
      <c r="CH15" s="97"/>
      <c r="CI15" s="7">
        <f t="shared" si="43"/>
        <v>10945</v>
      </c>
      <c r="CJ15" s="7">
        <f t="shared" si="43"/>
        <v>10918</v>
      </c>
      <c r="CK15" s="10">
        <f aca="true" t="shared" si="102" ref="CK15:CK48">SUM(CI15,CJ15)</f>
        <v>21863</v>
      </c>
      <c r="CL15" s="29">
        <f aca="true" t="shared" si="103" ref="CL15:CN48">IF(BZ15=0,"",CI15/BZ15*100)</f>
        <v>59.303207628955356</v>
      </c>
      <c r="CM15" s="29">
        <f t="shared" si="103"/>
        <v>56.32189837503224</v>
      </c>
      <c r="CN15" s="29">
        <f t="shared" si="103"/>
        <v>57.7759572949975</v>
      </c>
      <c r="CO15" s="9">
        <v>46185</v>
      </c>
      <c r="CP15" s="9">
        <v>40562</v>
      </c>
      <c r="CQ15" s="10">
        <f>CO15+CP15</f>
        <v>86747</v>
      </c>
      <c r="CR15" s="9">
        <v>22681</v>
      </c>
      <c r="CS15" s="9">
        <v>22298</v>
      </c>
      <c r="CT15" s="10">
        <f>CR15+CS15</f>
        <v>44979</v>
      </c>
      <c r="CU15" s="98"/>
      <c r="CV15" s="98"/>
      <c r="CW15" s="97"/>
      <c r="CX15" s="7">
        <f t="shared" si="45"/>
        <v>22681</v>
      </c>
      <c r="CY15" s="7">
        <f t="shared" si="46"/>
        <v>22298</v>
      </c>
      <c r="CZ15" s="10">
        <f aca="true" t="shared" si="104" ref="CZ15:CZ48">SUM(CX15,CY15)</f>
        <v>44979</v>
      </c>
      <c r="DA15" s="29">
        <f aca="true" t="shared" si="105" ref="DA15:DA50">IF(CO15=0,"",CX15/CO15*100)</f>
        <v>49.10901807946303</v>
      </c>
      <c r="DB15" s="29">
        <f aca="true" t="shared" si="106" ref="DB15:DB50">IF(CP15=0,"",CY15/CP15*100)</f>
        <v>54.97263448547902</v>
      </c>
      <c r="DC15" s="29">
        <f aca="true" t="shared" si="107" ref="DC15:DC50">IF(CQ15=0,"",CZ15/CQ15*100)</f>
        <v>51.85078446516882</v>
      </c>
      <c r="DD15" s="96"/>
      <c r="DE15" s="96"/>
      <c r="DF15" s="97"/>
      <c r="DG15" s="96"/>
      <c r="DH15" s="96"/>
      <c r="DI15" s="97"/>
      <c r="DJ15" s="98"/>
      <c r="DK15" s="98"/>
      <c r="DL15" s="98"/>
      <c r="DM15" s="99"/>
      <c r="DN15" s="99"/>
      <c r="DO15" s="97"/>
      <c r="DP15" s="100"/>
      <c r="DQ15" s="100"/>
      <c r="DR15" s="100"/>
      <c r="DS15" s="10">
        <f t="shared" si="50"/>
        <v>46185</v>
      </c>
      <c r="DT15" s="10">
        <f t="shared" si="51"/>
        <v>40562</v>
      </c>
      <c r="DU15" s="10">
        <f t="shared" si="52"/>
        <v>86747</v>
      </c>
      <c r="DV15" s="10">
        <f t="shared" si="53"/>
        <v>22681</v>
      </c>
      <c r="DW15" s="10">
        <f t="shared" si="54"/>
        <v>22298</v>
      </c>
      <c r="DX15" s="10">
        <f t="shared" si="55"/>
        <v>44979</v>
      </c>
      <c r="DY15" s="97"/>
      <c r="DZ15" s="97"/>
      <c r="EA15" s="97"/>
      <c r="EB15" s="7">
        <f t="shared" si="56"/>
        <v>22681</v>
      </c>
      <c r="EC15" s="7">
        <f t="shared" si="57"/>
        <v>22298</v>
      </c>
      <c r="ED15" s="10">
        <f>SUM(EB15,EC15)</f>
        <v>44979</v>
      </c>
      <c r="EE15" s="29">
        <f t="shared" si="97"/>
        <v>49.10901807946303</v>
      </c>
      <c r="EF15" s="29">
        <f t="shared" si="97"/>
        <v>54.97263448547902</v>
      </c>
      <c r="EG15" s="29">
        <f t="shared" si="97"/>
        <v>51.85078446516882</v>
      </c>
      <c r="EH15" s="20">
        <f aca="true" t="shared" si="108" ref="EH15:EH50">AP15</f>
        <v>121735</v>
      </c>
      <c r="EI15" s="20">
        <f aca="true" t="shared" si="109" ref="EI15:EI50">AQ15</f>
        <v>125262</v>
      </c>
      <c r="EJ15" s="20">
        <f aca="true" t="shared" si="110" ref="EJ15:EJ50">AR15</f>
        <v>246997</v>
      </c>
      <c r="EK15" s="42">
        <v>9361</v>
      </c>
      <c r="EL15" s="42">
        <v>7945</v>
      </c>
      <c r="EM15" s="20">
        <f>EK15+EL15</f>
        <v>17306</v>
      </c>
      <c r="EN15" s="20">
        <v>28970</v>
      </c>
      <c r="EO15" s="20">
        <v>26275</v>
      </c>
      <c r="EP15" s="20">
        <f>EN15+EO15</f>
        <v>55245</v>
      </c>
      <c r="EQ15" s="53">
        <f t="shared" si="62"/>
        <v>7.689653756109583</v>
      </c>
      <c r="ER15" s="53">
        <f t="shared" si="63"/>
        <v>6.342705688876117</v>
      </c>
      <c r="ES15" s="53">
        <f t="shared" si="64"/>
        <v>7.006562832746957</v>
      </c>
      <c r="ET15" s="41">
        <f t="shared" si="65"/>
        <v>23.797593132624144</v>
      </c>
      <c r="EU15" s="41">
        <f t="shared" si="66"/>
        <v>20.97603423224921</v>
      </c>
      <c r="EV15" s="41">
        <f t="shared" si="67"/>
        <v>22.366668421073943</v>
      </c>
      <c r="EW15" s="20">
        <f t="shared" si="68"/>
        <v>10945</v>
      </c>
      <c r="EX15" s="20">
        <f t="shared" si="69"/>
        <v>10918</v>
      </c>
      <c r="EY15" s="20">
        <f t="shared" si="70"/>
        <v>21863</v>
      </c>
      <c r="EZ15" s="101"/>
      <c r="FA15" s="101"/>
      <c r="FB15" s="101"/>
      <c r="FC15" s="101"/>
      <c r="FD15" s="101"/>
      <c r="FE15" s="101"/>
      <c r="FF15" s="100"/>
      <c r="FG15" s="100"/>
      <c r="FH15" s="100"/>
      <c r="FI15" s="102"/>
      <c r="FJ15" s="102"/>
      <c r="FK15" s="102"/>
      <c r="FL15" s="20">
        <f t="shared" si="79"/>
        <v>22681</v>
      </c>
      <c r="FM15" s="20">
        <f t="shared" si="80"/>
        <v>22298</v>
      </c>
      <c r="FN15" s="20">
        <f t="shared" si="81"/>
        <v>44979</v>
      </c>
      <c r="FO15" s="101"/>
      <c r="FP15" s="101"/>
      <c r="FQ15" s="101"/>
      <c r="FR15" s="101"/>
      <c r="FS15" s="101"/>
      <c r="FT15" s="101"/>
      <c r="FU15" s="100"/>
      <c r="FV15" s="100"/>
      <c r="FW15" s="100"/>
      <c r="FX15" s="102"/>
      <c r="FY15" s="102"/>
      <c r="FZ15" s="102"/>
    </row>
    <row r="16" spans="1:182" ht="35.25" customHeight="1">
      <c r="A16" s="3">
        <v>7</v>
      </c>
      <c r="B16" s="70" t="s">
        <v>98</v>
      </c>
      <c r="C16" s="7">
        <v>1314</v>
      </c>
      <c r="D16" s="7">
        <v>609</v>
      </c>
      <c r="E16" s="16">
        <f t="shared" si="21"/>
        <v>1923</v>
      </c>
      <c r="F16" s="7">
        <v>1252</v>
      </c>
      <c r="G16" s="7">
        <v>588</v>
      </c>
      <c r="H16" s="8">
        <f>F16+G16</f>
        <v>1840</v>
      </c>
      <c r="I16" s="98"/>
      <c r="J16" s="98"/>
      <c r="K16" s="103"/>
      <c r="L16" s="7">
        <f t="shared" si="23"/>
        <v>1252</v>
      </c>
      <c r="M16" s="7">
        <f t="shared" si="23"/>
        <v>588</v>
      </c>
      <c r="N16" s="7">
        <f t="shared" si="23"/>
        <v>1840</v>
      </c>
      <c r="O16" s="29">
        <f t="shared" si="20"/>
        <v>95.28158295281582</v>
      </c>
      <c r="P16" s="29">
        <f t="shared" si="20"/>
        <v>96.55172413793103</v>
      </c>
      <c r="Q16" s="29">
        <f t="shared" si="20"/>
        <v>95.68382735309412</v>
      </c>
      <c r="R16" s="7">
        <v>49</v>
      </c>
      <c r="S16" s="7">
        <v>1</v>
      </c>
      <c r="T16" s="8">
        <f aca="true" t="shared" si="111" ref="T16:T50">R16+S16</f>
        <v>50</v>
      </c>
      <c r="U16" s="7">
        <v>34</v>
      </c>
      <c r="V16" s="7">
        <v>1</v>
      </c>
      <c r="W16" s="8">
        <f t="shared" si="24"/>
        <v>35</v>
      </c>
      <c r="X16" s="103"/>
      <c r="Y16" s="103"/>
      <c r="Z16" s="97"/>
      <c r="AA16" s="7">
        <f>SUM(U16,X16)</f>
        <v>34</v>
      </c>
      <c r="AB16" s="7">
        <f>SUM(V16,Y16)</f>
        <v>1</v>
      </c>
      <c r="AC16" s="10">
        <f>SUM(AA16,AB16)</f>
        <v>35</v>
      </c>
      <c r="AD16" s="29">
        <f aca="true" t="shared" si="112" ref="AD16:AF48">IF(R16=0,"",AA16/R16*100)</f>
        <v>69.38775510204081</v>
      </c>
      <c r="AE16" s="29">
        <f t="shared" si="112"/>
        <v>100</v>
      </c>
      <c r="AF16" s="29">
        <f t="shared" si="112"/>
        <v>70</v>
      </c>
      <c r="AG16" s="10">
        <f t="shared" si="26"/>
        <v>1363</v>
      </c>
      <c r="AH16" s="10">
        <f t="shared" si="26"/>
        <v>610</v>
      </c>
      <c r="AI16" s="10">
        <f t="shared" si="27"/>
        <v>1973</v>
      </c>
      <c r="AJ16" s="10">
        <f t="shared" si="28"/>
        <v>1286</v>
      </c>
      <c r="AK16" s="10">
        <f t="shared" si="28"/>
        <v>589</v>
      </c>
      <c r="AL16" s="10">
        <f t="shared" si="29"/>
        <v>1875</v>
      </c>
      <c r="AM16" s="97"/>
      <c r="AN16" s="97"/>
      <c r="AO16" s="97"/>
      <c r="AP16" s="7">
        <f>SUM(AJ16,AM16)</f>
        <v>1286</v>
      </c>
      <c r="AQ16" s="7">
        <f>SUM(AK16,AN16)</f>
        <v>589</v>
      </c>
      <c r="AR16" s="10">
        <f>SUM(AP16,AQ16)</f>
        <v>1875</v>
      </c>
      <c r="AS16" s="29">
        <f>IF(AG16=0,"",AP16/AG16*100)</f>
        <v>94.35069699192957</v>
      </c>
      <c r="AT16" s="29">
        <f>IF(AH16=0,"",AQ16/AH16*100)</f>
        <v>96.55737704918033</v>
      </c>
      <c r="AU16" s="148">
        <f>IF(AI16=0,"",AR16/AI16*100)</f>
        <v>95.03294475418144</v>
      </c>
      <c r="AV16" s="96"/>
      <c r="AW16" s="96"/>
      <c r="AX16" s="97"/>
      <c r="AY16" s="96"/>
      <c r="AZ16" s="96"/>
      <c r="BA16" s="97"/>
      <c r="BB16" s="98"/>
      <c r="BC16" s="98"/>
      <c r="BD16" s="97"/>
      <c r="BE16" s="99"/>
      <c r="BF16" s="99"/>
      <c r="BG16" s="97"/>
      <c r="BH16" s="100"/>
      <c r="BI16" s="100"/>
      <c r="BJ16" s="100"/>
      <c r="BK16" s="96"/>
      <c r="BL16" s="96"/>
      <c r="BM16" s="97"/>
      <c r="BN16" s="96"/>
      <c r="BO16" s="96"/>
      <c r="BP16" s="97"/>
      <c r="BQ16" s="96"/>
      <c r="BR16" s="96"/>
      <c r="BS16" s="97"/>
      <c r="BT16" s="99"/>
      <c r="BU16" s="99"/>
      <c r="BV16" s="97"/>
      <c r="BW16" s="100"/>
      <c r="BX16" s="100"/>
      <c r="BY16" s="100"/>
      <c r="BZ16" s="97"/>
      <c r="CA16" s="97"/>
      <c r="CB16" s="97"/>
      <c r="CC16" s="97"/>
      <c r="CD16" s="97"/>
      <c r="CE16" s="97"/>
      <c r="CF16" s="97"/>
      <c r="CG16" s="97"/>
      <c r="CH16" s="97"/>
      <c r="CI16" s="99"/>
      <c r="CJ16" s="99"/>
      <c r="CK16" s="97"/>
      <c r="CL16" s="100"/>
      <c r="CM16" s="100"/>
      <c r="CN16" s="100"/>
      <c r="CO16" s="96"/>
      <c r="CP16" s="96"/>
      <c r="CQ16" s="97"/>
      <c r="CR16" s="96"/>
      <c r="CS16" s="96"/>
      <c r="CT16" s="97"/>
      <c r="CU16" s="98"/>
      <c r="CV16" s="98"/>
      <c r="CW16" s="97"/>
      <c r="CX16" s="99"/>
      <c r="CY16" s="99"/>
      <c r="CZ16" s="97"/>
      <c r="DA16" s="100"/>
      <c r="DB16" s="100"/>
      <c r="DC16" s="100"/>
      <c r="DD16" s="96"/>
      <c r="DE16" s="96"/>
      <c r="DF16" s="97"/>
      <c r="DG16" s="96"/>
      <c r="DH16" s="96"/>
      <c r="DI16" s="97"/>
      <c r="DJ16" s="98"/>
      <c r="DK16" s="98"/>
      <c r="DL16" s="98"/>
      <c r="DM16" s="99"/>
      <c r="DN16" s="99"/>
      <c r="DO16" s="97"/>
      <c r="DP16" s="100"/>
      <c r="DQ16" s="100"/>
      <c r="DR16" s="100"/>
      <c r="DS16" s="97"/>
      <c r="DT16" s="97"/>
      <c r="DU16" s="97"/>
      <c r="DV16" s="97"/>
      <c r="DW16" s="97"/>
      <c r="DX16" s="97"/>
      <c r="DY16" s="97"/>
      <c r="DZ16" s="97"/>
      <c r="EA16" s="97"/>
      <c r="EB16" s="99"/>
      <c r="EC16" s="99"/>
      <c r="ED16" s="97"/>
      <c r="EE16" s="100"/>
      <c r="EF16" s="100"/>
      <c r="EG16" s="100"/>
      <c r="EH16" s="20">
        <f>AP16</f>
        <v>1286</v>
      </c>
      <c r="EI16" s="20">
        <f>AQ16</f>
        <v>589</v>
      </c>
      <c r="EJ16" s="20">
        <f>AR16</f>
        <v>1875</v>
      </c>
      <c r="EK16" s="42">
        <v>16</v>
      </c>
      <c r="EL16" s="42">
        <v>0</v>
      </c>
      <c r="EM16" s="20">
        <f>EK16+EL16</f>
        <v>16</v>
      </c>
      <c r="EN16" s="20">
        <v>356</v>
      </c>
      <c r="EO16" s="20">
        <v>122</v>
      </c>
      <c r="EP16" s="20">
        <f>EN16+EO16</f>
        <v>478</v>
      </c>
      <c r="EQ16" s="53">
        <f>EK16/EH16%</f>
        <v>1.244167962674961</v>
      </c>
      <c r="ER16" s="53">
        <f>EL16/EI16%</f>
        <v>0</v>
      </c>
      <c r="ES16" s="53">
        <f>EM16/EJ16%</f>
        <v>0.8533333333333334</v>
      </c>
      <c r="ET16" s="41">
        <f>EN16/EH16%</f>
        <v>27.682737169517885</v>
      </c>
      <c r="EU16" s="41">
        <f>EO16/EI16%</f>
        <v>20.71307300509338</v>
      </c>
      <c r="EV16" s="41">
        <f>EP16/EJ16%</f>
        <v>25.493333333333332</v>
      </c>
      <c r="EW16" s="101"/>
      <c r="EX16" s="101"/>
      <c r="EY16" s="101"/>
      <c r="EZ16" s="101"/>
      <c r="FA16" s="101"/>
      <c r="FB16" s="101"/>
      <c r="FC16" s="101"/>
      <c r="FD16" s="101"/>
      <c r="FE16" s="101"/>
      <c r="FF16" s="100"/>
      <c r="FG16" s="100"/>
      <c r="FH16" s="100"/>
      <c r="FI16" s="102"/>
      <c r="FJ16" s="102"/>
      <c r="FK16" s="102"/>
      <c r="FL16" s="101"/>
      <c r="FM16" s="101"/>
      <c r="FN16" s="101"/>
      <c r="FO16" s="101"/>
      <c r="FP16" s="101"/>
      <c r="FQ16" s="101"/>
      <c r="FR16" s="101"/>
      <c r="FS16" s="101"/>
      <c r="FT16" s="101"/>
      <c r="FU16" s="100"/>
      <c r="FV16" s="100"/>
      <c r="FW16" s="100"/>
      <c r="FX16" s="102"/>
      <c r="FY16" s="102"/>
      <c r="FZ16" s="102"/>
    </row>
    <row r="17" spans="1:182" ht="25.5" customHeight="1">
      <c r="A17" s="3">
        <v>8</v>
      </c>
      <c r="B17" s="5" t="s">
        <v>57</v>
      </c>
      <c r="C17" s="7">
        <v>23</v>
      </c>
      <c r="D17" s="7">
        <v>260</v>
      </c>
      <c r="E17" s="16">
        <f t="shared" si="21"/>
        <v>283</v>
      </c>
      <c r="F17" s="7">
        <v>23</v>
      </c>
      <c r="G17" s="7">
        <v>259</v>
      </c>
      <c r="H17" s="8">
        <f>F17+G17</f>
        <v>282</v>
      </c>
      <c r="I17" s="6">
        <v>0</v>
      </c>
      <c r="J17" s="6">
        <v>1</v>
      </c>
      <c r="K17" s="11">
        <f aca="true" t="shared" si="113" ref="K17:K51">I17+J17</f>
        <v>1</v>
      </c>
      <c r="L17" s="7">
        <f t="shared" si="23"/>
        <v>23</v>
      </c>
      <c r="M17" s="7">
        <f t="shared" si="23"/>
        <v>260</v>
      </c>
      <c r="N17" s="7">
        <f t="shared" si="23"/>
        <v>283</v>
      </c>
      <c r="O17" s="29">
        <f t="shared" si="20"/>
        <v>100</v>
      </c>
      <c r="P17" s="29">
        <f t="shared" si="20"/>
        <v>100</v>
      </c>
      <c r="Q17" s="29">
        <f t="shared" si="20"/>
        <v>100</v>
      </c>
      <c r="R17" s="97"/>
      <c r="S17" s="103"/>
      <c r="T17" s="101">
        <f t="shared" si="111"/>
        <v>0</v>
      </c>
      <c r="U17" s="103"/>
      <c r="V17" s="103"/>
      <c r="W17" s="101">
        <f>U17+V17</f>
        <v>0</v>
      </c>
      <c r="X17" s="103"/>
      <c r="Y17" s="98"/>
      <c r="Z17" s="97">
        <f aca="true" t="shared" si="114" ref="Z17:Z44">X17+Y17</f>
        <v>0</v>
      </c>
      <c r="AA17" s="99">
        <f t="shared" si="25"/>
        <v>0</v>
      </c>
      <c r="AB17" s="99">
        <f t="shared" si="25"/>
        <v>0</v>
      </c>
      <c r="AC17" s="97">
        <f aca="true" t="shared" si="115" ref="AC17:AC48">SUM(AA17,AB17)</f>
        <v>0</v>
      </c>
      <c r="AD17" s="100"/>
      <c r="AE17" s="100"/>
      <c r="AF17" s="100"/>
      <c r="AG17" s="10">
        <f t="shared" si="26"/>
        <v>23</v>
      </c>
      <c r="AH17" s="10">
        <f t="shared" si="26"/>
        <v>260</v>
      </c>
      <c r="AI17" s="10">
        <f t="shared" si="27"/>
        <v>283</v>
      </c>
      <c r="AJ17" s="10">
        <f t="shared" si="28"/>
        <v>23</v>
      </c>
      <c r="AK17" s="10">
        <f t="shared" si="28"/>
        <v>259</v>
      </c>
      <c r="AL17" s="10">
        <f t="shared" si="29"/>
        <v>282</v>
      </c>
      <c r="AM17" s="10">
        <f aca="true" t="shared" si="116" ref="AM17:AN44">I17+X17</f>
        <v>0</v>
      </c>
      <c r="AN17" s="10">
        <f t="shared" si="116"/>
        <v>1</v>
      </c>
      <c r="AO17" s="10">
        <f aca="true" t="shared" si="117" ref="AO17:AO44">AM17+AN17</f>
        <v>1</v>
      </c>
      <c r="AP17" s="7">
        <f t="shared" si="30"/>
        <v>23</v>
      </c>
      <c r="AQ17" s="7">
        <f t="shared" si="30"/>
        <v>260</v>
      </c>
      <c r="AR17" s="10">
        <f t="shared" si="98"/>
        <v>283</v>
      </c>
      <c r="AS17" s="29">
        <f t="shared" si="99"/>
        <v>100</v>
      </c>
      <c r="AT17" s="29">
        <f t="shared" si="99"/>
        <v>100</v>
      </c>
      <c r="AU17" s="29">
        <f t="shared" si="99"/>
        <v>100</v>
      </c>
      <c r="AV17" s="9">
        <v>1</v>
      </c>
      <c r="AW17" s="9">
        <v>8</v>
      </c>
      <c r="AX17" s="10">
        <f t="shared" si="32"/>
        <v>9</v>
      </c>
      <c r="AY17" s="9">
        <v>1</v>
      </c>
      <c r="AZ17" s="9">
        <v>8</v>
      </c>
      <c r="BA17" s="10">
        <f t="shared" si="33"/>
        <v>9</v>
      </c>
      <c r="BB17" s="6">
        <v>0</v>
      </c>
      <c r="BC17" s="6">
        <v>0</v>
      </c>
      <c r="BD17" s="10">
        <f>BB17+BC17</f>
        <v>0</v>
      </c>
      <c r="BE17" s="7">
        <f t="shared" si="34"/>
        <v>1</v>
      </c>
      <c r="BF17" s="7">
        <f t="shared" si="34"/>
        <v>8</v>
      </c>
      <c r="BG17" s="10">
        <f t="shared" si="100"/>
        <v>9</v>
      </c>
      <c r="BH17" s="29">
        <f t="shared" si="101"/>
        <v>100</v>
      </c>
      <c r="BI17" s="29">
        <f t="shared" si="101"/>
        <v>100</v>
      </c>
      <c r="BJ17" s="29">
        <f t="shared" si="101"/>
        <v>100</v>
      </c>
      <c r="BK17" s="96"/>
      <c r="BL17" s="96"/>
      <c r="BM17" s="97">
        <f t="shared" si="36"/>
        <v>0</v>
      </c>
      <c r="BN17" s="96"/>
      <c r="BO17" s="96"/>
      <c r="BP17" s="97">
        <f t="shared" si="37"/>
        <v>0</v>
      </c>
      <c r="BQ17" s="98"/>
      <c r="BR17" s="98"/>
      <c r="BS17" s="97">
        <f aca="true" t="shared" si="118" ref="BS17:BS44">BQ17+BR17</f>
        <v>0</v>
      </c>
      <c r="BT17" s="99">
        <f t="shared" si="38"/>
        <v>0</v>
      </c>
      <c r="BU17" s="99">
        <f t="shared" si="38"/>
        <v>0</v>
      </c>
      <c r="BV17" s="97">
        <f aca="true" t="shared" si="119" ref="BV17:BV48">SUM(BT17,BU17)</f>
        <v>0</v>
      </c>
      <c r="BW17" s="100"/>
      <c r="BX17" s="100"/>
      <c r="BY17" s="100"/>
      <c r="BZ17" s="10">
        <f t="shared" si="39"/>
        <v>1</v>
      </c>
      <c r="CA17" s="10">
        <f t="shared" si="39"/>
        <v>8</v>
      </c>
      <c r="CB17" s="10">
        <f t="shared" si="40"/>
        <v>9</v>
      </c>
      <c r="CC17" s="10">
        <f t="shared" si="41"/>
        <v>1</v>
      </c>
      <c r="CD17" s="10">
        <f t="shared" si="41"/>
        <v>8</v>
      </c>
      <c r="CE17" s="10">
        <f t="shared" si="42"/>
        <v>9</v>
      </c>
      <c r="CF17" s="10">
        <f aca="true" t="shared" si="120" ref="CF17:CG44">BB17+BQ17</f>
        <v>0</v>
      </c>
      <c r="CG17" s="10">
        <f t="shared" si="120"/>
        <v>0</v>
      </c>
      <c r="CH17" s="10">
        <f aca="true" t="shared" si="121" ref="CH17:CH44">CF17+CG17</f>
        <v>0</v>
      </c>
      <c r="CI17" s="7">
        <f t="shared" si="43"/>
        <v>1</v>
      </c>
      <c r="CJ17" s="7">
        <f t="shared" si="43"/>
        <v>8</v>
      </c>
      <c r="CK17" s="10">
        <f t="shared" si="102"/>
        <v>9</v>
      </c>
      <c r="CL17" s="29">
        <f t="shared" si="103"/>
        <v>100</v>
      </c>
      <c r="CM17" s="29">
        <f t="shared" si="103"/>
        <v>100</v>
      </c>
      <c r="CN17" s="29">
        <f t="shared" si="103"/>
        <v>100</v>
      </c>
      <c r="CO17" s="9">
        <v>1</v>
      </c>
      <c r="CP17" s="9">
        <v>11</v>
      </c>
      <c r="CQ17" s="10">
        <f>CO17+CP17</f>
        <v>12</v>
      </c>
      <c r="CR17" s="9">
        <v>1</v>
      </c>
      <c r="CS17" s="9">
        <v>10</v>
      </c>
      <c r="CT17" s="10">
        <f>CR17+CS17</f>
        <v>11</v>
      </c>
      <c r="CU17" s="6">
        <v>0</v>
      </c>
      <c r="CV17" s="6">
        <v>1</v>
      </c>
      <c r="CW17" s="10">
        <f aca="true" t="shared" si="122" ref="CW17:CW40">CU17+CV17</f>
        <v>1</v>
      </c>
      <c r="CX17" s="7">
        <f t="shared" si="45"/>
        <v>1</v>
      </c>
      <c r="CY17" s="7">
        <f t="shared" si="46"/>
        <v>11</v>
      </c>
      <c r="CZ17" s="10">
        <f t="shared" si="104"/>
        <v>12</v>
      </c>
      <c r="DA17" s="29">
        <f t="shared" si="105"/>
        <v>100</v>
      </c>
      <c r="DB17" s="29">
        <f t="shared" si="106"/>
        <v>100</v>
      </c>
      <c r="DC17" s="29">
        <f t="shared" si="107"/>
        <v>100</v>
      </c>
      <c r="DD17" s="96"/>
      <c r="DE17" s="96"/>
      <c r="DF17" s="97">
        <f t="shared" si="48"/>
        <v>0</v>
      </c>
      <c r="DG17" s="96"/>
      <c r="DH17" s="96"/>
      <c r="DI17" s="97">
        <f t="shared" si="49"/>
        <v>0</v>
      </c>
      <c r="DJ17" s="98"/>
      <c r="DK17" s="98"/>
      <c r="DL17" s="98">
        <f aca="true" t="shared" si="123" ref="DL17:DL49">SUM(DJ17:DK17)</f>
        <v>0</v>
      </c>
      <c r="DM17" s="99">
        <f aca="true" t="shared" si="124" ref="DM17:DM48">SUM(DG17,DJ17)</f>
        <v>0</v>
      </c>
      <c r="DN17" s="99">
        <f aca="true" t="shared" si="125" ref="DN17:DN48">SUM(DH17,DK17)</f>
        <v>0</v>
      </c>
      <c r="DO17" s="97">
        <f aca="true" t="shared" si="126" ref="DO17:DO48">SUM(DM17,DN17)</f>
        <v>0</v>
      </c>
      <c r="DP17" s="100">
        <f aca="true" t="shared" si="127" ref="DP17:DP50">IF(DD17=0,"",DM17/DD17*100)</f>
      </c>
      <c r="DQ17" s="100">
        <f aca="true" t="shared" si="128" ref="DQ17:DQ50">IF(DE17=0,"",DN17/DE17*100)</f>
      </c>
      <c r="DR17" s="100">
        <f aca="true" t="shared" si="129" ref="DR17:DR50">IF(DF17=0,"",DO17/DF17*100)</f>
      </c>
      <c r="DS17" s="10">
        <f t="shared" si="50"/>
        <v>1</v>
      </c>
      <c r="DT17" s="10">
        <f t="shared" si="51"/>
        <v>11</v>
      </c>
      <c r="DU17" s="10">
        <f t="shared" si="52"/>
        <v>12</v>
      </c>
      <c r="DV17" s="10">
        <f t="shared" si="53"/>
        <v>1</v>
      </c>
      <c r="DW17" s="10">
        <f t="shared" si="54"/>
        <v>10</v>
      </c>
      <c r="DX17" s="10">
        <f t="shared" si="55"/>
        <v>11</v>
      </c>
      <c r="DY17" s="10">
        <f>CU17+DJ17</f>
        <v>0</v>
      </c>
      <c r="DZ17" s="10">
        <f>CV17+DK17</f>
        <v>1</v>
      </c>
      <c r="EA17" s="10">
        <f>DY17+DZ17</f>
        <v>1</v>
      </c>
      <c r="EB17" s="7">
        <f t="shared" si="56"/>
        <v>1</v>
      </c>
      <c r="EC17" s="7">
        <f t="shared" si="57"/>
        <v>11</v>
      </c>
      <c r="ED17" s="10">
        <f>SUM(EB17,EC17)</f>
        <v>12</v>
      </c>
      <c r="EE17" s="29">
        <f aca="true" t="shared" si="130" ref="EE17:EG20">IF(DS17=0,"",EB17/DS17*100)</f>
        <v>100</v>
      </c>
      <c r="EF17" s="29">
        <f t="shared" si="130"/>
        <v>100</v>
      </c>
      <c r="EG17" s="29">
        <f t="shared" si="130"/>
        <v>100</v>
      </c>
      <c r="EH17" s="20">
        <f t="shared" si="108"/>
        <v>23</v>
      </c>
      <c r="EI17" s="20">
        <f t="shared" si="109"/>
        <v>260</v>
      </c>
      <c r="EJ17" s="20">
        <f t="shared" si="110"/>
        <v>283</v>
      </c>
      <c r="EK17" s="42">
        <v>10</v>
      </c>
      <c r="EL17" s="42">
        <v>103</v>
      </c>
      <c r="EM17" s="20">
        <f t="shared" si="60"/>
        <v>113</v>
      </c>
      <c r="EN17" s="20">
        <v>11</v>
      </c>
      <c r="EO17" s="20">
        <v>104</v>
      </c>
      <c r="EP17" s="20">
        <f t="shared" si="61"/>
        <v>115</v>
      </c>
      <c r="EQ17" s="53">
        <f t="shared" si="62"/>
        <v>43.47826086956522</v>
      </c>
      <c r="ER17" s="53">
        <f t="shared" si="63"/>
        <v>39.61538461538461</v>
      </c>
      <c r="ES17" s="53">
        <f t="shared" si="64"/>
        <v>39.92932862190813</v>
      </c>
      <c r="ET17" s="41">
        <f t="shared" si="65"/>
        <v>47.826086956521735</v>
      </c>
      <c r="EU17" s="41">
        <f t="shared" si="66"/>
        <v>40</v>
      </c>
      <c r="EV17" s="41">
        <f t="shared" si="67"/>
        <v>40.63604240282685</v>
      </c>
      <c r="EW17" s="20">
        <f t="shared" si="68"/>
        <v>1</v>
      </c>
      <c r="EX17" s="20">
        <f t="shared" si="69"/>
        <v>8</v>
      </c>
      <c r="EY17" s="20">
        <f t="shared" si="70"/>
        <v>9</v>
      </c>
      <c r="EZ17" s="42">
        <v>0</v>
      </c>
      <c r="FA17" s="42">
        <v>1</v>
      </c>
      <c r="FB17" s="20">
        <f t="shared" si="71"/>
        <v>1</v>
      </c>
      <c r="FC17" s="20">
        <v>0</v>
      </c>
      <c r="FD17" s="20">
        <v>4</v>
      </c>
      <c r="FE17" s="20">
        <f t="shared" si="72"/>
        <v>4</v>
      </c>
      <c r="FF17" s="53">
        <f t="shared" si="73"/>
        <v>0</v>
      </c>
      <c r="FG17" s="53">
        <f t="shared" si="74"/>
        <v>12.5</v>
      </c>
      <c r="FH17" s="53">
        <f t="shared" si="75"/>
        <v>11.11111111111111</v>
      </c>
      <c r="FI17" s="41">
        <f t="shared" si="76"/>
        <v>0</v>
      </c>
      <c r="FJ17" s="41">
        <f t="shared" si="77"/>
        <v>50</v>
      </c>
      <c r="FK17" s="41">
        <f t="shared" si="78"/>
        <v>44.44444444444444</v>
      </c>
      <c r="FL17" s="20">
        <f t="shared" si="79"/>
        <v>1</v>
      </c>
      <c r="FM17" s="20">
        <f t="shared" si="80"/>
        <v>11</v>
      </c>
      <c r="FN17" s="20">
        <f t="shared" si="81"/>
        <v>12</v>
      </c>
      <c r="FO17" s="42">
        <v>0</v>
      </c>
      <c r="FP17" s="42">
        <v>1</v>
      </c>
      <c r="FQ17" s="20">
        <f t="shared" si="82"/>
        <v>1</v>
      </c>
      <c r="FR17" s="20">
        <v>0</v>
      </c>
      <c r="FS17" s="20">
        <v>2</v>
      </c>
      <c r="FT17" s="20">
        <f t="shared" si="83"/>
        <v>2</v>
      </c>
      <c r="FU17" s="53">
        <f>FO17/FL17%</f>
        <v>0</v>
      </c>
      <c r="FV17" s="53">
        <f t="shared" si="84"/>
        <v>9.090909090909092</v>
      </c>
      <c r="FW17" s="53">
        <f t="shared" si="85"/>
        <v>8.333333333333334</v>
      </c>
      <c r="FX17" s="41">
        <f t="shared" si="86"/>
        <v>0</v>
      </c>
      <c r="FY17" s="41">
        <f t="shared" si="87"/>
        <v>18.181818181818183</v>
      </c>
      <c r="FZ17" s="41">
        <f t="shared" si="88"/>
        <v>16.666666666666668</v>
      </c>
    </row>
    <row r="18" spans="1:182" ht="27" customHeight="1">
      <c r="A18" s="3">
        <v>9</v>
      </c>
      <c r="B18" s="4" t="s">
        <v>15</v>
      </c>
      <c r="C18" s="7">
        <v>732169</v>
      </c>
      <c r="D18" s="7">
        <v>650955</v>
      </c>
      <c r="E18" s="16">
        <f aca="true" t="shared" si="131" ref="E18:E48">C18+D18</f>
        <v>1383124</v>
      </c>
      <c r="F18" s="7">
        <v>412075</v>
      </c>
      <c r="G18" s="7">
        <v>262811</v>
      </c>
      <c r="H18" s="8">
        <f t="shared" si="22"/>
        <v>674886</v>
      </c>
      <c r="I18" s="9">
        <v>15250</v>
      </c>
      <c r="J18" s="9">
        <v>24699</v>
      </c>
      <c r="K18" s="11">
        <f t="shared" si="113"/>
        <v>39949</v>
      </c>
      <c r="L18" s="7">
        <f t="shared" si="23"/>
        <v>427325</v>
      </c>
      <c r="M18" s="7">
        <f t="shared" si="23"/>
        <v>287510</v>
      </c>
      <c r="N18" s="7">
        <f t="shared" si="23"/>
        <v>714835</v>
      </c>
      <c r="O18" s="29">
        <f t="shared" si="20"/>
        <v>58.36425743236876</v>
      </c>
      <c r="P18" s="29">
        <f t="shared" si="20"/>
        <v>44.1674155663602</v>
      </c>
      <c r="Q18" s="29">
        <f t="shared" si="20"/>
        <v>51.682640168198944</v>
      </c>
      <c r="R18" s="7">
        <v>37088</v>
      </c>
      <c r="S18" s="7">
        <v>10607</v>
      </c>
      <c r="T18" s="8">
        <f t="shared" si="111"/>
        <v>47695</v>
      </c>
      <c r="U18" s="7">
        <v>20438</v>
      </c>
      <c r="V18" s="7">
        <v>3672</v>
      </c>
      <c r="W18" s="8">
        <f t="shared" si="24"/>
        <v>24110</v>
      </c>
      <c r="X18" s="9">
        <v>595</v>
      </c>
      <c r="Y18" s="9">
        <v>250</v>
      </c>
      <c r="Z18" s="10">
        <f t="shared" si="114"/>
        <v>845</v>
      </c>
      <c r="AA18" s="7">
        <f t="shared" si="25"/>
        <v>21033</v>
      </c>
      <c r="AB18" s="7">
        <f t="shared" si="25"/>
        <v>3922</v>
      </c>
      <c r="AC18" s="10">
        <f t="shared" si="115"/>
        <v>24955</v>
      </c>
      <c r="AD18" s="29">
        <f t="shared" si="112"/>
        <v>56.71106557377049</v>
      </c>
      <c r="AE18" s="29">
        <f t="shared" si="112"/>
        <v>36.97558216272273</v>
      </c>
      <c r="AF18" s="29">
        <f t="shared" si="112"/>
        <v>52.32204633609393</v>
      </c>
      <c r="AG18" s="10">
        <f t="shared" si="26"/>
        <v>769257</v>
      </c>
      <c r="AH18" s="10">
        <f t="shared" si="26"/>
        <v>661562</v>
      </c>
      <c r="AI18" s="10">
        <f t="shared" si="27"/>
        <v>1430819</v>
      </c>
      <c r="AJ18" s="10">
        <f t="shared" si="28"/>
        <v>432513</v>
      </c>
      <c r="AK18" s="10">
        <f t="shared" si="28"/>
        <v>266483</v>
      </c>
      <c r="AL18" s="10">
        <f t="shared" si="29"/>
        <v>698996</v>
      </c>
      <c r="AM18" s="10">
        <f t="shared" si="116"/>
        <v>15845</v>
      </c>
      <c r="AN18" s="10">
        <f t="shared" si="116"/>
        <v>24949</v>
      </c>
      <c r="AO18" s="10">
        <f t="shared" si="117"/>
        <v>40794</v>
      </c>
      <c r="AP18" s="7">
        <f t="shared" si="30"/>
        <v>448358</v>
      </c>
      <c r="AQ18" s="7">
        <f t="shared" si="30"/>
        <v>291432</v>
      </c>
      <c r="AR18" s="10">
        <f t="shared" si="98"/>
        <v>739790</v>
      </c>
      <c r="AS18" s="29">
        <f t="shared" si="99"/>
        <v>58.28455249675986</v>
      </c>
      <c r="AT18" s="29">
        <f t="shared" si="99"/>
        <v>44.052106983170134</v>
      </c>
      <c r="AU18" s="29">
        <f t="shared" si="99"/>
        <v>51.703954168906066</v>
      </c>
      <c r="AV18" s="9">
        <v>121759</v>
      </c>
      <c r="AW18" s="9">
        <v>95467</v>
      </c>
      <c r="AX18" s="10">
        <f t="shared" si="32"/>
        <v>217226</v>
      </c>
      <c r="AY18" s="9">
        <v>58029</v>
      </c>
      <c r="AZ18" s="9">
        <v>26229</v>
      </c>
      <c r="BA18" s="10">
        <f t="shared" si="33"/>
        <v>84258</v>
      </c>
      <c r="BB18" s="9">
        <v>2055</v>
      </c>
      <c r="BC18" s="9">
        <v>2585</v>
      </c>
      <c r="BD18" s="10">
        <f aca="true" t="shared" si="132" ref="BD18:BD41">BB18+BC18</f>
        <v>4640</v>
      </c>
      <c r="BE18" s="7">
        <f t="shared" si="34"/>
        <v>60084</v>
      </c>
      <c r="BF18" s="7">
        <f t="shared" si="34"/>
        <v>28814</v>
      </c>
      <c r="BG18" s="10">
        <f t="shared" si="100"/>
        <v>88898</v>
      </c>
      <c r="BH18" s="29">
        <f t="shared" si="101"/>
        <v>49.346660205816406</v>
      </c>
      <c r="BI18" s="29">
        <f t="shared" si="101"/>
        <v>30.182157185205362</v>
      </c>
      <c r="BJ18" s="29">
        <f t="shared" si="101"/>
        <v>40.92419876073766</v>
      </c>
      <c r="BK18" s="9">
        <v>5874</v>
      </c>
      <c r="BL18" s="9">
        <v>1972</v>
      </c>
      <c r="BM18" s="10">
        <f t="shared" si="36"/>
        <v>7846</v>
      </c>
      <c r="BN18" s="9">
        <v>2845</v>
      </c>
      <c r="BO18" s="9">
        <v>525</v>
      </c>
      <c r="BP18" s="10">
        <f t="shared" si="37"/>
        <v>3370</v>
      </c>
      <c r="BQ18" s="9">
        <v>77</v>
      </c>
      <c r="BR18" s="9">
        <v>36</v>
      </c>
      <c r="BS18" s="10">
        <f t="shared" si="118"/>
        <v>113</v>
      </c>
      <c r="BT18" s="7">
        <f t="shared" si="38"/>
        <v>2922</v>
      </c>
      <c r="BU18" s="7">
        <f t="shared" si="38"/>
        <v>561</v>
      </c>
      <c r="BV18" s="10">
        <f t="shared" si="119"/>
        <v>3483</v>
      </c>
      <c r="BW18" s="29">
        <f aca="true" t="shared" si="133" ref="BW18:BY50">IF(BK18=0,"",BT18/BK18*100)</f>
        <v>49.74463738508682</v>
      </c>
      <c r="BX18" s="29">
        <f t="shared" si="133"/>
        <v>28.448275862068968</v>
      </c>
      <c r="BY18" s="29">
        <f t="shared" si="133"/>
        <v>44.39204690288045</v>
      </c>
      <c r="BZ18" s="10">
        <f t="shared" si="39"/>
        <v>127633</v>
      </c>
      <c r="CA18" s="10">
        <f t="shared" si="39"/>
        <v>97439</v>
      </c>
      <c r="CB18" s="10">
        <f t="shared" si="40"/>
        <v>225072</v>
      </c>
      <c r="CC18" s="10">
        <f t="shared" si="41"/>
        <v>60874</v>
      </c>
      <c r="CD18" s="10">
        <f t="shared" si="41"/>
        <v>26754</v>
      </c>
      <c r="CE18" s="10">
        <f t="shared" si="42"/>
        <v>87628</v>
      </c>
      <c r="CF18" s="10">
        <f t="shared" si="120"/>
        <v>2132</v>
      </c>
      <c r="CG18" s="10">
        <f t="shared" si="120"/>
        <v>2621</v>
      </c>
      <c r="CH18" s="10">
        <f t="shared" si="121"/>
        <v>4753</v>
      </c>
      <c r="CI18" s="7">
        <f t="shared" si="43"/>
        <v>63006</v>
      </c>
      <c r="CJ18" s="7">
        <f t="shared" si="43"/>
        <v>29375</v>
      </c>
      <c r="CK18" s="10">
        <f t="shared" si="102"/>
        <v>92381</v>
      </c>
      <c r="CL18" s="29">
        <f t="shared" si="103"/>
        <v>49.36497614253367</v>
      </c>
      <c r="CM18" s="29">
        <f t="shared" si="103"/>
        <v>30.147066369728755</v>
      </c>
      <c r="CN18" s="29">
        <f t="shared" si="103"/>
        <v>41.0450877941281</v>
      </c>
      <c r="CO18" s="9">
        <v>11649</v>
      </c>
      <c r="CP18" s="9">
        <v>9925</v>
      </c>
      <c r="CQ18" s="10">
        <f>CO18+CP18</f>
        <v>21574</v>
      </c>
      <c r="CR18" s="9">
        <v>5890</v>
      </c>
      <c r="CS18" s="9">
        <v>3762</v>
      </c>
      <c r="CT18" s="10">
        <f>CR18+CS18</f>
        <v>9652</v>
      </c>
      <c r="CU18" s="9">
        <v>176</v>
      </c>
      <c r="CV18" s="9">
        <v>259</v>
      </c>
      <c r="CW18" s="10">
        <f t="shared" si="122"/>
        <v>435</v>
      </c>
      <c r="CX18" s="7">
        <f t="shared" si="45"/>
        <v>6066</v>
      </c>
      <c r="CY18" s="7">
        <f t="shared" si="46"/>
        <v>4021</v>
      </c>
      <c r="CZ18" s="10">
        <f t="shared" si="104"/>
        <v>10087</v>
      </c>
      <c r="DA18" s="29">
        <f t="shared" si="105"/>
        <v>52.07313932526397</v>
      </c>
      <c r="DB18" s="29">
        <f t="shared" si="106"/>
        <v>40.513853904282115</v>
      </c>
      <c r="DC18" s="29">
        <f t="shared" si="107"/>
        <v>46.755353666450354</v>
      </c>
      <c r="DD18" s="9">
        <v>556</v>
      </c>
      <c r="DE18" s="9">
        <v>142</v>
      </c>
      <c r="DF18" s="10">
        <f t="shared" si="48"/>
        <v>698</v>
      </c>
      <c r="DG18" s="9">
        <v>251</v>
      </c>
      <c r="DH18" s="9">
        <v>49</v>
      </c>
      <c r="DI18" s="10">
        <f t="shared" si="49"/>
        <v>300</v>
      </c>
      <c r="DJ18" s="9">
        <v>8</v>
      </c>
      <c r="DK18" s="9">
        <v>3</v>
      </c>
      <c r="DL18" s="6">
        <f t="shared" si="123"/>
        <v>11</v>
      </c>
      <c r="DM18" s="7">
        <f t="shared" si="124"/>
        <v>259</v>
      </c>
      <c r="DN18" s="7">
        <f t="shared" si="125"/>
        <v>52</v>
      </c>
      <c r="DO18" s="10">
        <f t="shared" si="126"/>
        <v>311</v>
      </c>
      <c r="DP18" s="29">
        <f t="shared" si="127"/>
        <v>46.58273381294964</v>
      </c>
      <c r="DQ18" s="29">
        <f t="shared" si="128"/>
        <v>36.61971830985916</v>
      </c>
      <c r="DR18" s="29">
        <f t="shared" si="129"/>
        <v>44.55587392550143</v>
      </c>
      <c r="DS18" s="10">
        <f t="shared" si="50"/>
        <v>12205</v>
      </c>
      <c r="DT18" s="10">
        <f t="shared" si="51"/>
        <v>10067</v>
      </c>
      <c r="DU18" s="10">
        <f t="shared" si="52"/>
        <v>22272</v>
      </c>
      <c r="DV18" s="10">
        <f t="shared" si="53"/>
        <v>6141</v>
      </c>
      <c r="DW18" s="10">
        <f t="shared" si="54"/>
        <v>3811</v>
      </c>
      <c r="DX18" s="10">
        <f t="shared" si="55"/>
        <v>9952</v>
      </c>
      <c r="DY18" s="10">
        <f>CU18+DJ18</f>
        <v>184</v>
      </c>
      <c r="DZ18" s="10">
        <f>CV18+DK18</f>
        <v>262</v>
      </c>
      <c r="EA18" s="10">
        <f>DY18+DZ18</f>
        <v>446</v>
      </c>
      <c r="EB18" s="7">
        <f t="shared" si="56"/>
        <v>6325</v>
      </c>
      <c r="EC18" s="7">
        <f t="shared" si="57"/>
        <v>4073</v>
      </c>
      <c r="ED18" s="10">
        <f>SUM(EB18,EC18)</f>
        <v>10398</v>
      </c>
      <c r="EE18" s="29">
        <f t="shared" si="130"/>
        <v>51.82302335108562</v>
      </c>
      <c r="EF18" s="29">
        <f t="shared" si="130"/>
        <v>40.458925201152276</v>
      </c>
      <c r="EG18" s="29">
        <f t="shared" si="130"/>
        <v>46.6864224137931</v>
      </c>
      <c r="EH18" s="20">
        <f t="shared" si="108"/>
        <v>448358</v>
      </c>
      <c r="EI18" s="20">
        <f t="shared" si="109"/>
        <v>291432</v>
      </c>
      <c r="EJ18" s="20">
        <f t="shared" si="110"/>
        <v>739790</v>
      </c>
      <c r="EK18" s="42">
        <v>9448</v>
      </c>
      <c r="EL18" s="42">
        <v>3695</v>
      </c>
      <c r="EM18" s="20">
        <f t="shared" si="60"/>
        <v>13143</v>
      </c>
      <c r="EN18" s="20">
        <v>108910</v>
      </c>
      <c r="EO18" s="20">
        <v>48505</v>
      </c>
      <c r="EP18" s="20">
        <f t="shared" si="61"/>
        <v>157415</v>
      </c>
      <c r="EQ18" s="53">
        <f t="shared" si="62"/>
        <v>2.1072446571712784</v>
      </c>
      <c r="ER18" s="53">
        <f t="shared" si="63"/>
        <v>1.2678772406599137</v>
      </c>
      <c r="ES18" s="53">
        <f t="shared" si="64"/>
        <v>1.776585247164736</v>
      </c>
      <c r="ET18" s="41">
        <f t="shared" si="65"/>
        <v>24.290856859919977</v>
      </c>
      <c r="EU18" s="41">
        <f t="shared" si="66"/>
        <v>16.64367674105795</v>
      </c>
      <c r="EV18" s="41">
        <f t="shared" si="67"/>
        <v>21.278335743927332</v>
      </c>
      <c r="EW18" s="20">
        <f t="shared" si="68"/>
        <v>63006</v>
      </c>
      <c r="EX18" s="20">
        <f t="shared" si="69"/>
        <v>29375</v>
      </c>
      <c r="EY18" s="20">
        <f t="shared" si="70"/>
        <v>92381</v>
      </c>
      <c r="EZ18" s="42">
        <v>781</v>
      </c>
      <c r="FA18" s="42">
        <v>200</v>
      </c>
      <c r="FB18" s="20">
        <f t="shared" si="71"/>
        <v>981</v>
      </c>
      <c r="FC18" s="20">
        <v>12514</v>
      </c>
      <c r="FD18" s="20">
        <v>3211</v>
      </c>
      <c r="FE18" s="20">
        <f t="shared" si="72"/>
        <v>15725</v>
      </c>
      <c r="FF18" s="53">
        <f t="shared" si="73"/>
        <v>1.2395644859219759</v>
      </c>
      <c r="FG18" s="53">
        <f t="shared" si="74"/>
        <v>0.6808510638297872</v>
      </c>
      <c r="FH18" s="53">
        <f t="shared" si="75"/>
        <v>1.0619066691202736</v>
      </c>
      <c r="FI18" s="41">
        <f t="shared" si="76"/>
        <v>19.86160048249373</v>
      </c>
      <c r="FJ18" s="41">
        <f t="shared" si="77"/>
        <v>10.931063829787234</v>
      </c>
      <c r="FK18" s="41">
        <f t="shared" si="78"/>
        <v>17.021898442320392</v>
      </c>
      <c r="FL18" s="20">
        <f t="shared" si="79"/>
        <v>6325</v>
      </c>
      <c r="FM18" s="20">
        <f t="shared" si="80"/>
        <v>4073</v>
      </c>
      <c r="FN18" s="20">
        <f t="shared" si="81"/>
        <v>10398</v>
      </c>
      <c r="FO18" s="42">
        <v>81</v>
      </c>
      <c r="FP18" s="42">
        <v>64</v>
      </c>
      <c r="FQ18" s="20">
        <f t="shared" si="82"/>
        <v>145</v>
      </c>
      <c r="FR18" s="20">
        <v>1283</v>
      </c>
      <c r="FS18" s="20">
        <v>671</v>
      </c>
      <c r="FT18" s="20">
        <f t="shared" si="83"/>
        <v>1954</v>
      </c>
      <c r="FU18" s="53">
        <f>FO18/FL18%</f>
        <v>1.2806324110671936</v>
      </c>
      <c r="FV18" s="53">
        <f t="shared" si="84"/>
        <v>1.5713233488828875</v>
      </c>
      <c r="FW18" s="53">
        <f t="shared" si="85"/>
        <v>1.3944989421042508</v>
      </c>
      <c r="FX18" s="41">
        <f t="shared" si="86"/>
        <v>20.284584980237153</v>
      </c>
      <c r="FY18" s="41">
        <f t="shared" si="87"/>
        <v>16.474343235944023</v>
      </c>
      <c r="FZ18" s="41">
        <f t="shared" si="88"/>
        <v>18.792075399115213</v>
      </c>
    </row>
    <row r="19" spans="1:182" ht="38.25" customHeight="1">
      <c r="A19" s="3">
        <v>10</v>
      </c>
      <c r="B19" s="4" t="s">
        <v>11</v>
      </c>
      <c r="C19" s="67">
        <v>26709</v>
      </c>
      <c r="D19" s="67">
        <v>50259</v>
      </c>
      <c r="E19" s="16">
        <f t="shared" si="131"/>
        <v>76968</v>
      </c>
      <c r="F19" s="67">
        <v>25955</v>
      </c>
      <c r="G19" s="67">
        <v>49041</v>
      </c>
      <c r="H19" s="8">
        <f t="shared" si="22"/>
        <v>74996</v>
      </c>
      <c r="I19" s="96"/>
      <c r="J19" s="96"/>
      <c r="K19" s="103"/>
      <c r="L19" s="7">
        <f t="shared" si="23"/>
        <v>25955</v>
      </c>
      <c r="M19" s="7">
        <f t="shared" si="23"/>
        <v>49041</v>
      </c>
      <c r="N19" s="7">
        <f t="shared" si="23"/>
        <v>74996</v>
      </c>
      <c r="O19" s="29">
        <f t="shared" si="20"/>
        <v>97.17698154180239</v>
      </c>
      <c r="P19" s="29">
        <f t="shared" si="20"/>
        <v>97.57655345311288</v>
      </c>
      <c r="Q19" s="29">
        <f t="shared" si="20"/>
        <v>97.43789626857915</v>
      </c>
      <c r="R19" s="99"/>
      <c r="S19" s="99"/>
      <c r="T19" s="101"/>
      <c r="U19" s="99"/>
      <c r="V19" s="99"/>
      <c r="W19" s="101"/>
      <c r="X19" s="98"/>
      <c r="Y19" s="98"/>
      <c r="Z19" s="97"/>
      <c r="AA19" s="99"/>
      <c r="AB19" s="99"/>
      <c r="AC19" s="97"/>
      <c r="AD19" s="100"/>
      <c r="AE19" s="100"/>
      <c r="AF19" s="100"/>
      <c r="AG19" s="10">
        <f t="shared" si="26"/>
        <v>26709</v>
      </c>
      <c r="AH19" s="10">
        <f t="shared" si="26"/>
        <v>50259</v>
      </c>
      <c r="AI19" s="10">
        <f t="shared" si="27"/>
        <v>76968</v>
      </c>
      <c r="AJ19" s="10">
        <f t="shared" si="28"/>
        <v>25955</v>
      </c>
      <c r="AK19" s="10">
        <f t="shared" si="28"/>
        <v>49041</v>
      </c>
      <c r="AL19" s="10">
        <f t="shared" si="29"/>
        <v>74996</v>
      </c>
      <c r="AM19" s="97"/>
      <c r="AN19" s="97"/>
      <c r="AO19" s="97"/>
      <c r="AP19" s="7">
        <f t="shared" si="30"/>
        <v>25955</v>
      </c>
      <c r="AQ19" s="7">
        <f t="shared" si="30"/>
        <v>49041</v>
      </c>
      <c r="AR19" s="10">
        <f t="shared" si="98"/>
        <v>74996</v>
      </c>
      <c r="AS19" s="29">
        <f t="shared" si="99"/>
        <v>97.17698154180239</v>
      </c>
      <c r="AT19" s="29">
        <f t="shared" si="99"/>
        <v>97.57655345311288</v>
      </c>
      <c r="AU19" s="29">
        <f t="shared" si="99"/>
        <v>97.43789626857915</v>
      </c>
      <c r="AV19" s="149"/>
      <c r="AW19" s="149"/>
      <c r="AX19" s="149"/>
      <c r="AY19" s="149"/>
      <c r="AZ19" s="149"/>
      <c r="BA19" s="149"/>
      <c r="BB19" s="96"/>
      <c r="BC19" s="96"/>
      <c r="BD19" s="97"/>
      <c r="BE19" s="99"/>
      <c r="BF19" s="99"/>
      <c r="BG19" s="97"/>
      <c r="BH19" s="100"/>
      <c r="BI19" s="100"/>
      <c r="BJ19" s="100"/>
      <c r="BK19" s="96"/>
      <c r="BL19" s="96"/>
      <c r="BM19" s="97"/>
      <c r="BN19" s="96"/>
      <c r="BO19" s="96"/>
      <c r="BP19" s="97"/>
      <c r="BQ19" s="96"/>
      <c r="BR19" s="96"/>
      <c r="BS19" s="97"/>
      <c r="BT19" s="99"/>
      <c r="BU19" s="99"/>
      <c r="BV19" s="97"/>
      <c r="BW19" s="100"/>
      <c r="BX19" s="100"/>
      <c r="BY19" s="100"/>
      <c r="BZ19" s="97"/>
      <c r="CA19" s="97"/>
      <c r="CB19" s="97"/>
      <c r="CC19" s="97"/>
      <c r="CD19" s="97"/>
      <c r="CE19" s="97"/>
      <c r="CF19" s="97"/>
      <c r="CG19" s="97"/>
      <c r="CH19" s="97"/>
      <c r="CI19" s="99"/>
      <c r="CJ19" s="99"/>
      <c r="CK19" s="97"/>
      <c r="CL19" s="100"/>
      <c r="CM19" s="100"/>
      <c r="CN19" s="100"/>
      <c r="CO19" s="151"/>
      <c r="CP19" s="151"/>
      <c r="CQ19" s="151"/>
      <c r="CR19" s="151"/>
      <c r="CS19" s="151"/>
      <c r="CT19" s="151"/>
      <c r="CU19" s="98"/>
      <c r="CV19" s="98"/>
      <c r="CW19" s="97"/>
      <c r="CX19" s="99"/>
      <c r="CY19" s="99"/>
      <c r="CZ19" s="97"/>
      <c r="DA19" s="100"/>
      <c r="DB19" s="100"/>
      <c r="DC19" s="100"/>
      <c r="DD19" s="96"/>
      <c r="DE19" s="96"/>
      <c r="DF19" s="97"/>
      <c r="DG19" s="96"/>
      <c r="DH19" s="96"/>
      <c r="DI19" s="97"/>
      <c r="DJ19" s="98"/>
      <c r="DK19" s="98"/>
      <c r="DL19" s="98"/>
      <c r="DM19" s="99"/>
      <c r="DN19" s="99"/>
      <c r="DO19" s="97"/>
      <c r="DP19" s="100"/>
      <c r="DQ19" s="100"/>
      <c r="DR19" s="100"/>
      <c r="DS19" s="97"/>
      <c r="DT19" s="97"/>
      <c r="DU19" s="97"/>
      <c r="DV19" s="97"/>
      <c r="DW19" s="97"/>
      <c r="DX19" s="97"/>
      <c r="DY19" s="97"/>
      <c r="DZ19" s="97"/>
      <c r="EA19" s="97"/>
      <c r="EB19" s="99"/>
      <c r="EC19" s="99"/>
      <c r="ED19" s="97"/>
      <c r="EE19" s="100"/>
      <c r="EF19" s="100"/>
      <c r="EG19" s="100"/>
      <c r="EH19" s="20">
        <f t="shared" si="108"/>
        <v>25955</v>
      </c>
      <c r="EI19" s="20">
        <f t="shared" si="109"/>
        <v>49041</v>
      </c>
      <c r="EJ19" s="20">
        <f t="shared" si="110"/>
        <v>74996</v>
      </c>
      <c r="EK19" s="101"/>
      <c r="EL19" s="101"/>
      <c r="EM19" s="101"/>
      <c r="EN19" s="20">
        <v>5156</v>
      </c>
      <c r="EO19" s="20">
        <v>8346</v>
      </c>
      <c r="EP19" s="20">
        <f t="shared" si="61"/>
        <v>13502</v>
      </c>
      <c r="EQ19" s="100"/>
      <c r="ER19" s="100"/>
      <c r="ES19" s="100"/>
      <c r="ET19" s="41">
        <f t="shared" si="65"/>
        <v>19.865151223271045</v>
      </c>
      <c r="EU19" s="41">
        <f t="shared" si="66"/>
        <v>17.018413164495012</v>
      </c>
      <c r="EV19" s="41">
        <f t="shared" si="67"/>
        <v>18.003626860099203</v>
      </c>
      <c r="EW19" s="101"/>
      <c r="EX19" s="101"/>
      <c r="EY19" s="101"/>
      <c r="EZ19" s="101"/>
      <c r="FA19" s="101"/>
      <c r="FB19" s="101"/>
      <c r="FC19" s="101"/>
      <c r="FD19" s="101"/>
      <c r="FE19" s="101"/>
      <c r="FF19" s="100"/>
      <c r="FG19" s="100"/>
      <c r="FH19" s="100"/>
      <c r="FI19" s="102"/>
      <c r="FJ19" s="102"/>
      <c r="FK19" s="102"/>
      <c r="FL19" s="101"/>
      <c r="FM19" s="101"/>
      <c r="FN19" s="101"/>
      <c r="FO19" s="101"/>
      <c r="FP19" s="101"/>
      <c r="FQ19" s="101"/>
      <c r="FR19" s="101"/>
      <c r="FS19" s="101"/>
      <c r="FT19" s="101"/>
      <c r="FU19" s="100"/>
      <c r="FV19" s="100"/>
      <c r="FW19" s="100"/>
      <c r="FX19" s="102"/>
      <c r="FY19" s="102"/>
      <c r="FZ19" s="102"/>
    </row>
    <row r="20" spans="1:182" s="39" customFormat="1" ht="33" customHeight="1">
      <c r="A20" s="3">
        <v>11</v>
      </c>
      <c r="B20" s="4" t="s">
        <v>16</v>
      </c>
      <c r="C20" s="7">
        <v>197949</v>
      </c>
      <c r="D20" s="7">
        <v>224679</v>
      </c>
      <c r="E20" s="16">
        <f>C20+D20</f>
        <v>422628</v>
      </c>
      <c r="F20" s="7">
        <v>108810</v>
      </c>
      <c r="G20" s="7">
        <v>125698</v>
      </c>
      <c r="H20" s="8">
        <f>F20+G20</f>
        <v>234508</v>
      </c>
      <c r="I20" s="9">
        <v>2431</v>
      </c>
      <c r="J20" s="9">
        <v>2999</v>
      </c>
      <c r="K20" s="11">
        <f t="shared" si="113"/>
        <v>5430</v>
      </c>
      <c r="L20" s="8">
        <f t="shared" si="23"/>
        <v>111241</v>
      </c>
      <c r="M20" s="8">
        <f t="shared" si="23"/>
        <v>128697</v>
      </c>
      <c r="N20" s="8">
        <f t="shared" si="23"/>
        <v>239938</v>
      </c>
      <c r="O20" s="29">
        <f>IF(C20=0,"",L20/C20*100)</f>
        <v>56.19679816518396</v>
      </c>
      <c r="P20" s="29">
        <f>IF(D20=0,"",M20/D20*100)</f>
        <v>57.28038668500394</v>
      </c>
      <c r="Q20" s="29">
        <f>IF(E20=0,"",N20/E20*100)</f>
        <v>56.772859346754124</v>
      </c>
      <c r="R20" s="7">
        <f>855+5737</f>
        <v>6592</v>
      </c>
      <c r="S20" s="7">
        <f>592+4732</f>
        <v>5324</v>
      </c>
      <c r="T20" s="8">
        <f t="shared" si="111"/>
        <v>11916</v>
      </c>
      <c r="U20" s="7">
        <f>185+1535</f>
        <v>1720</v>
      </c>
      <c r="V20" s="7">
        <v>1873</v>
      </c>
      <c r="W20" s="8">
        <f t="shared" si="24"/>
        <v>3593</v>
      </c>
      <c r="X20" s="9">
        <v>1369</v>
      </c>
      <c r="Y20" s="9">
        <v>1478</v>
      </c>
      <c r="Z20" s="10">
        <f t="shared" si="114"/>
        <v>2847</v>
      </c>
      <c r="AA20" s="8">
        <f t="shared" si="25"/>
        <v>3089</v>
      </c>
      <c r="AB20" s="8">
        <f t="shared" si="25"/>
        <v>3351</v>
      </c>
      <c r="AC20" s="10">
        <f t="shared" si="115"/>
        <v>6440</v>
      </c>
      <c r="AD20" s="29">
        <f t="shared" si="112"/>
        <v>46.85983009708738</v>
      </c>
      <c r="AE20" s="29">
        <f t="shared" si="112"/>
        <v>62.94139744552968</v>
      </c>
      <c r="AF20" s="29">
        <f t="shared" si="112"/>
        <v>54.04498153742867</v>
      </c>
      <c r="AG20" s="10">
        <f t="shared" si="26"/>
        <v>204541</v>
      </c>
      <c r="AH20" s="10">
        <f t="shared" si="26"/>
        <v>230003</v>
      </c>
      <c r="AI20" s="10">
        <f t="shared" si="27"/>
        <v>434544</v>
      </c>
      <c r="AJ20" s="10">
        <f t="shared" si="28"/>
        <v>110530</v>
      </c>
      <c r="AK20" s="10">
        <f t="shared" si="28"/>
        <v>127571</v>
      </c>
      <c r="AL20" s="10">
        <f t="shared" si="29"/>
        <v>238101</v>
      </c>
      <c r="AM20" s="10">
        <f t="shared" si="116"/>
        <v>3800</v>
      </c>
      <c r="AN20" s="10">
        <f t="shared" si="116"/>
        <v>4477</v>
      </c>
      <c r="AO20" s="10">
        <f t="shared" si="117"/>
        <v>8277</v>
      </c>
      <c r="AP20" s="8">
        <f t="shared" si="30"/>
        <v>114330</v>
      </c>
      <c r="AQ20" s="8">
        <f t="shared" si="30"/>
        <v>132048</v>
      </c>
      <c r="AR20" s="10">
        <f t="shared" si="98"/>
        <v>246378</v>
      </c>
      <c r="AS20" s="29">
        <f t="shared" si="99"/>
        <v>55.89588395480612</v>
      </c>
      <c r="AT20" s="29">
        <f t="shared" si="99"/>
        <v>57.41142506836867</v>
      </c>
      <c r="AU20" s="29">
        <f t="shared" si="99"/>
        <v>56.69805589307412</v>
      </c>
      <c r="AV20" s="9">
        <v>30000</v>
      </c>
      <c r="AW20" s="9">
        <v>33358</v>
      </c>
      <c r="AX20" s="10">
        <f>AV20+AW20</f>
        <v>63358</v>
      </c>
      <c r="AY20" s="9">
        <v>14869</v>
      </c>
      <c r="AZ20" s="9">
        <v>16957</v>
      </c>
      <c r="BA20" s="10">
        <f>AY20+AZ20</f>
        <v>31826</v>
      </c>
      <c r="BB20" s="9">
        <v>430</v>
      </c>
      <c r="BC20" s="9">
        <v>469</v>
      </c>
      <c r="BD20" s="10">
        <f t="shared" si="132"/>
        <v>899</v>
      </c>
      <c r="BE20" s="8">
        <f t="shared" si="34"/>
        <v>15299</v>
      </c>
      <c r="BF20" s="8">
        <f t="shared" si="34"/>
        <v>17426</v>
      </c>
      <c r="BG20" s="10">
        <f t="shared" si="100"/>
        <v>32725</v>
      </c>
      <c r="BH20" s="29">
        <f t="shared" si="101"/>
        <v>50.99666666666667</v>
      </c>
      <c r="BI20" s="29">
        <f t="shared" si="101"/>
        <v>52.23934288626416</v>
      </c>
      <c r="BJ20" s="29">
        <f t="shared" si="101"/>
        <v>51.65093595126109</v>
      </c>
      <c r="BK20" s="9">
        <v>1083</v>
      </c>
      <c r="BL20" s="9">
        <v>776</v>
      </c>
      <c r="BM20" s="10">
        <f t="shared" si="36"/>
        <v>1859</v>
      </c>
      <c r="BN20" s="9">
        <v>286</v>
      </c>
      <c r="BO20" s="9">
        <v>278</v>
      </c>
      <c r="BP20" s="10">
        <f t="shared" si="37"/>
        <v>564</v>
      </c>
      <c r="BQ20" s="9">
        <v>257</v>
      </c>
      <c r="BR20" s="9">
        <v>243</v>
      </c>
      <c r="BS20" s="10">
        <f t="shared" si="118"/>
        <v>500</v>
      </c>
      <c r="BT20" s="8">
        <f t="shared" si="38"/>
        <v>543</v>
      </c>
      <c r="BU20" s="8">
        <f t="shared" si="38"/>
        <v>521</v>
      </c>
      <c r="BV20" s="10">
        <f t="shared" si="119"/>
        <v>1064</v>
      </c>
      <c r="BW20" s="29">
        <f t="shared" si="133"/>
        <v>50.13850415512465</v>
      </c>
      <c r="BX20" s="29">
        <f t="shared" si="133"/>
        <v>67.13917525773195</v>
      </c>
      <c r="BY20" s="29">
        <f t="shared" si="133"/>
        <v>57.235072619688</v>
      </c>
      <c r="BZ20" s="10">
        <f t="shared" si="39"/>
        <v>31083</v>
      </c>
      <c r="CA20" s="10">
        <f t="shared" si="39"/>
        <v>34134</v>
      </c>
      <c r="CB20" s="10">
        <f t="shared" si="40"/>
        <v>65217</v>
      </c>
      <c r="CC20" s="10">
        <f t="shared" si="41"/>
        <v>15155</v>
      </c>
      <c r="CD20" s="10">
        <f t="shared" si="41"/>
        <v>17235</v>
      </c>
      <c r="CE20" s="10">
        <f t="shared" si="42"/>
        <v>32390</v>
      </c>
      <c r="CF20" s="10">
        <f t="shared" si="120"/>
        <v>687</v>
      </c>
      <c r="CG20" s="10">
        <f t="shared" si="120"/>
        <v>712</v>
      </c>
      <c r="CH20" s="10">
        <f t="shared" si="121"/>
        <v>1399</v>
      </c>
      <c r="CI20" s="8">
        <f t="shared" si="43"/>
        <v>15842</v>
      </c>
      <c r="CJ20" s="8">
        <f t="shared" si="43"/>
        <v>17947</v>
      </c>
      <c r="CK20" s="10">
        <f t="shared" si="102"/>
        <v>33789</v>
      </c>
      <c r="CL20" s="29">
        <f t="shared" si="103"/>
        <v>50.966766399639674</v>
      </c>
      <c r="CM20" s="29">
        <f t="shared" si="103"/>
        <v>52.57807464697956</v>
      </c>
      <c r="CN20" s="29">
        <f t="shared" si="103"/>
        <v>51.81011086066516</v>
      </c>
      <c r="CO20" s="9">
        <v>54724</v>
      </c>
      <c r="CP20" s="9">
        <v>65301</v>
      </c>
      <c r="CQ20" s="10">
        <f aca="true" t="shared" si="134" ref="CQ20:CQ26">CO20+CP20</f>
        <v>120025</v>
      </c>
      <c r="CR20" s="9">
        <v>28871</v>
      </c>
      <c r="CS20" s="9">
        <v>33395</v>
      </c>
      <c r="CT20" s="10">
        <f aca="true" t="shared" si="135" ref="CT20:CT26">CR20+CS20</f>
        <v>62266</v>
      </c>
      <c r="CU20" s="9">
        <v>609</v>
      </c>
      <c r="CV20" s="9">
        <v>789</v>
      </c>
      <c r="CW20" s="10">
        <f t="shared" si="122"/>
        <v>1398</v>
      </c>
      <c r="CX20" s="8">
        <f t="shared" si="45"/>
        <v>29480</v>
      </c>
      <c r="CY20" s="8">
        <f t="shared" si="46"/>
        <v>34184</v>
      </c>
      <c r="CZ20" s="10">
        <f t="shared" si="104"/>
        <v>63664</v>
      </c>
      <c r="DA20" s="29">
        <f t="shared" si="105"/>
        <v>53.87033111614649</v>
      </c>
      <c r="DB20" s="29">
        <f t="shared" si="106"/>
        <v>52.34835607417957</v>
      </c>
      <c r="DC20" s="29">
        <f t="shared" si="107"/>
        <v>53.04228285773797</v>
      </c>
      <c r="DD20" s="9">
        <v>1558</v>
      </c>
      <c r="DE20" s="9">
        <v>1528</v>
      </c>
      <c r="DF20" s="10">
        <f t="shared" si="48"/>
        <v>3086</v>
      </c>
      <c r="DG20" s="9">
        <f>380+60</f>
        <v>440</v>
      </c>
      <c r="DH20" s="9">
        <f>443+63</f>
        <v>506</v>
      </c>
      <c r="DI20" s="10">
        <f t="shared" si="49"/>
        <v>946</v>
      </c>
      <c r="DJ20" s="9">
        <v>364</v>
      </c>
      <c r="DK20" s="9">
        <v>487</v>
      </c>
      <c r="DL20" s="6">
        <f t="shared" si="123"/>
        <v>851</v>
      </c>
      <c r="DM20" s="8">
        <f t="shared" si="124"/>
        <v>804</v>
      </c>
      <c r="DN20" s="8">
        <f t="shared" si="125"/>
        <v>993</v>
      </c>
      <c r="DO20" s="10">
        <f t="shared" si="126"/>
        <v>1797</v>
      </c>
      <c r="DP20" s="29">
        <f t="shared" si="127"/>
        <v>51.60462130937099</v>
      </c>
      <c r="DQ20" s="29">
        <f t="shared" si="128"/>
        <v>64.9869109947644</v>
      </c>
      <c r="DR20" s="29">
        <f t="shared" si="129"/>
        <v>58.230719377835385</v>
      </c>
      <c r="DS20" s="10">
        <f t="shared" si="50"/>
        <v>56282</v>
      </c>
      <c r="DT20" s="10">
        <f t="shared" si="51"/>
        <v>66829</v>
      </c>
      <c r="DU20" s="10">
        <f t="shared" si="52"/>
        <v>123111</v>
      </c>
      <c r="DV20" s="10">
        <f t="shared" si="53"/>
        <v>29311</v>
      </c>
      <c r="DW20" s="10">
        <f t="shared" si="54"/>
        <v>33901</v>
      </c>
      <c r="DX20" s="10">
        <f t="shared" si="55"/>
        <v>63212</v>
      </c>
      <c r="DY20" s="10">
        <f>CU20+DJ20</f>
        <v>973</v>
      </c>
      <c r="DZ20" s="10">
        <f>CV20+DK20</f>
        <v>1276</v>
      </c>
      <c r="EA20" s="10">
        <f>DY20+DZ20</f>
        <v>2249</v>
      </c>
      <c r="EB20" s="8">
        <f>SUM(DV20,DY20)</f>
        <v>30284</v>
      </c>
      <c r="EC20" s="8">
        <f>SUM(DW20,DZ20)</f>
        <v>35177</v>
      </c>
      <c r="ED20" s="10">
        <f>SUM(EB20,EC20)</f>
        <v>65461</v>
      </c>
      <c r="EE20" s="29">
        <f t="shared" si="130"/>
        <v>53.807611669805624</v>
      </c>
      <c r="EF20" s="29">
        <f t="shared" si="130"/>
        <v>52.637328106061744</v>
      </c>
      <c r="EG20" s="29">
        <f t="shared" si="130"/>
        <v>53.17234040824946</v>
      </c>
      <c r="EH20" s="20">
        <f aca="true" t="shared" si="136" ref="EH20:EJ21">AP20</f>
        <v>114330</v>
      </c>
      <c r="EI20" s="20">
        <f t="shared" si="136"/>
        <v>132048</v>
      </c>
      <c r="EJ20" s="20">
        <f t="shared" si="136"/>
        <v>246378</v>
      </c>
      <c r="EK20" s="42">
        <v>7762</v>
      </c>
      <c r="EL20" s="42">
        <v>7765</v>
      </c>
      <c r="EM20" s="20">
        <f t="shared" si="60"/>
        <v>15527</v>
      </c>
      <c r="EN20" s="20">
        <v>16505</v>
      </c>
      <c r="EO20" s="20">
        <v>18569</v>
      </c>
      <c r="EP20" s="20">
        <f t="shared" si="61"/>
        <v>35074</v>
      </c>
      <c r="EQ20" s="53">
        <f aca="true" t="shared" si="137" ref="EQ20:ES21">EK20/EH20%</f>
        <v>6.789119216303683</v>
      </c>
      <c r="ER20" s="53">
        <f t="shared" si="137"/>
        <v>5.880437416696958</v>
      </c>
      <c r="ES20" s="53">
        <f t="shared" si="137"/>
        <v>6.302104895729326</v>
      </c>
      <c r="ET20" s="41">
        <f aca="true" t="shared" si="138" ref="ET20:EV21">EN20/EH20%</f>
        <v>14.43628094113531</v>
      </c>
      <c r="EU20" s="41">
        <f t="shared" si="138"/>
        <v>14.062310674906094</v>
      </c>
      <c r="EV20" s="41">
        <f t="shared" si="138"/>
        <v>14.235848980022565</v>
      </c>
      <c r="EW20" s="20">
        <f t="shared" si="68"/>
        <v>15842</v>
      </c>
      <c r="EX20" s="20">
        <f t="shared" si="69"/>
        <v>17947</v>
      </c>
      <c r="EY20" s="20">
        <f t="shared" si="70"/>
        <v>33789</v>
      </c>
      <c r="EZ20" s="42">
        <v>916</v>
      </c>
      <c r="FA20" s="42">
        <v>795</v>
      </c>
      <c r="FB20" s="20">
        <f t="shared" si="71"/>
        <v>1711</v>
      </c>
      <c r="FC20" s="20">
        <v>2232</v>
      </c>
      <c r="FD20" s="20">
        <v>2373</v>
      </c>
      <c r="FE20" s="20">
        <f t="shared" si="72"/>
        <v>4605</v>
      </c>
      <c r="FF20" s="53">
        <f t="shared" si="73"/>
        <v>5.7820982199217275</v>
      </c>
      <c r="FG20" s="53">
        <f t="shared" si="74"/>
        <v>4.429709700785646</v>
      </c>
      <c r="FH20" s="53">
        <f t="shared" si="75"/>
        <v>5.063778152653231</v>
      </c>
      <c r="FI20" s="41">
        <f t="shared" si="76"/>
        <v>14.089130160333292</v>
      </c>
      <c r="FJ20" s="41">
        <f t="shared" si="77"/>
        <v>13.222265559703573</v>
      </c>
      <c r="FK20" s="41">
        <f t="shared" si="78"/>
        <v>13.628695729379384</v>
      </c>
      <c r="FL20" s="20">
        <f aca="true" t="shared" si="139" ref="FL20:FN21">EB20</f>
        <v>30284</v>
      </c>
      <c r="FM20" s="20">
        <f t="shared" si="139"/>
        <v>35177</v>
      </c>
      <c r="FN20" s="20">
        <f t="shared" si="139"/>
        <v>65461</v>
      </c>
      <c r="FO20" s="42">
        <v>1013</v>
      </c>
      <c r="FP20" s="42">
        <v>889</v>
      </c>
      <c r="FQ20" s="20">
        <f t="shared" si="82"/>
        <v>1902</v>
      </c>
      <c r="FR20" s="20">
        <v>3263</v>
      </c>
      <c r="FS20" s="20">
        <v>3325</v>
      </c>
      <c r="FT20" s="20">
        <f t="shared" si="83"/>
        <v>6588</v>
      </c>
      <c r="FU20" s="53">
        <f>FO20/FL20%</f>
        <v>3.345000660414741</v>
      </c>
      <c r="FV20" s="53">
        <f t="shared" si="84"/>
        <v>2.5272194900076754</v>
      </c>
      <c r="FW20" s="53">
        <f t="shared" si="85"/>
        <v>2.905546814133606</v>
      </c>
      <c r="FX20" s="41">
        <f t="shared" si="86"/>
        <v>10.77466649055607</v>
      </c>
      <c r="FY20" s="41">
        <f t="shared" si="87"/>
        <v>9.452198879949968</v>
      </c>
      <c r="FZ20" s="41">
        <f t="shared" si="88"/>
        <v>10.064007577030598</v>
      </c>
    </row>
    <row r="21" spans="1:182" s="39" customFormat="1" ht="33" customHeight="1">
      <c r="A21" s="3">
        <v>12</v>
      </c>
      <c r="B21" s="69" t="s">
        <v>97</v>
      </c>
      <c r="C21" s="99"/>
      <c r="D21" s="99"/>
      <c r="E21" s="104"/>
      <c r="F21" s="99"/>
      <c r="G21" s="99"/>
      <c r="H21" s="101"/>
      <c r="I21" s="96"/>
      <c r="J21" s="96"/>
      <c r="K21" s="103"/>
      <c r="L21" s="101"/>
      <c r="M21" s="101"/>
      <c r="N21" s="101"/>
      <c r="O21" s="100"/>
      <c r="P21" s="100"/>
      <c r="Q21" s="100"/>
      <c r="R21" s="7">
        <v>55</v>
      </c>
      <c r="S21" s="7">
        <v>54</v>
      </c>
      <c r="T21" s="8">
        <f t="shared" si="111"/>
        <v>109</v>
      </c>
      <c r="U21" s="7">
        <v>20</v>
      </c>
      <c r="V21" s="7">
        <v>48</v>
      </c>
      <c r="W21" s="8">
        <f t="shared" si="24"/>
        <v>68</v>
      </c>
      <c r="X21" s="96"/>
      <c r="Y21" s="96"/>
      <c r="Z21" s="97">
        <f t="shared" si="114"/>
        <v>0</v>
      </c>
      <c r="AA21" s="8">
        <f>SUM(U21,X21)</f>
        <v>20</v>
      </c>
      <c r="AB21" s="8">
        <f>SUM(V21,Y21)</f>
        <v>48</v>
      </c>
      <c r="AC21" s="10">
        <f>SUM(AA21,AB21)</f>
        <v>68</v>
      </c>
      <c r="AD21" s="29">
        <f>IF(R21=0,"",AA21/R21*100)</f>
        <v>36.36363636363637</v>
      </c>
      <c r="AE21" s="29">
        <f>IF(S21=0,"",AB21/S21*100)</f>
        <v>88.88888888888889</v>
      </c>
      <c r="AF21" s="29">
        <f>IF(T21=0,"",AC21/T21*100)</f>
        <v>62.38532110091744</v>
      </c>
      <c r="AG21" s="10">
        <f>C21+R21</f>
        <v>55</v>
      </c>
      <c r="AH21" s="10">
        <f>D21+S21</f>
        <v>54</v>
      </c>
      <c r="AI21" s="10">
        <f>AG21+AH21</f>
        <v>109</v>
      </c>
      <c r="AJ21" s="10">
        <f>F21+U21</f>
        <v>20</v>
      </c>
      <c r="AK21" s="10">
        <f>G21+V21</f>
        <v>48</v>
      </c>
      <c r="AL21" s="10">
        <f>AJ21+AK21</f>
        <v>68</v>
      </c>
      <c r="AM21" s="97">
        <f>I21+X21</f>
        <v>0</v>
      </c>
      <c r="AN21" s="97">
        <f>J21+Y21</f>
        <v>0</v>
      </c>
      <c r="AO21" s="97">
        <f>AM21+AN21</f>
        <v>0</v>
      </c>
      <c r="AP21" s="8">
        <f>SUM(AJ21,AM21)</f>
        <v>20</v>
      </c>
      <c r="AQ21" s="8">
        <f>SUM(AK21,AN21)</f>
        <v>48</v>
      </c>
      <c r="AR21" s="10">
        <f>SUM(AP21,AQ21)</f>
        <v>68</v>
      </c>
      <c r="AS21" s="29">
        <f>IF(AG21=0,"",AP21/AG21*100)</f>
        <v>36.36363636363637</v>
      </c>
      <c r="AT21" s="29">
        <f>IF(AH21=0,"",AQ21/AH21*100)</f>
        <v>88.88888888888889</v>
      </c>
      <c r="AU21" s="29">
        <f>IF(AI21=0,"",AR21/AI21*100)</f>
        <v>62.38532110091744</v>
      </c>
      <c r="AV21" s="96"/>
      <c r="AW21" s="96"/>
      <c r="AX21" s="97"/>
      <c r="AY21" s="96"/>
      <c r="AZ21" s="96"/>
      <c r="BA21" s="97"/>
      <c r="BB21" s="96"/>
      <c r="BC21" s="96"/>
      <c r="BD21" s="97"/>
      <c r="BE21" s="101"/>
      <c r="BF21" s="101"/>
      <c r="BG21" s="97"/>
      <c r="BH21" s="100"/>
      <c r="BI21" s="100"/>
      <c r="BJ21" s="100"/>
      <c r="BK21" s="96"/>
      <c r="BL21" s="96"/>
      <c r="BM21" s="97"/>
      <c r="BN21" s="96"/>
      <c r="BO21" s="96"/>
      <c r="BP21" s="97"/>
      <c r="BQ21" s="96"/>
      <c r="BR21" s="96"/>
      <c r="BS21" s="97"/>
      <c r="BT21" s="101"/>
      <c r="BU21" s="101"/>
      <c r="BV21" s="97"/>
      <c r="BW21" s="100"/>
      <c r="BX21" s="100"/>
      <c r="BY21" s="100"/>
      <c r="BZ21" s="97"/>
      <c r="CA21" s="97"/>
      <c r="CB21" s="97"/>
      <c r="CC21" s="97"/>
      <c r="CD21" s="97"/>
      <c r="CE21" s="97"/>
      <c r="CF21" s="97"/>
      <c r="CG21" s="97"/>
      <c r="CH21" s="97"/>
      <c r="CI21" s="101"/>
      <c r="CJ21" s="101"/>
      <c r="CK21" s="97"/>
      <c r="CL21" s="100"/>
      <c r="CM21" s="100"/>
      <c r="CN21" s="100"/>
      <c r="CO21" s="96"/>
      <c r="CP21" s="96"/>
      <c r="CQ21" s="97"/>
      <c r="CR21" s="96"/>
      <c r="CS21" s="96"/>
      <c r="CT21" s="97"/>
      <c r="CU21" s="96"/>
      <c r="CV21" s="96"/>
      <c r="CW21" s="97"/>
      <c r="CX21" s="101"/>
      <c r="CY21" s="101"/>
      <c r="CZ21" s="97"/>
      <c r="DA21" s="100"/>
      <c r="DB21" s="100"/>
      <c r="DC21" s="100"/>
      <c r="DD21" s="96"/>
      <c r="DE21" s="96"/>
      <c r="DF21" s="97"/>
      <c r="DG21" s="96"/>
      <c r="DH21" s="96"/>
      <c r="DI21" s="97"/>
      <c r="DJ21" s="96"/>
      <c r="DK21" s="96"/>
      <c r="DL21" s="98"/>
      <c r="DM21" s="101"/>
      <c r="DN21" s="101"/>
      <c r="DO21" s="97"/>
      <c r="DP21" s="100">
        <f>IF(DD21=0,"",DM21/DD21*100)</f>
      </c>
      <c r="DQ21" s="100">
        <f>IF(DE21=0,"",DN21/DE21*100)</f>
      </c>
      <c r="DR21" s="100">
        <f>IF(DF21=0,"",DO21/DF21*100)</f>
      </c>
      <c r="DS21" s="97">
        <f aca="true" t="shared" si="140" ref="DS21:DS50">CO21+DD21</f>
        <v>0</v>
      </c>
      <c r="DT21" s="97">
        <f aca="true" t="shared" si="141" ref="DT21:DT50">CP21+DE21</f>
        <v>0</v>
      </c>
      <c r="DU21" s="97">
        <f aca="true" t="shared" si="142" ref="DU21:DU49">DS21+DT21</f>
        <v>0</v>
      </c>
      <c r="DV21" s="97">
        <f aca="true" t="shared" si="143" ref="DV21:DV50">CR21+DG21</f>
        <v>0</v>
      </c>
      <c r="DW21" s="97">
        <f aca="true" t="shared" si="144" ref="DW21:DW50">CS21+DH21</f>
        <v>0</v>
      </c>
      <c r="DX21" s="97">
        <f aca="true" t="shared" si="145" ref="DX21:DX49">DV21+DW21</f>
        <v>0</v>
      </c>
      <c r="DY21" s="97">
        <f aca="true" t="shared" si="146" ref="DY21:DY44">CU21+DJ21</f>
        <v>0</v>
      </c>
      <c r="DZ21" s="97">
        <f aca="true" t="shared" si="147" ref="DZ21:DZ44">CV21+DK21</f>
        <v>0</v>
      </c>
      <c r="EA21" s="97">
        <f aca="true" t="shared" si="148" ref="EA21:EA44">DY21+DZ21</f>
        <v>0</v>
      </c>
      <c r="EB21" s="101">
        <f aca="true" t="shared" si="149" ref="EB21:EB49">SUM(DV21,DY21)</f>
        <v>0</v>
      </c>
      <c r="EC21" s="101">
        <f aca="true" t="shared" si="150" ref="EC21:EC49">SUM(DW21,DZ21)</f>
        <v>0</v>
      </c>
      <c r="ED21" s="97">
        <f aca="true" t="shared" si="151" ref="ED21:ED49">SUM(EB21,EC21)</f>
        <v>0</v>
      </c>
      <c r="EE21" s="100">
        <f aca="true" t="shared" si="152" ref="EE21:EE49">IF(DS21=0,"",EB21/DS21*100)</f>
      </c>
      <c r="EF21" s="100">
        <f aca="true" t="shared" si="153" ref="EF21:EF49">IF(DT21=0,"",EC21/DT21*100)</f>
      </c>
      <c r="EG21" s="100">
        <f aca="true" t="shared" si="154" ref="EG21:EG49">IF(DU21=0,"",ED21/DU21*100)</f>
      </c>
      <c r="EH21" s="20">
        <f t="shared" si="136"/>
        <v>20</v>
      </c>
      <c r="EI21" s="20">
        <f t="shared" si="136"/>
        <v>48</v>
      </c>
      <c r="EJ21" s="20">
        <f t="shared" si="136"/>
        <v>68</v>
      </c>
      <c r="EK21" s="42">
        <v>0</v>
      </c>
      <c r="EL21" s="42">
        <v>0</v>
      </c>
      <c r="EM21" s="20">
        <v>0</v>
      </c>
      <c r="EN21" s="20">
        <v>2</v>
      </c>
      <c r="EO21" s="20">
        <v>6</v>
      </c>
      <c r="EP21" s="20">
        <f t="shared" si="61"/>
        <v>8</v>
      </c>
      <c r="EQ21" s="53">
        <f t="shared" si="137"/>
        <v>0</v>
      </c>
      <c r="ER21" s="53">
        <f t="shared" si="137"/>
        <v>0</v>
      </c>
      <c r="ES21" s="53">
        <f t="shared" si="137"/>
        <v>0</v>
      </c>
      <c r="ET21" s="41">
        <f t="shared" si="138"/>
        <v>10</v>
      </c>
      <c r="EU21" s="41">
        <f t="shared" si="138"/>
        <v>12.5</v>
      </c>
      <c r="EV21" s="41">
        <f t="shared" si="138"/>
        <v>11.76470588235294</v>
      </c>
      <c r="EW21" s="101"/>
      <c r="EX21" s="101"/>
      <c r="EY21" s="101"/>
      <c r="EZ21" s="101"/>
      <c r="FA21" s="101"/>
      <c r="FB21" s="101"/>
      <c r="FC21" s="101"/>
      <c r="FD21" s="101"/>
      <c r="FE21" s="101"/>
      <c r="FF21" s="100"/>
      <c r="FG21" s="100"/>
      <c r="FH21" s="100"/>
      <c r="FI21" s="102"/>
      <c r="FJ21" s="102"/>
      <c r="FK21" s="102"/>
      <c r="FL21" s="101">
        <f t="shared" si="139"/>
        <v>0</v>
      </c>
      <c r="FM21" s="101">
        <f t="shared" si="139"/>
        <v>0</v>
      </c>
      <c r="FN21" s="101">
        <f t="shared" si="139"/>
        <v>0</v>
      </c>
      <c r="FO21" s="101"/>
      <c r="FP21" s="101"/>
      <c r="FQ21" s="101"/>
      <c r="FR21" s="101"/>
      <c r="FS21" s="101"/>
      <c r="FT21" s="101"/>
      <c r="FU21" s="100"/>
      <c r="FV21" s="100"/>
      <c r="FW21" s="100"/>
      <c r="FX21" s="102"/>
      <c r="FY21" s="102"/>
      <c r="FZ21" s="102"/>
    </row>
    <row r="22" spans="1:182" ht="29.25" customHeight="1">
      <c r="A22" s="3">
        <v>13</v>
      </c>
      <c r="B22" s="4" t="s">
        <v>12</v>
      </c>
      <c r="C22" s="7">
        <v>415</v>
      </c>
      <c r="D22" s="7">
        <v>388</v>
      </c>
      <c r="E22" s="16">
        <f>C22+D22</f>
        <v>803</v>
      </c>
      <c r="F22" s="7">
        <v>390</v>
      </c>
      <c r="G22" s="7">
        <v>382</v>
      </c>
      <c r="H22" s="8">
        <f>F22+G22</f>
        <v>772</v>
      </c>
      <c r="I22" s="9">
        <v>7</v>
      </c>
      <c r="J22" s="9">
        <v>3</v>
      </c>
      <c r="K22" s="11">
        <f t="shared" si="113"/>
        <v>10</v>
      </c>
      <c r="L22" s="7">
        <f t="shared" si="23"/>
        <v>397</v>
      </c>
      <c r="M22" s="7">
        <f t="shared" si="23"/>
        <v>385</v>
      </c>
      <c r="N22" s="7">
        <f t="shared" si="23"/>
        <v>782</v>
      </c>
      <c r="O22" s="29">
        <f t="shared" si="20"/>
        <v>95.66265060240964</v>
      </c>
      <c r="P22" s="29">
        <f t="shared" si="20"/>
        <v>99.22680412371135</v>
      </c>
      <c r="Q22" s="29">
        <f t="shared" si="20"/>
        <v>97.38480697384807</v>
      </c>
      <c r="R22" s="7">
        <v>11</v>
      </c>
      <c r="S22" s="7">
        <v>7</v>
      </c>
      <c r="T22" s="8">
        <f t="shared" si="111"/>
        <v>18</v>
      </c>
      <c r="U22" s="7">
        <v>8</v>
      </c>
      <c r="V22" s="7">
        <v>7</v>
      </c>
      <c r="W22" s="8">
        <f t="shared" si="24"/>
        <v>15</v>
      </c>
      <c r="X22" s="6">
        <v>0</v>
      </c>
      <c r="Y22" s="9">
        <v>0</v>
      </c>
      <c r="Z22" s="10">
        <f t="shared" si="114"/>
        <v>0</v>
      </c>
      <c r="AA22" s="7">
        <f t="shared" si="25"/>
        <v>8</v>
      </c>
      <c r="AB22" s="7">
        <f t="shared" si="25"/>
        <v>7</v>
      </c>
      <c r="AC22" s="10">
        <f t="shared" si="115"/>
        <v>15</v>
      </c>
      <c r="AD22" s="29">
        <f t="shared" si="112"/>
        <v>72.72727272727273</v>
      </c>
      <c r="AE22" s="29">
        <f t="shared" si="112"/>
        <v>100</v>
      </c>
      <c r="AF22" s="29">
        <f t="shared" si="112"/>
        <v>83.33333333333334</v>
      </c>
      <c r="AG22" s="10">
        <f t="shared" si="26"/>
        <v>426</v>
      </c>
      <c r="AH22" s="10">
        <f t="shared" si="26"/>
        <v>395</v>
      </c>
      <c r="AI22" s="10">
        <f t="shared" si="27"/>
        <v>821</v>
      </c>
      <c r="AJ22" s="10">
        <f t="shared" si="28"/>
        <v>398</v>
      </c>
      <c r="AK22" s="10">
        <f t="shared" si="28"/>
        <v>389</v>
      </c>
      <c r="AL22" s="10">
        <f t="shared" si="29"/>
        <v>787</v>
      </c>
      <c r="AM22" s="10">
        <f t="shared" si="116"/>
        <v>7</v>
      </c>
      <c r="AN22" s="10">
        <f t="shared" si="116"/>
        <v>3</v>
      </c>
      <c r="AO22" s="10">
        <f t="shared" si="117"/>
        <v>10</v>
      </c>
      <c r="AP22" s="7">
        <f t="shared" si="30"/>
        <v>405</v>
      </c>
      <c r="AQ22" s="7">
        <f t="shared" si="30"/>
        <v>392</v>
      </c>
      <c r="AR22" s="10">
        <f t="shared" si="98"/>
        <v>797</v>
      </c>
      <c r="AS22" s="29">
        <f t="shared" si="99"/>
        <v>95.07042253521126</v>
      </c>
      <c r="AT22" s="29">
        <f t="shared" si="99"/>
        <v>99.24050632911391</v>
      </c>
      <c r="AU22" s="29">
        <f t="shared" si="99"/>
        <v>97.07673568818514</v>
      </c>
      <c r="AV22" s="68">
        <v>36</v>
      </c>
      <c r="AW22" s="68">
        <v>54</v>
      </c>
      <c r="AX22" s="68">
        <f>AV22+AW22</f>
        <v>90</v>
      </c>
      <c r="AY22" s="68">
        <v>32</v>
      </c>
      <c r="AZ22" s="68">
        <v>52</v>
      </c>
      <c r="BA22" s="68">
        <f>AY22+AZ22</f>
        <v>84</v>
      </c>
      <c r="BB22" s="6">
        <v>2</v>
      </c>
      <c r="BC22" s="6">
        <v>1</v>
      </c>
      <c r="BD22" s="10">
        <f t="shared" si="132"/>
        <v>3</v>
      </c>
      <c r="BE22" s="7">
        <f t="shared" si="34"/>
        <v>34</v>
      </c>
      <c r="BF22" s="7">
        <f t="shared" si="34"/>
        <v>53</v>
      </c>
      <c r="BG22" s="10">
        <f t="shared" si="100"/>
        <v>87</v>
      </c>
      <c r="BH22" s="29">
        <f t="shared" si="101"/>
        <v>94.44444444444444</v>
      </c>
      <c r="BI22" s="29">
        <f t="shared" si="101"/>
        <v>98.14814814814815</v>
      </c>
      <c r="BJ22" s="29">
        <f t="shared" si="101"/>
        <v>96.66666666666667</v>
      </c>
      <c r="BK22" s="96"/>
      <c r="BL22" s="96"/>
      <c r="BM22" s="97"/>
      <c r="BN22" s="96"/>
      <c r="BO22" s="96"/>
      <c r="BP22" s="97"/>
      <c r="BQ22" s="96"/>
      <c r="BR22" s="96"/>
      <c r="BS22" s="97"/>
      <c r="BT22" s="99"/>
      <c r="BU22" s="99"/>
      <c r="BV22" s="97"/>
      <c r="BW22" s="100"/>
      <c r="BX22" s="100"/>
      <c r="BY22" s="100"/>
      <c r="BZ22" s="10">
        <f t="shared" si="39"/>
        <v>36</v>
      </c>
      <c r="CA22" s="10">
        <f t="shared" si="39"/>
        <v>54</v>
      </c>
      <c r="CB22" s="10">
        <f t="shared" si="40"/>
        <v>90</v>
      </c>
      <c r="CC22" s="10">
        <f t="shared" si="41"/>
        <v>32</v>
      </c>
      <c r="CD22" s="10">
        <f t="shared" si="41"/>
        <v>52</v>
      </c>
      <c r="CE22" s="10">
        <f t="shared" si="42"/>
        <v>84</v>
      </c>
      <c r="CF22" s="10">
        <f t="shared" si="120"/>
        <v>2</v>
      </c>
      <c r="CG22" s="10">
        <f t="shared" si="120"/>
        <v>1</v>
      </c>
      <c r="CH22" s="10">
        <f t="shared" si="121"/>
        <v>3</v>
      </c>
      <c r="CI22" s="7">
        <f t="shared" si="43"/>
        <v>34</v>
      </c>
      <c r="CJ22" s="7">
        <f t="shared" si="43"/>
        <v>53</v>
      </c>
      <c r="CK22" s="10">
        <f t="shared" si="102"/>
        <v>87</v>
      </c>
      <c r="CL22" s="29">
        <f t="shared" si="103"/>
        <v>94.44444444444444</v>
      </c>
      <c r="CM22" s="29">
        <f t="shared" si="103"/>
        <v>98.14814814814815</v>
      </c>
      <c r="CN22" s="29">
        <f t="shared" si="103"/>
        <v>96.66666666666667</v>
      </c>
      <c r="CO22" s="9">
        <v>171</v>
      </c>
      <c r="CP22" s="9">
        <v>146</v>
      </c>
      <c r="CQ22" s="10">
        <f t="shared" si="134"/>
        <v>317</v>
      </c>
      <c r="CR22" s="9">
        <v>169</v>
      </c>
      <c r="CS22" s="9">
        <v>142</v>
      </c>
      <c r="CT22" s="10">
        <f t="shared" si="135"/>
        <v>311</v>
      </c>
      <c r="CU22" s="9">
        <v>1</v>
      </c>
      <c r="CV22" s="9">
        <v>2</v>
      </c>
      <c r="CW22" s="10">
        <f t="shared" si="122"/>
        <v>3</v>
      </c>
      <c r="CX22" s="7">
        <f t="shared" si="45"/>
        <v>170</v>
      </c>
      <c r="CY22" s="7">
        <f t="shared" si="46"/>
        <v>144</v>
      </c>
      <c r="CZ22" s="10">
        <f t="shared" si="104"/>
        <v>314</v>
      </c>
      <c r="DA22" s="29">
        <f t="shared" si="105"/>
        <v>99.41520467836257</v>
      </c>
      <c r="DB22" s="29">
        <f t="shared" si="106"/>
        <v>98.63013698630137</v>
      </c>
      <c r="DC22" s="29">
        <f t="shared" si="107"/>
        <v>99.05362776025235</v>
      </c>
      <c r="DD22" s="96"/>
      <c r="DE22" s="96"/>
      <c r="DF22" s="97"/>
      <c r="DG22" s="96"/>
      <c r="DH22" s="96"/>
      <c r="DI22" s="97"/>
      <c r="DJ22" s="96"/>
      <c r="DK22" s="96"/>
      <c r="DL22" s="98"/>
      <c r="DM22" s="99"/>
      <c r="DN22" s="99"/>
      <c r="DO22" s="97"/>
      <c r="DP22" s="100"/>
      <c r="DQ22" s="100"/>
      <c r="DR22" s="100"/>
      <c r="DS22" s="10">
        <f t="shared" si="140"/>
        <v>171</v>
      </c>
      <c r="DT22" s="10">
        <f t="shared" si="141"/>
        <v>146</v>
      </c>
      <c r="DU22" s="10">
        <f t="shared" si="142"/>
        <v>317</v>
      </c>
      <c r="DV22" s="10">
        <f t="shared" si="143"/>
        <v>169</v>
      </c>
      <c r="DW22" s="10">
        <f t="shared" si="144"/>
        <v>142</v>
      </c>
      <c r="DX22" s="10">
        <f t="shared" si="145"/>
        <v>311</v>
      </c>
      <c r="DY22" s="10">
        <f t="shared" si="146"/>
        <v>1</v>
      </c>
      <c r="DZ22" s="10">
        <f t="shared" si="147"/>
        <v>2</v>
      </c>
      <c r="EA22" s="10">
        <f t="shared" si="148"/>
        <v>3</v>
      </c>
      <c r="EB22" s="8">
        <f t="shared" si="149"/>
        <v>170</v>
      </c>
      <c r="EC22" s="8">
        <f t="shared" si="150"/>
        <v>144</v>
      </c>
      <c r="ED22" s="10">
        <f t="shared" si="151"/>
        <v>314</v>
      </c>
      <c r="EE22" s="29">
        <f t="shared" si="152"/>
        <v>99.41520467836257</v>
      </c>
      <c r="EF22" s="29">
        <f t="shared" si="153"/>
        <v>98.63013698630137</v>
      </c>
      <c r="EG22" s="29">
        <f t="shared" si="154"/>
        <v>99.05362776025235</v>
      </c>
      <c r="EH22" s="20">
        <f t="shared" si="108"/>
        <v>405</v>
      </c>
      <c r="EI22" s="20">
        <f t="shared" si="109"/>
        <v>392</v>
      </c>
      <c r="EJ22" s="20">
        <f t="shared" si="110"/>
        <v>797</v>
      </c>
      <c r="EK22" s="42">
        <v>1</v>
      </c>
      <c r="EL22" s="42">
        <v>1</v>
      </c>
      <c r="EM22" s="20">
        <f t="shared" si="60"/>
        <v>2</v>
      </c>
      <c r="EN22" s="20">
        <v>116</v>
      </c>
      <c r="EO22" s="20">
        <v>129</v>
      </c>
      <c r="EP22" s="20">
        <f t="shared" si="61"/>
        <v>245</v>
      </c>
      <c r="EQ22" s="53">
        <f t="shared" si="62"/>
        <v>0.2469135802469136</v>
      </c>
      <c r="ER22" s="53">
        <f t="shared" si="63"/>
        <v>0.25510204081632654</v>
      </c>
      <c r="ES22" s="53">
        <f t="shared" si="64"/>
        <v>0.25094102885821834</v>
      </c>
      <c r="ET22" s="41">
        <f t="shared" si="65"/>
        <v>28.641975308641978</v>
      </c>
      <c r="EU22" s="41">
        <f t="shared" si="66"/>
        <v>32.90816326530612</v>
      </c>
      <c r="EV22" s="41">
        <f t="shared" si="67"/>
        <v>30.740276035131746</v>
      </c>
      <c r="EW22" s="20">
        <f t="shared" si="68"/>
        <v>34</v>
      </c>
      <c r="EX22" s="20">
        <f t="shared" si="69"/>
        <v>53</v>
      </c>
      <c r="EY22" s="20">
        <f t="shared" si="70"/>
        <v>87</v>
      </c>
      <c r="EZ22" s="42">
        <v>0</v>
      </c>
      <c r="FA22" s="42">
        <v>0</v>
      </c>
      <c r="FB22" s="20">
        <f t="shared" si="71"/>
        <v>0</v>
      </c>
      <c r="FC22" s="20">
        <v>10</v>
      </c>
      <c r="FD22" s="20">
        <v>6</v>
      </c>
      <c r="FE22" s="20">
        <f t="shared" si="72"/>
        <v>16</v>
      </c>
      <c r="FF22" s="53">
        <f t="shared" si="73"/>
        <v>0</v>
      </c>
      <c r="FG22" s="53">
        <f t="shared" si="74"/>
        <v>0</v>
      </c>
      <c r="FH22" s="53">
        <f t="shared" si="75"/>
        <v>0</v>
      </c>
      <c r="FI22" s="41">
        <f t="shared" si="76"/>
        <v>29.41176470588235</v>
      </c>
      <c r="FJ22" s="41">
        <f t="shared" si="77"/>
        <v>11.320754716981131</v>
      </c>
      <c r="FK22" s="41">
        <f t="shared" si="78"/>
        <v>18.39080459770115</v>
      </c>
      <c r="FL22" s="20">
        <f aca="true" t="shared" si="155" ref="FL22:FL50">EB22</f>
        <v>170</v>
      </c>
      <c r="FM22" s="20">
        <f aca="true" t="shared" si="156" ref="FM22:FM50">EC22</f>
        <v>144</v>
      </c>
      <c r="FN22" s="20">
        <f aca="true" t="shared" si="157" ref="FN22:FN50">ED22</f>
        <v>314</v>
      </c>
      <c r="FO22" s="42">
        <v>1</v>
      </c>
      <c r="FP22" s="42">
        <v>0</v>
      </c>
      <c r="FQ22" s="20">
        <f t="shared" si="82"/>
        <v>1</v>
      </c>
      <c r="FR22" s="20">
        <v>86</v>
      </c>
      <c r="FS22" s="20">
        <v>92</v>
      </c>
      <c r="FT22" s="20">
        <f t="shared" si="83"/>
        <v>178</v>
      </c>
      <c r="FU22" s="53">
        <f aca="true" t="shared" si="158" ref="FU22:FU32">FO22/FL22%</f>
        <v>0.5882352941176471</v>
      </c>
      <c r="FV22" s="53">
        <f t="shared" si="84"/>
        <v>0</v>
      </c>
      <c r="FW22" s="53">
        <f t="shared" si="85"/>
        <v>0.3184713375796178</v>
      </c>
      <c r="FX22" s="41">
        <f t="shared" si="86"/>
        <v>50.588235294117645</v>
      </c>
      <c r="FY22" s="41">
        <f t="shared" si="87"/>
        <v>63.88888888888889</v>
      </c>
      <c r="FZ22" s="41">
        <f t="shared" si="88"/>
        <v>56.68789808917197</v>
      </c>
    </row>
    <row r="23" spans="1:182" ht="30.75" customHeight="1">
      <c r="A23" s="3">
        <v>14</v>
      </c>
      <c r="B23" s="4" t="s">
        <v>17</v>
      </c>
      <c r="C23" s="7">
        <v>9834</v>
      </c>
      <c r="D23" s="7">
        <v>10021</v>
      </c>
      <c r="E23" s="16">
        <f>C23+D23</f>
        <v>19855</v>
      </c>
      <c r="F23" s="7">
        <v>8903</v>
      </c>
      <c r="G23" s="7">
        <v>9185</v>
      </c>
      <c r="H23" s="8">
        <f t="shared" si="22"/>
        <v>18088</v>
      </c>
      <c r="I23" s="9">
        <v>288</v>
      </c>
      <c r="J23" s="9">
        <v>258</v>
      </c>
      <c r="K23" s="11">
        <f t="shared" si="113"/>
        <v>546</v>
      </c>
      <c r="L23" s="7">
        <f t="shared" si="23"/>
        <v>9191</v>
      </c>
      <c r="M23" s="7">
        <f t="shared" si="23"/>
        <v>9443</v>
      </c>
      <c r="N23" s="7">
        <f t="shared" si="23"/>
        <v>18634</v>
      </c>
      <c r="O23" s="29">
        <f t="shared" si="20"/>
        <v>93.46146023998372</v>
      </c>
      <c r="P23" s="29">
        <f t="shared" si="20"/>
        <v>94.23211256361641</v>
      </c>
      <c r="Q23" s="29">
        <f t="shared" si="20"/>
        <v>93.85041551246537</v>
      </c>
      <c r="R23" s="7">
        <v>585</v>
      </c>
      <c r="S23" s="7">
        <v>366</v>
      </c>
      <c r="T23" s="8">
        <f t="shared" si="111"/>
        <v>951</v>
      </c>
      <c r="U23" s="7">
        <v>192</v>
      </c>
      <c r="V23" s="7">
        <v>143</v>
      </c>
      <c r="W23" s="8">
        <f t="shared" si="24"/>
        <v>335</v>
      </c>
      <c r="X23" s="9">
        <v>1</v>
      </c>
      <c r="Y23" s="6">
        <v>1</v>
      </c>
      <c r="Z23" s="10">
        <f t="shared" si="114"/>
        <v>2</v>
      </c>
      <c r="AA23" s="7">
        <f t="shared" si="25"/>
        <v>193</v>
      </c>
      <c r="AB23" s="7">
        <f t="shared" si="25"/>
        <v>144</v>
      </c>
      <c r="AC23" s="10">
        <f t="shared" si="115"/>
        <v>337</v>
      </c>
      <c r="AD23" s="29">
        <f t="shared" si="112"/>
        <v>32.99145299145299</v>
      </c>
      <c r="AE23" s="29">
        <f t="shared" si="112"/>
        <v>39.34426229508197</v>
      </c>
      <c r="AF23" s="29">
        <f t="shared" si="112"/>
        <v>35.436382754994746</v>
      </c>
      <c r="AG23" s="10">
        <f t="shared" si="26"/>
        <v>10419</v>
      </c>
      <c r="AH23" s="10">
        <f t="shared" si="26"/>
        <v>10387</v>
      </c>
      <c r="AI23" s="10">
        <f t="shared" si="27"/>
        <v>20806</v>
      </c>
      <c r="AJ23" s="10">
        <f t="shared" si="28"/>
        <v>9095</v>
      </c>
      <c r="AK23" s="10">
        <f t="shared" si="28"/>
        <v>9328</v>
      </c>
      <c r="AL23" s="10">
        <f t="shared" si="29"/>
        <v>18423</v>
      </c>
      <c r="AM23" s="10">
        <f t="shared" si="116"/>
        <v>289</v>
      </c>
      <c r="AN23" s="10">
        <f t="shared" si="116"/>
        <v>259</v>
      </c>
      <c r="AO23" s="10">
        <f t="shared" si="117"/>
        <v>548</v>
      </c>
      <c r="AP23" s="7">
        <f t="shared" si="30"/>
        <v>9384</v>
      </c>
      <c r="AQ23" s="7">
        <f t="shared" si="30"/>
        <v>9587</v>
      </c>
      <c r="AR23" s="10">
        <f t="shared" si="98"/>
        <v>18971</v>
      </c>
      <c r="AS23" s="29">
        <f t="shared" si="99"/>
        <v>90.06622516556291</v>
      </c>
      <c r="AT23" s="29">
        <f t="shared" si="99"/>
        <v>92.29806488880331</v>
      </c>
      <c r="AU23" s="29">
        <f t="shared" si="99"/>
        <v>91.1804287224839</v>
      </c>
      <c r="AV23" s="9">
        <v>121</v>
      </c>
      <c r="AW23" s="9">
        <v>161</v>
      </c>
      <c r="AX23" s="10">
        <f t="shared" si="32"/>
        <v>282</v>
      </c>
      <c r="AY23" s="9">
        <v>100</v>
      </c>
      <c r="AZ23" s="9">
        <v>134</v>
      </c>
      <c r="BA23" s="10">
        <f t="shared" si="33"/>
        <v>234</v>
      </c>
      <c r="BB23" s="9">
        <v>5</v>
      </c>
      <c r="BC23" s="9">
        <v>10</v>
      </c>
      <c r="BD23" s="10">
        <f t="shared" si="132"/>
        <v>15</v>
      </c>
      <c r="BE23" s="7">
        <f t="shared" si="34"/>
        <v>105</v>
      </c>
      <c r="BF23" s="7">
        <f t="shared" si="34"/>
        <v>144</v>
      </c>
      <c r="BG23" s="10">
        <f t="shared" si="100"/>
        <v>249</v>
      </c>
      <c r="BH23" s="29">
        <f t="shared" si="101"/>
        <v>86.77685950413223</v>
      </c>
      <c r="BI23" s="29">
        <f t="shared" si="101"/>
        <v>89.44099378881988</v>
      </c>
      <c r="BJ23" s="29">
        <f t="shared" si="101"/>
        <v>88.29787234042553</v>
      </c>
      <c r="BK23" s="9">
        <v>11</v>
      </c>
      <c r="BL23" s="9">
        <v>3</v>
      </c>
      <c r="BM23" s="10">
        <f t="shared" si="36"/>
        <v>14</v>
      </c>
      <c r="BN23" s="9">
        <v>3</v>
      </c>
      <c r="BO23" s="9"/>
      <c r="BP23" s="10">
        <f t="shared" si="37"/>
        <v>3</v>
      </c>
      <c r="BQ23" s="9"/>
      <c r="BR23" s="9"/>
      <c r="BS23" s="10">
        <f t="shared" si="118"/>
        <v>0</v>
      </c>
      <c r="BT23" s="7">
        <f t="shared" si="38"/>
        <v>3</v>
      </c>
      <c r="BU23" s="7">
        <f t="shared" si="38"/>
        <v>0</v>
      </c>
      <c r="BV23" s="10">
        <f t="shared" si="119"/>
        <v>3</v>
      </c>
      <c r="BW23" s="29">
        <f t="shared" si="133"/>
        <v>27.27272727272727</v>
      </c>
      <c r="BX23" s="29">
        <f t="shared" si="133"/>
        <v>0</v>
      </c>
      <c r="BY23" s="29">
        <f t="shared" si="133"/>
        <v>21.428571428571427</v>
      </c>
      <c r="BZ23" s="10">
        <f t="shared" si="39"/>
        <v>132</v>
      </c>
      <c r="CA23" s="10">
        <f t="shared" si="39"/>
        <v>164</v>
      </c>
      <c r="CB23" s="10">
        <f t="shared" si="40"/>
        <v>296</v>
      </c>
      <c r="CC23" s="10">
        <f t="shared" si="41"/>
        <v>103</v>
      </c>
      <c r="CD23" s="10">
        <f t="shared" si="41"/>
        <v>134</v>
      </c>
      <c r="CE23" s="10">
        <f t="shared" si="42"/>
        <v>237</v>
      </c>
      <c r="CF23" s="10">
        <f t="shared" si="120"/>
        <v>5</v>
      </c>
      <c r="CG23" s="10">
        <f t="shared" si="120"/>
        <v>10</v>
      </c>
      <c r="CH23" s="10">
        <f t="shared" si="121"/>
        <v>15</v>
      </c>
      <c r="CI23" s="7">
        <f t="shared" si="43"/>
        <v>108</v>
      </c>
      <c r="CJ23" s="7">
        <f t="shared" si="43"/>
        <v>144</v>
      </c>
      <c r="CK23" s="10">
        <f t="shared" si="102"/>
        <v>252</v>
      </c>
      <c r="CL23" s="29">
        <f t="shared" si="103"/>
        <v>81.81818181818183</v>
      </c>
      <c r="CM23" s="29">
        <f t="shared" si="103"/>
        <v>87.8048780487805</v>
      </c>
      <c r="CN23" s="29">
        <f t="shared" si="103"/>
        <v>85.13513513513513</v>
      </c>
      <c r="CO23" s="9">
        <v>1105</v>
      </c>
      <c r="CP23" s="9">
        <v>1200</v>
      </c>
      <c r="CQ23" s="10">
        <f t="shared" si="134"/>
        <v>2305</v>
      </c>
      <c r="CR23" s="9">
        <v>998</v>
      </c>
      <c r="CS23" s="9">
        <v>1097</v>
      </c>
      <c r="CT23" s="10">
        <f t="shared" si="135"/>
        <v>2095</v>
      </c>
      <c r="CU23" s="9">
        <v>29</v>
      </c>
      <c r="CV23" s="9">
        <v>33</v>
      </c>
      <c r="CW23" s="10">
        <f t="shared" si="122"/>
        <v>62</v>
      </c>
      <c r="CX23" s="7">
        <f t="shared" si="45"/>
        <v>1027</v>
      </c>
      <c r="CY23" s="7">
        <f t="shared" si="46"/>
        <v>1130</v>
      </c>
      <c r="CZ23" s="10">
        <f t="shared" si="104"/>
        <v>2157</v>
      </c>
      <c r="DA23" s="29">
        <f t="shared" si="105"/>
        <v>92.94117647058823</v>
      </c>
      <c r="DB23" s="29">
        <f t="shared" si="106"/>
        <v>94.16666666666667</v>
      </c>
      <c r="DC23" s="29">
        <f t="shared" si="107"/>
        <v>93.57917570498915</v>
      </c>
      <c r="DD23" s="9">
        <v>54</v>
      </c>
      <c r="DE23" s="9">
        <v>36</v>
      </c>
      <c r="DF23" s="10">
        <f t="shared" si="48"/>
        <v>90</v>
      </c>
      <c r="DG23" s="9">
        <v>18</v>
      </c>
      <c r="DH23" s="9">
        <v>14</v>
      </c>
      <c r="DI23" s="10">
        <f t="shared" si="49"/>
        <v>32</v>
      </c>
      <c r="DJ23" s="98"/>
      <c r="DK23" s="98"/>
      <c r="DL23" s="98"/>
      <c r="DM23" s="7">
        <f t="shared" si="124"/>
        <v>18</v>
      </c>
      <c r="DN23" s="7">
        <f t="shared" si="125"/>
        <v>14</v>
      </c>
      <c r="DO23" s="10">
        <f t="shared" si="126"/>
        <v>32</v>
      </c>
      <c r="DP23" s="29">
        <f t="shared" si="127"/>
        <v>33.33333333333333</v>
      </c>
      <c r="DQ23" s="29">
        <f t="shared" si="128"/>
        <v>38.88888888888889</v>
      </c>
      <c r="DR23" s="29">
        <f t="shared" si="129"/>
        <v>35.55555555555556</v>
      </c>
      <c r="DS23" s="10">
        <f t="shared" si="140"/>
        <v>1159</v>
      </c>
      <c r="DT23" s="10">
        <f t="shared" si="141"/>
        <v>1236</v>
      </c>
      <c r="DU23" s="10">
        <f t="shared" si="142"/>
        <v>2395</v>
      </c>
      <c r="DV23" s="10">
        <f t="shared" si="143"/>
        <v>1016</v>
      </c>
      <c r="DW23" s="10">
        <f t="shared" si="144"/>
        <v>1111</v>
      </c>
      <c r="DX23" s="10">
        <f t="shared" si="145"/>
        <v>2127</v>
      </c>
      <c r="DY23" s="10">
        <f t="shared" si="146"/>
        <v>29</v>
      </c>
      <c r="DZ23" s="10">
        <f t="shared" si="147"/>
        <v>33</v>
      </c>
      <c r="EA23" s="10">
        <f t="shared" si="148"/>
        <v>62</v>
      </c>
      <c r="EB23" s="8">
        <f t="shared" si="149"/>
        <v>1045</v>
      </c>
      <c r="EC23" s="8">
        <f t="shared" si="150"/>
        <v>1144</v>
      </c>
      <c r="ED23" s="10">
        <f t="shared" si="151"/>
        <v>2189</v>
      </c>
      <c r="EE23" s="29">
        <f t="shared" si="152"/>
        <v>90.1639344262295</v>
      </c>
      <c r="EF23" s="29">
        <f t="shared" si="153"/>
        <v>92.55663430420712</v>
      </c>
      <c r="EG23" s="29">
        <f t="shared" si="154"/>
        <v>91.39874739039666</v>
      </c>
      <c r="EH23" s="20">
        <f t="shared" si="108"/>
        <v>9384</v>
      </c>
      <c r="EI23" s="20">
        <f t="shared" si="109"/>
        <v>9587</v>
      </c>
      <c r="EJ23" s="20">
        <f t="shared" si="110"/>
        <v>18971</v>
      </c>
      <c r="EK23" s="42">
        <v>1664</v>
      </c>
      <c r="EL23" s="42">
        <v>2602</v>
      </c>
      <c r="EM23" s="20">
        <f t="shared" si="60"/>
        <v>4266</v>
      </c>
      <c r="EN23" s="20">
        <v>2992</v>
      </c>
      <c r="EO23" s="20">
        <v>3450</v>
      </c>
      <c r="EP23" s="20">
        <f t="shared" si="61"/>
        <v>6442</v>
      </c>
      <c r="EQ23" s="53">
        <f t="shared" si="62"/>
        <v>17.73231031543052</v>
      </c>
      <c r="ER23" s="53">
        <f t="shared" si="63"/>
        <v>27.140919995827684</v>
      </c>
      <c r="ES23" s="53">
        <f t="shared" si="64"/>
        <v>22.486953771546045</v>
      </c>
      <c r="ET23" s="41">
        <f t="shared" si="65"/>
        <v>31.884057971014492</v>
      </c>
      <c r="EU23" s="41">
        <f t="shared" si="66"/>
        <v>35.98623135495984</v>
      </c>
      <c r="EV23" s="41">
        <f t="shared" si="67"/>
        <v>33.957092404195876</v>
      </c>
      <c r="EW23" s="20">
        <f t="shared" si="68"/>
        <v>108</v>
      </c>
      <c r="EX23" s="20">
        <f t="shared" si="69"/>
        <v>144</v>
      </c>
      <c r="EY23" s="20">
        <f t="shared" si="70"/>
        <v>252</v>
      </c>
      <c r="EZ23" s="42">
        <v>7</v>
      </c>
      <c r="FA23" s="42">
        <v>25</v>
      </c>
      <c r="FB23" s="20">
        <f t="shared" si="71"/>
        <v>32</v>
      </c>
      <c r="FC23" s="20">
        <v>30</v>
      </c>
      <c r="FD23" s="20">
        <v>41</v>
      </c>
      <c r="FE23" s="20">
        <f t="shared" si="72"/>
        <v>71</v>
      </c>
      <c r="FF23" s="53">
        <f t="shared" si="73"/>
        <v>6.481481481481481</v>
      </c>
      <c r="FG23" s="53">
        <f t="shared" si="74"/>
        <v>17.36111111111111</v>
      </c>
      <c r="FH23" s="53">
        <f t="shared" si="75"/>
        <v>12.698412698412698</v>
      </c>
      <c r="FI23" s="41">
        <f t="shared" si="76"/>
        <v>27.777777777777775</v>
      </c>
      <c r="FJ23" s="41">
        <f t="shared" si="77"/>
        <v>28.472222222222225</v>
      </c>
      <c r="FK23" s="41">
        <f t="shared" si="78"/>
        <v>28.174603174603174</v>
      </c>
      <c r="FL23" s="20">
        <f t="shared" si="155"/>
        <v>1045</v>
      </c>
      <c r="FM23" s="20">
        <f t="shared" si="156"/>
        <v>1144</v>
      </c>
      <c r="FN23" s="20">
        <f t="shared" si="157"/>
        <v>2189</v>
      </c>
      <c r="FO23" s="42">
        <v>100</v>
      </c>
      <c r="FP23" s="42">
        <v>198</v>
      </c>
      <c r="FQ23" s="20">
        <f t="shared" si="82"/>
        <v>298</v>
      </c>
      <c r="FR23" s="20">
        <v>325</v>
      </c>
      <c r="FS23" s="20">
        <v>435</v>
      </c>
      <c r="FT23" s="20">
        <f t="shared" si="83"/>
        <v>760</v>
      </c>
      <c r="FU23" s="53">
        <f t="shared" si="158"/>
        <v>9.569377990430622</v>
      </c>
      <c r="FV23" s="53">
        <f t="shared" si="84"/>
        <v>17.30769230769231</v>
      </c>
      <c r="FW23" s="53">
        <f t="shared" si="85"/>
        <v>13.613522156235724</v>
      </c>
      <c r="FX23" s="41">
        <f t="shared" si="86"/>
        <v>31.100478468899524</v>
      </c>
      <c r="FY23" s="41">
        <f t="shared" si="87"/>
        <v>38.02447552447553</v>
      </c>
      <c r="FZ23" s="41">
        <f t="shared" si="88"/>
        <v>34.71904979442668</v>
      </c>
    </row>
    <row r="24" spans="1:182" ht="33" customHeight="1">
      <c r="A24" s="3">
        <v>15</v>
      </c>
      <c r="B24" s="4" t="s">
        <v>18</v>
      </c>
      <c r="C24" s="7">
        <v>467213</v>
      </c>
      <c r="D24" s="7">
        <v>318773</v>
      </c>
      <c r="E24" s="16">
        <f>C24+D24</f>
        <v>785986</v>
      </c>
      <c r="F24" s="7">
        <v>296875</v>
      </c>
      <c r="G24" s="7">
        <v>229710</v>
      </c>
      <c r="H24" s="8">
        <f t="shared" si="22"/>
        <v>526585</v>
      </c>
      <c r="I24" s="9">
        <v>661</v>
      </c>
      <c r="J24" s="9">
        <v>446</v>
      </c>
      <c r="K24" s="11">
        <f t="shared" si="113"/>
        <v>1107</v>
      </c>
      <c r="L24" s="7">
        <f t="shared" si="23"/>
        <v>297536</v>
      </c>
      <c r="M24" s="7">
        <f t="shared" si="23"/>
        <v>230156</v>
      </c>
      <c r="N24" s="7">
        <f t="shared" si="23"/>
        <v>527692</v>
      </c>
      <c r="O24" s="29">
        <f t="shared" si="20"/>
        <v>63.683159501126894</v>
      </c>
      <c r="P24" s="29">
        <f t="shared" si="20"/>
        <v>72.2005941532062</v>
      </c>
      <c r="Q24" s="29">
        <f t="shared" si="20"/>
        <v>67.13758260325248</v>
      </c>
      <c r="R24" s="7">
        <v>20073</v>
      </c>
      <c r="S24" s="7">
        <v>7513</v>
      </c>
      <c r="T24" s="8">
        <f t="shared" si="111"/>
        <v>27586</v>
      </c>
      <c r="U24" s="7">
        <v>1061</v>
      </c>
      <c r="V24" s="7">
        <v>803</v>
      </c>
      <c r="W24" s="8">
        <f t="shared" si="24"/>
        <v>1864</v>
      </c>
      <c r="X24" s="6">
        <v>31</v>
      </c>
      <c r="Y24" s="6">
        <v>39</v>
      </c>
      <c r="Z24" s="10">
        <f t="shared" si="114"/>
        <v>70</v>
      </c>
      <c r="AA24" s="7">
        <f t="shared" si="25"/>
        <v>1092</v>
      </c>
      <c r="AB24" s="7">
        <f t="shared" si="25"/>
        <v>842</v>
      </c>
      <c r="AC24" s="10">
        <f t="shared" si="115"/>
        <v>1934</v>
      </c>
      <c r="AD24" s="29">
        <f t="shared" si="112"/>
        <v>5.440143476311463</v>
      </c>
      <c r="AE24" s="29">
        <f t="shared" si="112"/>
        <v>11.207240782643419</v>
      </c>
      <c r="AF24" s="29">
        <f t="shared" si="112"/>
        <v>7.010802581019358</v>
      </c>
      <c r="AG24" s="10">
        <f t="shared" si="26"/>
        <v>487286</v>
      </c>
      <c r="AH24" s="10">
        <f t="shared" si="26"/>
        <v>326286</v>
      </c>
      <c r="AI24" s="10">
        <f t="shared" si="27"/>
        <v>813572</v>
      </c>
      <c r="AJ24" s="10">
        <f t="shared" si="28"/>
        <v>297936</v>
      </c>
      <c r="AK24" s="10">
        <f t="shared" si="28"/>
        <v>230513</v>
      </c>
      <c r="AL24" s="10">
        <f t="shared" si="29"/>
        <v>528449</v>
      </c>
      <c r="AM24" s="10">
        <f t="shared" si="116"/>
        <v>692</v>
      </c>
      <c r="AN24" s="10">
        <f t="shared" si="116"/>
        <v>485</v>
      </c>
      <c r="AO24" s="10">
        <f t="shared" si="117"/>
        <v>1177</v>
      </c>
      <c r="AP24" s="7">
        <f t="shared" si="30"/>
        <v>298628</v>
      </c>
      <c r="AQ24" s="7">
        <f t="shared" si="30"/>
        <v>230998</v>
      </c>
      <c r="AR24" s="10">
        <f t="shared" si="98"/>
        <v>529626</v>
      </c>
      <c r="AS24" s="29">
        <f t="shared" si="99"/>
        <v>61.28392771390928</v>
      </c>
      <c r="AT24" s="29">
        <f t="shared" si="99"/>
        <v>70.79617268286104</v>
      </c>
      <c r="AU24" s="29">
        <f t="shared" si="99"/>
        <v>65.09884804295133</v>
      </c>
      <c r="AV24" s="9">
        <v>36037</v>
      </c>
      <c r="AW24" s="9">
        <v>26618</v>
      </c>
      <c r="AX24" s="10">
        <f t="shared" si="32"/>
        <v>62655</v>
      </c>
      <c r="AY24" s="9">
        <v>21117</v>
      </c>
      <c r="AZ24" s="9">
        <v>17616</v>
      </c>
      <c r="BA24" s="10">
        <f t="shared" si="33"/>
        <v>38733</v>
      </c>
      <c r="BB24" s="6">
        <v>57</v>
      </c>
      <c r="BC24" s="6">
        <v>44</v>
      </c>
      <c r="BD24" s="10">
        <f t="shared" si="132"/>
        <v>101</v>
      </c>
      <c r="BE24" s="7">
        <f t="shared" si="34"/>
        <v>21174</v>
      </c>
      <c r="BF24" s="7">
        <f t="shared" si="34"/>
        <v>17660</v>
      </c>
      <c r="BG24" s="10">
        <f t="shared" si="100"/>
        <v>38834</v>
      </c>
      <c r="BH24" s="29">
        <f t="shared" si="101"/>
        <v>58.7562782695563</v>
      </c>
      <c r="BI24" s="29">
        <f t="shared" si="101"/>
        <v>66.34608159891803</v>
      </c>
      <c r="BJ24" s="29">
        <f t="shared" si="101"/>
        <v>61.98068789402282</v>
      </c>
      <c r="BK24" s="9">
        <v>2175</v>
      </c>
      <c r="BL24" s="9">
        <v>973</v>
      </c>
      <c r="BM24" s="10">
        <f t="shared" si="36"/>
        <v>3148</v>
      </c>
      <c r="BN24" s="9">
        <v>78</v>
      </c>
      <c r="BO24" s="9">
        <v>63</v>
      </c>
      <c r="BP24" s="10">
        <f t="shared" si="37"/>
        <v>141</v>
      </c>
      <c r="BQ24" s="9">
        <v>3</v>
      </c>
      <c r="BR24" s="9">
        <v>2</v>
      </c>
      <c r="BS24" s="10">
        <f t="shared" si="118"/>
        <v>5</v>
      </c>
      <c r="BT24" s="7">
        <f t="shared" si="38"/>
        <v>81</v>
      </c>
      <c r="BU24" s="7">
        <f t="shared" si="38"/>
        <v>65</v>
      </c>
      <c r="BV24" s="10">
        <f t="shared" si="119"/>
        <v>146</v>
      </c>
      <c r="BW24" s="29">
        <f t="shared" si="133"/>
        <v>3.724137931034482</v>
      </c>
      <c r="BX24" s="29">
        <f t="shared" si="133"/>
        <v>6.680369989722508</v>
      </c>
      <c r="BY24" s="29">
        <f t="shared" si="133"/>
        <v>4.637865311308768</v>
      </c>
      <c r="BZ24" s="10">
        <f t="shared" si="39"/>
        <v>38212</v>
      </c>
      <c r="CA24" s="10">
        <f t="shared" si="39"/>
        <v>27591</v>
      </c>
      <c r="CB24" s="10">
        <f t="shared" si="40"/>
        <v>65803</v>
      </c>
      <c r="CC24" s="10">
        <f t="shared" si="41"/>
        <v>21195</v>
      </c>
      <c r="CD24" s="10">
        <f t="shared" si="41"/>
        <v>17679</v>
      </c>
      <c r="CE24" s="10">
        <f t="shared" si="42"/>
        <v>38874</v>
      </c>
      <c r="CF24" s="10">
        <f t="shared" si="120"/>
        <v>60</v>
      </c>
      <c r="CG24" s="10">
        <f t="shared" si="120"/>
        <v>46</v>
      </c>
      <c r="CH24" s="10">
        <f t="shared" si="121"/>
        <v>106</v>
      </c>
      <c r="CI24" s="7">
        <f t="shared" si="43"/>
        <v>21255</v>
      </c>
      <c r="CJ24" s="7">
        <f t="shared" si="43"/>
        <v>17725</v>
      </c>
      <c r="CK24" s="10">
        <f t="shared" si="102"/>
        <v>38980</v>
      </c>
      <c r="CL24" s="29">
        <f t="shared" si="103"/>
        <v>55.623887783942216</v>
      </c>
      <c r="CM24" s="29">
        <f t="shared" si="103"/>
        <v>64.24196295893589</v>
      </c>
      <c r="CN24" s="29">
        <f t="shared" si="103"/>
        <v>59.23742078628634</v>
      </c>
      <c r="CO24" s="9">
        <v>61015</v>
      </c>
      <c r="CP24" s="9">
        <v>54175</v>
      </c>
      <c r="CQ24" s="10">
        <f t="shared" si="134"/>
        <v>115190</v>
      </c>
      <c r="CR24" s="9">
        <v>32710</v>
      </c>
      <c r="CS24" s="9">
        <v>32740</v>
      </c>
      <c r="CT24" s="10">
        <f t="shared" si="135"/>
        <v>65450</v>
      </c>
      <c r="CU24" s="9">
        <v>61</v>
      </c>
      <c r="CV24" s="9">
        <v>67</v>
      </c>
      <c r="CW24" s="10">
        <f t="shared" si="122"/>
        <v>128</v>
      </c>
      <c r="CX24" s="7">
        <f t="shared" si="45"/>
        <v>32771</v>
      </c>
      <c r="CY24" s="7">
        <f t="shared" si="46"/>
        <v>32807</v>
      </c>
      <c r="CZ24" s="10">
        <f t="shared" si="104"/>
        <v>65578</v>
      </c>
      <c r="DA24" s="29">
        <f t="shared" si="105"/>
        <v>53.709743505695315</v>
      </c>
      <c r="DB24" s="29">
        <f t="shared" si="106"/>
        <v>60.55745269958468</v>
      </c>
      <c r="DC24" s="29">
        <f t="shared" si="107"/>
        <v>56.93028908759441</v>
      </c>
      <c r="DD24" s="9">
        <v>1728</v>
      </c>
      <c r="DE24" s="9">
        <v>632</v>
      </c>
      <c r="DF24" s="10">
        <f t="shared" si="48"/>
        <v>2360</v>
      </c>
      <c r="DG24" s="9">
        <v>113</v>
      </c>
      <c r="DH24" s="9">
        <v>47</v>
      </c>
      <c r="DI24" s="10">
        <f t="shared" si="49"/>
        <v>160</v>
      </c>
      <c r="DJ24" s="9">
        <v>4</v>
      </c>
      <c r="DK24" s="9">
        <v>1</v>
      </c>
      <c r="DL24" s="6">
        <f t="shared" si="123"/>
        <v>5</v>
      </c>
      <c r="DM24" s="7">
        <f t="shared" si="124"/>
        <v>117</v>
      </c>
      <c r="DN24" s="7">
        <f t="shared" si="125"/>
        <v>48</v>
      </c>
      <c r="DO24" s="10">
        <f t="shared" si="126"/>
        <v>165</v>
      </c>
      <c r="DP24" s="29">
        <f t="shared" si="127"/>
        <v>6.770833333333333</v>
      </c>
      <c r="DQ24" s="29">
        <f t="shared" si="128"/>
        <v>7.59493670886076</v>
      </c>
      <c r="DR24" s="29">
        <f t="shared" si="129"/>
        <v>6.991525423728813</v>
      </c>
      <c r="DS24" s="10">
        <f t="shared" si="140"/>
        <v>62743</v>
      </c>
      <c r="DT24" s="10">
        <f t="shared" si="141"/>
        <v>54807</v>
      </c>
      <c r="DU24" s="10">
        <f t="shared" si="142"/>
        <v>117550</v>
      </c>
      <c r="DV24" s="10">
        <f t="shared" si="143"/>
        <v>32823</v>
      </c>
      <c r="DW24" s="10">
        <f t="shared" si="144"/>
        <v>32787</v>
      </c>
      <c r="DX24" s="10">
        <f t="shared" si="145"/>
        <v>65610</v>
      </c>
      <c r="DY24" s="10">
        <f t="shared" si="146"/>
        <v>65</v>
      </c>
      <c r="DZ24" s="10">
        <f t="shared" si="147"/>
        <v>68</v>
      </c>
      <c r="EA24" s="10">
        <f t="shared" si="148"/>
        <v>133</v>
      </c>
      <c r="EB24" s="8">
        <f t="shared" si="149"/>
        <v>32888</v>
      </c>
      <c r="EC24" s="8">
        <f t="shared" si="150"/>
        <v>32855</v>
      </c>
      <c r="ED24" s="10">
        <f t="shared" si="151"/>
        <v>65743</v>
      </c>
      <c r="EE24" s="29">
        <f t="shared" si="152"/>
        <v>52.41700269352757</v>
      </c>
      <c r="EF24" s="29">
        <f t="shared" si="153"/>
        <v>59.94672213403397</v>
      </c>
      <c r="EG24" s="29">
        <f t="shared" si="154"/>
        <v>55.92769034453424</v>
      </c>
      <c r="EH24" s="20">
        <f t="shared" si="108"/>
        <v>298628</v>
      </c>
      <c r="EI24" s="20">
        <f t="shared" si="109"/>
        <v>230998</v>
      </c>
      <c r="EJ24" s="20">
        <f t="shared" si="110"/>
        <v>529626</v>
      </c>
      <c r="EK24" s="42">
        <v>30634</v>
      </c>
      <c r="EL24" s="42">
        <v>24683</v>
      </c>
      <c r="EM24" s="20">
        <f t="shared" si="60"/>
        <v>55317</v>
      </c>
      <c r="EN24" s="20">
        <v>79612</v>
      </c>
      <c r="EO24" s="20">
        <v>67624</v>
      </c>
      <c r="EP24" s="20">
        <f t="shared" si="61"/>
        <v>147236</v>
      </c>
      <c r="EQ24" s="53">
        <f t="shared" si="62"/>
        <v>10.258247719570837</v>
      </c>
      <c r="ER24" s="53">
        <f t="shared" si="63"/>
        <v>10.68537389934112</v>
      </c>
      <c r="ES24" s="53">
        <f t="shared" si="64"/>
        <v>10.444540109435714</v>
      </c>
      <c r="ET24" s="41">
        <f t="shared" si="65"/>
        <v>26.65925499283389</v>
      </c>
      <c r="EU24" s="41">
        <f t="shared" si="66"/>
        <v>29.27471233517173</v>
      </c>
      <c r="EV24" s="41">
        <f t="shared" si="67"/>
        <v>27.79999471325048</v>
      </c>
      <c r="EW24" s="20">
        <f t="shared" si="68"/>
        <v>21255</v>
      </c>
      <c r="EX24" s="20">
        <f t="shared" si="69"/>
        <v>17725</v>
      </c>
      <c r="EY24" s="20">
        <f t="shared" si="70"/>
        <v>38980</v>
      </c>
      <c r="EZ24" s="42">
        <v>1311</v>
      </c>
      <c r="FA24" s="42">
        <v>1095</v>
      </c>
      <c r="FB24" s="20">
        <f t="shared" si="71"/>
        <v>2406</v>
      </c>
      <c r="FC24" s="20">
        <v>4914</v>
      </c>
      <c r="FD24" s="20">
        <v>4583</v>
      </c>
      <c r="FE24" s="20">
        <f t="shared" si="72"/>
        <v>9497</v>
      </c>
      <c r="FF24" s="53">
        <f t="shared" si="73"/>
        <v>6.167960479887085</v>
      </c>
      <c r="FG24" s="53">
        <f t="shared" si="74"/>
        <v>6.1777150916784205</v>
      </c>
      <c r="FH24" s="53">
        <f t="shared" si="75"/>
        <v>6.1723961005643915</v>
      </c>
      <c r="FI24" s="41">
        <f t="shared" si="76"/>
        <v>23.11926605504587</v>
      </c>
      <c r="FJ24" s="41">
        <f t="shared" si="77"/>
        <v>25.856135401974612</v>
      </c>
      <c r="FK24" s="41">
        <f t="shared" si="78"/>
        <v>24.363776295536173</v>
      </c>
      <c r="FL24" s="20">
        <f t="shared" si="155"/>
        <v>32888</v>
      </c>
      <c r="FM24" s="20">
        <f t="shared" si="156"/>
        <v>32855</v>
      </c>
      <c r="FN24" s="20">
        <f t="shared" si="157"/>
        <v>65743</v>
      </c>
      <c r="FO24" s="42">
        <v>829</v>
      </c>
      <c r="FP24" s="42">
        <v>720</v>
      </c>
      <c r="FQ24" s="20">
        <f t="shared" si="82"/>
        <v>1549</v>
      </c>
      <c r="FR24" s="20">
        <v>5366</v>
      </c>
      <c r="FS24" s="20">
        <v>6261</v>
      </c>
      <c r="FT24" s="20">
        <f t="shared" si="83"/>
        <v>11627</v>
      </c>
      <c r="FU24" s="53">
        <f t="shared" si="158"/>
        <v>2.520676234492824</v>
      </c>
      <c r="FV24" s="53">
        <f t="shared" si="84"/>
        <v>2.1914472683001063</v>
      </c>
      <c r="FW24" s="53">
        <f t="shared" si="85"/>
        <v>2.3561443803903077</v>
      </c>
      <c r="FX24" s="41">
        <f t="shared" si="86"/>
        <v>16.315981513013867</v>
      </c>
      <c r="FY24" s="41">
        <f t="shared" si="87"/>
        <v>19.056460203926342</v>
      </c>
      <c r="FZ24" s="41">
        <f t="shared" si="88"/>
        <v>17.685533060553976</v>
      </c>
    </row>
    <row r="25" spans="1:182" ht="29.25" customHeight="1">
      <c r="A25" s="3">
        <v>16</v>
      </c>
      <c r="B25" s="5" t="s">
        <v>19</v>
      </c>
      <c r="C25" s="7">
        <v>182812</v>
      </c>
      <c r="D25" s="17">
        <v>151694</v>
      </c>
      <c r="E25" s="16">
        <f t="shared" si="131"/>
        <v>334506</v>
      </c>
      <c r="F25" s="7">
        <v>79294</v>
      </c>
      <c r="G25" s="7">
        <v>77249</v>
      </c>
      <c r="H25" s="8">
        <f t="shared" si="22"/>
        <v>156543</v>
      </c>
      <c r="I25" s="15">
        <v>23541</v>
      </c>
      <c r="J25" s="15">
        <v>13553</v>
      </c>
      <c r="K25" s="11">
        <f t="shared" si="113"/>
        <v>37094</v>
      </c>
      <c r="L25" s="7">
        <f t="shared" si="23"/>
        <v>102835</v>
      </c>
      <c r="M25" s="7">
        <f t="shared" si="23"/>
        <v>90802</v>
      </c>
      <c r="N25" s="7">
        <f t="shared" si="23"/>
        <v>193637</v>
      </c>
      <c r="O25" s="29">
        <f t="shared" si="20"/>
        <v>56.25177778264009</v>
      </c>
      <c r="P25" s="29">
        <f t="shared" si="20"/>
        <v>59.85866283439029</v>
      </c>
      <c r="Q25" s="29">
        <f t="shared" si="20"/>
        <v>57.8874519440608</v>
      </c>
      <c r="R25" s="12">
        <v>61323</v>
      </c>
      <c r="S25" s="12">
        <v>4066</v>
      </c>
      <c r="T25" s="8">
        <f t="shared" si="111"/>
        <v>65389</v>
      </c>
      <c r="U25" s="12">
        <v>28752</v>
      </c>
      <c r="V25" s="12">
        <v>1978</v>
      </c>
      <c r="W25" s="8">
        <f>U25+V25</f>
        <v>30730</v>
      </c>
      <c r="X25" s="6">
        <v>281</v>
      </c>
      <c r="Y25" s="6">
        <v>153</v>
      </c>
      <c r="Z25" s="10">
        <f t="shared" si="114"/>
        <v>434</v>
      </c>
      <c r="AA25" s="7">
        <f t="shared" si="25"/>
        <v>29033</v>
      </c>
      <c r="AB25" s="7">
        <f t="shared" si="25"/>
        <v>2131</v>
      </c>
      <c r="AC25" s="10">
        <f t="shared" si="115"/>
        <v>31164</v>
      </c>
      <c r="AD25" s="29">
        <f t="shared" si="112"/>
        <v>47.34438954389055</v>
      </c>
      <c r="AE25" s="29">
        <f t="shared" si="112"/>
        <v>52.41023118544024</v>
      </c>
      <c r="AF25" s="29">
        <f t="shared" si="112"/>
        <v>47.65939225251954</v>
      </c>
      <c r="AG25" s="10">
        <f t="shared" si="26"/>
        <v>244135</v>
      </c>
      <c r="AH25" s="10">
        <f t="shared" si="26"/>
        <v>155760</v>
      </c>
      <c r="AI25" s="10">
        <f t="shared" si="27"/>
        <v>399895</v>
      </c>
      <c r="AJ25" s="10">
        <f t="shared" si="28"/>
        <v>108046</v>
      </c>
      <c r="AK25" s="10">
        <f t="shared" si="28"/>
        <v>79227</v>
      </c>
      <c r="AL25" s="10">
        <f t="shared" si="29"/>
        <v>187273</v>
      </c>
      <c r="AM25" s="10">
        <f t="shared" si="116"/>
        <v>23822</v>
      </c>
      <c r="AN25" s="10">
        <f t="shared" si="116"/>
        <v>13706</v>
      </c>
      <c r="AO25" s="10">
        <f t="shared" si="117"/>
        <v>37528</v>
      </c>
      <c r="AP25" s="7">
        <f t="shared" si="30"/>
        <v>131868</v>
      </c>
      <c r="AQ25" s="7">
        <f t="shared" si="30"/>
        <v>92933</v>
      </c>
      <c r="AR25" s="10">
        <f t="shared" si="98"/>
        <v>224801</v>
      </c>
      <c r="AS25" s="29">
        <f t="shared" si="99"/>
        <v>54.01437729125279</v>
      </c>
      <c r="AT25" s="29">
        <f t="shared" si="99"/>
        <v>59.66422701592193</v>
      </c>
      <c r="AU25" s="29">
        <f t="shared" si="99"/>
        <v>56.21500643919028</v>
      </c>
      <c r="AV25" s="9">
        <v>47208</v>
      </c>
      <c r="AW25" s="9">
        <v>43921</v>
      </c>
      <c r="AX25" s="10">
        <f t="shared" si="32"/>
        <v>91129</v>
      </c>
      <c r="AY25" s="9">
        <v>15376</v>
      </c>
      <c r="AZ25" s="9">
        <v>15516</v>
      </c>
      <c r="BA25" s="10">
        <f t="shared" si="33"/>
        <v>30892</v>
      </c>
      <c r="BB25" s="6">
        <v>5431</v>
      </c>
      <c r="BC25" s="6">
        <v>3889</v>
      </c>
      <c r="BD25" s="10">
        <f t="shared" si="132"/>
        <v>9320</v>
      </c>
      <c r="BE25" s="7">
        <f t="shared" si="34"/>
        <v>20807</v>
      </c>
      <c r="BF25" s="7">
        <f t="shared" si="34"/>
        <v>19405</v>
      </c>
      <c r="BG25" s="10">
        <f t="shared" si="100"/>
        <v>40212</v>
      </c>
      <c r="BH25" s="29">
        <f t="shared" si="101"/>
        <v>44.0751567530927</v>
      </c>
      <c r="BI25" s="29">
        <f t="shared" si="101"/>
        <v>44.18159877962706</v>
      </c>
      <c r="BJ25" s="29">
        <f t="shared" si="101"/>
        <v>44.126458097861274</v>
      </c>
      <c r="BK25" s="6">
        <v>18366</v>
      </c>
      <c r="BL25" s="6">
        <v>1332</v>
      </c>
      <c r="BM25" s="10">
        <f t="shared" si="36"/>
        <v>19698</v>
      </c>
      <c r="BN25" s="6">
        <v>7482</v>
      </c>
      <c r="BO25" s="6">
        <v>545</v>
      </c>
      <c r="BP25" s="10">
        <f t="shared" si="37"/>
        <v>8027</v>
      </c>
      <c r="BQ25" s="9">
        <v>46</v>
      </c>
      <c r="BR25" s="9">
        <v>10</v>
      </c>
      <c r="BS25" s="10">
        <f t="shared" si="118"/>
        <v>56</v>
      </c>
      <c r="BT25" s="7">
        <f t="shared" si="38"/>
        <v>7528</v>
      </c>
      <c r="BU25" s="7">
        <f t="shared" si="38"/>
        <v>555</v>
      </c>
      <c r="BV25" s="10">
        <f t="shared" si="119"/>
        <v>8083</v>
      </c>
      <c r="BW25" s="29">
        <f t="shared" si="133"/>
        <v>40.98878362191005</v>
      </c>
      <c r="BX25" s="29">
        <f t="shared" si="133"/>
        <v>41.66666666666667</v>
      </c>
      <c r="BY25" s="29">
        <f t="shared" si="133"/>
        <v>41.03462280434562</v>
      </c>
      <c r="BZ25" s="10">
        <f t="shared" si="39"/>
        <v>65574</v>
      </c>
      <c r="CA25" s="10">
        <f t="shared" si="39"/>
        <v>45253</v>
      </c>
      <c r="CB25" s="10">
        <f t="shared" si="40"/>
        <v>110827</v>
      </c>
      <c r="CC25" s="10">
        <f t="shared" si="41"/>
        <v>22858</v>
      </c>
      <c r="CD25" s="10">
        <f t="shared" si="41"/>
        <v>16061</v>
      </c>
      <c r="CE25" s="10">
        <f t="shared" si="42"/>
        <v>38919</v>
      </c>
      <c r="CF25" s="10">
        <f t="shared" si="120"/>
        <v>5477</v>
      </c>
      <c r="CG25" s="10">
        <f t="shared" si="120"/>
        <v>3899</v>
      </c>
      <c r="CH25" s="10">
        <f t="shared" si="121"/>
        <v>9376</v>
      </c>
      <c r="CI25" s="7">
        <f t="shared" si="43"/>
        <v>28335</v>
      </c>
      <c r="CJ25" s="7">
        <f t="shared" si="43"/>
        <v>19960</v>
      </c>
      <c r="CK25" s="10">
        <f t="shared" si="102"/>
        <v>48295</v>
      </c>
      <c r="CL25" s="29">
        <f t="shared" si="103"/>
        <v>43.21072376246683</v>
      </c>
      <c r="CM25" s="29">
        <f t="shared" si="103"/>
        <v>44.10757297858706</v>
      </c>
      <c r="CN25" s="29">
        <f t="shared" si="103"/>
        <v>43.57692620029415</v>
      </c>
      <c r="CO25" s="96"/>
      <c r="CP25" s="96"/>
      <c r="CQ25" s="97">
        <f t="shared" si="134"/>
        <v>0</v>
      </c>
      <c r="CR25" s="96"/>
      <c r="CS25" s="96"/>
      <c r="CT25" s="97">
        <f t="shared" si="135"/>
        <v>0</v>
      </c>
      <c r="CU25" s="98"/>
      <c r="CV25" s="98"/>
      <c r="CW25" s="97">
        <f t="shared" si="122"/>
        <v>0</v>
      </c>
      <c r="CX25" s="99">
        <f t="shared" si="45"/>
        <v>0</v>
      </c>
      <c r="CY25" s="99">
        <f t="shared" si="46"/>
        <v>0</v>
      </c>
      <c r="CZ25" s="97">
        <f t="shared" si="104"/>
        <v>0</v>
      </c>
      <c r="DA25" s="100">
        <f t="shared" si="105"/>
      </c>
      <c r="DB25" s="100">
        <f t="shared" si="106"/>
      </c>
      <c r="DC25" s="100">
        <f t="shared" si="107"/>
      </c>
      <c r="DD25" s="98"/>
      <c r="DE25" s="98"/>
      <c r="DF25" s="97">
        <f t="shared" si="48"/>
        <v>0</v>
      </c>
      <c r="DG25" s="98"/>
      <c r="DH25" s="98"/>
      <c r="DI25" s="97">
        <f t="shared" si="49"/>
        <v>0</v>
      </c>
      <c r="DJ25" s="98"/>
      <c r="DK25" s="98"/>
      <c r="DL25" s="98">
        <f t="shared" si="123"/>
        <v>0</v>
      </c>
      <c r="DM25" s="99">
        <f t="shared" si="124"/>
        <v>0</v>
      </c>
      <c r="DN25" s="99">
        <f t="shared" si="125"/>
        <v>0</v>
      </c>
      <c r="DO25" s="97">
        <f t="shared" si="126"/>
        <v>0</v>
      </c>
      <c r="DP25" s="100">
        <f t="shared" si="127"/>
      </c>
      <c r="DQ25" s="100">
        <f t="shared" si="128"/>
      </c>
      <c r="DR25" s="100">
        <f t="shared" si="129"/>
      </c>
      <c r="DS25" s="97"/>
      <c r="DT25" s="97"/>
      <c r="DU25" s="97"/>
      <c r="DV25" s="97"/>
      <c r="DW25" s="97"/>
      <c r="DX25" s="97"/>
      <c r="DY25" s="97"/>
      <c r="DZ25" s="97"/>
      <c r="EA25" s="97"/>
      <c r="EB25" s="101"/>
      <c r="EC25" s="101"/>
      <c r="ED25" s="97"/>
      <c r="EE25" s="100"/>
      <c r="EF25" s="100"/>
      <c r="EG25" s="100"/>
      <c r="EH25" s="20">
        <f t="shared" si="108"/>
        <v>131868</v>
      </c>
      <c r="EI25" s="20">
        <f t="shared" si="109"/>
        <v>92933</v>
      </c>
      <c r="EJ25" s="20">
        <f t="shared" si="110"/>
        <v>224801</v>
      </c>
      <c r="EK25" s="42">
        <v>1917</v>
      </c>
      <c r="EL25" s="42">
        <v>3707</v>
      </c>
      <c r="EM25" s="20">
        <f t="shared" si="60"/>
        <v>5624</v>
      </c>
      <c r="EN25" s="20">
        <v>29687</v>
      </c>
      <c r="EO25" s="20">
        <v>36264</v>
      </c>
      <c r="EP25" s="20">
        <f t="shared" si="61"/>
        <v>65951</v>
      </c>
      <c r="EQ25" s="53">
        <f t="shared" si="62"/>
        <v>1.4537264537264536</v>
      </c>
      <c r="ER25" s="53">
        <f t="shared" si="63"/>
        <v>3.988895225592631</v>
      </c>
      <c r="ES25" s="53">
        <f t="shared" si="64"/>
        <v>2.501768230568369</v>
      </c>
      <c r="ET25" s="41">
        <f t="shared" si="65"/>
        <v>22.512664179330844</v>
      </c>
      <c r="EU25" s="41">
        <f t="shared" si="66"/>
        <v>39.02166076635856</v>
      </c>
      <c r="EV25" s="41">
        <f t="shared" si="67"/>
        <v>29.337502947050943</v>
      </c>
      <c r="EW25" s="20">
        <f t="shared" si="68"/>
        <v>28335</v>
      </c>
      <c r="EX25" s="20">
        <f t="shared" si="69"/>
        <v>19960</v>
      </c>
      <c r="EY25" s="20">
        <f t="shared" si="70"/>
        <v>48295</v>
      </c>
      <c r="EZ25" s="42">
        <v>150</v>
      </c>
      <c r="FA25" s="42">
        <v>222</v>
      </c>
      <c r="FB25" s="20">
        <f t="shared" si="71"/>
        <v>372</v>
      </c>
      <c r="FC25" s="20">
        <v>3845</v>
      </c>
      <c r="FD25" s="20">
        <v>4590</v>
      </c>
      <c r="FE25" s="20">
        <f t="shared" si="72"/>
        <v>8435</v>
      </c>
      <c r="FF25" s="53">
        <f t="shared" si="73"/>
        <v>0.529380624669137</v>
      </c>
      <c r="FG25" s="53">
        <f t="shared" si="74"/>
        <v>1.1122244488977957</v>
      </c>
      <c r="FH25" s="53">
        <f t="shared" si="75"/>
        <v>0.7702660730924527</v>
      </c>
      <c r="FI25" s="41">
        <f t="shared" si="76"/>
        <v>13.569790012352213</v>
      </c>
      <c r="FJ25" s="41">
        <f t="shared" si="77"/>
        <v>22.995991983967937</v>
      </c>
      <c r="FK25" s="41">
        <f t="shared" si="78"/>
        <v>17.465576146599027</v>
      </c>
      <c r="FL25" s="101">
        <f t="shared" si="155"/>
        <v>0</v>
      </c>
      <c r="FM25" s="101">
        <f t="shared" si="156"/>
        <v>0</v>
      </c>
      <c r="FN25" s="101">
        <f t="shared" si="157"/>
        <v>0</v>
      </c>
      <c r="FO25" s="101"/>
      <c r="FP25" s="101"/>
      <c r="FQ25" s="101">
        <f t="shared" si="82"/>
        <v>0</v>
      </c>
      <c r="FR25" s="101"/>
      <c r="FS25" s="101"/>
      <c r="FT25" s="101">
        <f t="shared" si="83"/>
        <v>0</v>
      </c>
      <c r="FU25" s="100" t="e">
        <f t="shared" si="158"/>
        <v>#DIV/0!</v>
      </c>
      <c r="FV25" s="100" t="e">
        <f t="shared" si="84"/>
        <v>#DIV/0!</v>
      </c>
      <c r="FW25" s="100" t="e">
        <f t="shared" si="85"/>
        <v>#DIV/0!</v>
      </c>
      <c r="FX25" s="102" t="e">
        <f t="shared" si="86"/>
        <v>#DIV/0!</v>
      </c>
      <c r="FY25" s="102" t="e">
        <f t="shared" si="87"/>
        <v>#DIV/0!</v>
      </c>
      <c r="FZ25" s="102" t="e">
        <f t="shared" si="88"/>
        <v>#DIV/0!</v>
      </c>
    </row>
    <row r="26" spans="1:182" ht="29.25" customHeight="1">
      <c r="A26" s="3">
        <v>17</v>
      </c>
      <c r="B26" s="4" t="s">
        <v>20</v>
      </c>
      <c r="C26" s="7">
        <v>65514</v>
      </c>
      <c r="D26" s="7">
        <v>56717</v>
      </c>
      <c r="E26" s="16">
        <f t="shared" si="131"/>
        <v>122231</v>
      </c>
      <c r="F26" s="7">
        <v>42344</v>
      </c>
      <c r="G26" s="7">
        <v>39390</v>
      </c>
      <c r="H26" s="8">
        <f t="shared" si="22"/>
        <v>81734</v>
      </c>
      <c r="I26" s="12">
        <v>6501</v>
      </c>
      <c r="J26" s="12">
        <v>5084</v>
      </c>
      <c r="K26" s="11">
        <f t="shared" si="113"/>
        <v>11585</v>
      </c>
      <c r="L26" s="7">
        <f t="shared" si="23"/>
        <v>48845</v>
      </c>
      <c r="M26" s="7">
        <f t="shared" si="23"/>
        <v>44474</v>
      </c>
      <c r="N26" s="7">
        <f t="shared" si="23"/>
        <v>93319</v>
      </c>
      <c r="O26" s="29">
        <f t="shared" si="20"/>
        <v>74.55658332570138</v>
      </c>
      <c r="P26" s="29">
        <f t="shared" si="20"/>
        <v>78.41387943650052</v>
      </c>
      <c r="Q26" s="29">
        <f t="shared" si="20"/>
        <v>76.34642602940335</v>
      </c>
      <c r="R26" s="9">
        <v>238</v>
      </c>
      <c r="S26" s="9">
        <v>146</v>
      </c>
      <c r="T26" s="8">
        <f t="shared" si="111"/>
        <v>384</v>
      </c>
      <c r="U26" s="9">
        <v>76</v>
      </c>
      <c r="V26" s="9">
        <v>101</v>
      </c>
      <c r="W26" s="8">
        <f t="shared" si="24"/>
        <v>177</v>
      </c>
      <c r="X26" s="9">
        <v>12</v>
      </c>
      <c r="Y26" s="9">
        <v>13</v>
      </c>
      <c r="Z26" s="10">
        <f t="shared" si="114"/>
        <v>25</v>
      </c>
      <c r="AA26" s="7">
        <f t="shared" si="25"/>
        <v>88</v>
      </c>
      <c r="AB26" s="7">
        <f t="shared" si="25"/>
        <v>114</v>
      </c>
      <c r="AC26" s="10">
        <f t="shared" si="115"/>
        <v>202</v>
      </c>
      <c r="AD26" s="29">
        <f t="shared" si="112"/>
        <v>36.97478991596639</v>
      </c>
      <c r="AE26" s="29">
        <f t="shared" si="112"/>
        <v>78.08219178082192</v>
      </c>
      <c r="AF26" s="29">
        <f t="shared" si="112"/>
        <v>52.604166666666664</v>
      </c>
      <c r="AG26" s="10">
        <f t="shared" si="26"/>
        <v>65752</v>
      </c>
      <c r="AH26" s="10">
        <f t="shared" si="26"/>
        <v>56863</v>
      </c>
      <c r="AI26" s="10">
        <f t="shared" si="27"/>
        <v>122615</v>
      </c>
      <c r="AJ26" s="10">
        <f t="shared" si="28"/>
        <v>42420</v>
      </c>
      <c r="AK26" s="10">
        <f t="shared" si="28"/>
        <v>39491</v>
      </c>
      <c r="AL26" s="10">
        <f t="shared" si="29"/>
        <v>81911</v>
      </c>
      <c r="AM26" s="10">
        <f t="shared" si="116"/>
        <v>6513</v>
      </c>
      <c r="AN26" s="10">
        <f t="shared" si="116"/>
        <v>5097</v>
      </c>
      <c r="AO26" s="10">
        <f t="shared" si="117"/>
        <v>11610</v>
      </c>
      <c r="AP26" s="7">
        <f t="shared" si="30"/>
        <v>48933</v>
      </c>
      <c r="AQ26" s="7">
        <f t="shared" si="30"/>
        <v>44588</v>
      </c>
      <c r="AR26" s="10">
        <f t="shared" si="98"/>
        <v>93521</v>
      </c>
      <c r="AS26" s="29">
        <f t="shared" si="99"/>
        <v>74.42054994524881</v>
      </c>
      <c r="AT26" s="29">
        <f t="shared" si="99"/>
        <v>78.41302780366847</v>
      </c>
      <c r="AU26" s="29">
        <f t="shared" si="99"/>
        <v>76.27207111691065</v>
      </c>
      <c r="AV26" s="9">
        <v>19103</v>
      </c>
      <c r="AW26" s="9">
        <v>17446</v>
      </c>
      <c r="AX26" s="10">
        <f t="shared" si="32"/>
        <v>36549</v>
      </c>
      <c r="AY26" s="9">
        <v>11362</v>
      </c>
      <c r="AZ26" s="9">
        <v>10998</v>
      </c>
      <c r="BA26" s="10">
        <f t="shared" si="33"/>
        <v>22360</v>
      </c>
      <c r="BB26" s="6">
        <v>1969</v>
      </c>
      <c r="BC26" s="6">
        <v>1779</v>
      </c>
      <c r="BD26" s="10">
        <f t="shared" si="132"/>
        <v>3748</v>
      </c>
      <c r="BE26" s="7">
        <f t="shared" si="34"/>
        <v>13331</v>
      </c>
      <c r="BF26" s="7">
        <f t="shared" si="34"/>
        <v>12777</v>
      </c>
      <c r="BG26" s="10">
        <f t="shared" si="100"/>
        <v>26108</v>
      </c>
      <c r="BH26" s="29">
        <f t="shared" si="101"/>
        <v>69.7848505470345</v>
      </c>
      <c r="BI26" s="29">
        <f t="shared" si="101"/>
        <v>73.23741831938553</v>
      </c>
      <c r="BJ26" s="29">
        <f t="shared" si="101"/>
        <v>71.4328709403814</v>
      </c>
      <c r="BK26" s="9">
        <v>34</v>
      </c>
      <c r="BL26" s="9">
        <v>15</v>
      </c>
      <c r="BM26" s="10">
        <f t="shared" si="36"/>
        <v>49</v>
      </c>
      <c r="BN26" s="9">
        <v>9</v>
      </c>
      <c r="BO26" s="9">
        <v>11</v>
      </c>
      <c r="BP26" s="10">
        <f t="shared" si="37"/>
        <v>20</v>
      </c>
      <c r="BQ26" s="9">
        <v>2</v>
      </c>
      <c r="BR26" s="9">
        <v>1</v>
      </c>
      <c r="BS26" s="10">
        <f t="shared" si="118"/>
        <v>3</v>
      </c>
      <c r="BT26" s="7">
        <f t="shared" si="38"/>
        <v>11</v>
      </c>
      <c r="BU26" s="7">
        <f t="shared" si="38"/>
        <v>12</v>
      </c>
      <c r="BV26" s="10">
        <f t="shared" si="119"/>
        <v>23</v>
      </c>
      <c r="BW26" s="29">
        <f t="shared" si="133"/>
        <v>32.35294117647059</v>
      </c>
      <c r="BX26" s="29">
        <f t="shared" si="133"/>
        <v>80</v>
      </c>
      <c r="BY26" s="29">
        <f t="shared" si="133"/>
        <v>46.93877551020408</v>
      </c>
      <c r="BZ26" s="10">
        <f t="shared" si="39"/>
        <v>19137</v>
      </c>
      <c r="CA26" s="10">
        <f t="shared" si="39"/>
        <v>17461</v>
      </c>
      <c r="CB26" s="10">
        <f t="shared" si="40"/>
        <v>36598</v>
      </c>
      <c r="CC26" s="10">
        <f t="shared" si="41"/>
        <v>11371</v>
      </c>
      <c r="CD26" s="10">
        <f t="shared" si="41"/>
        <v>11009</v>
      </c>
      <c r="CE26" s="10">
        <f t="shared" si="42"/>
        <v>22380</v>
      </c>
      <c r="CF26" s="10">
        <f t="shared" si="120"/>
        <v>1971</v>
      </c>
      <c r="CG26" s="10">
        <f t="shared" si="120"/>
        <v>1780</v>
      </c>
      <c r="CH26" s="10">
        <f t="shared" si="121"/>
        <v>3751</v>
      </c>
      <c r="CI26" s="7">
        <f t="shared" si="43"/>
        <v>13342</v>
      </c>
      <c r="CJ26" s="7">
        <f t="shared" si="43"/>
        <v>12789</v>
      </c>
      <c r="CK26" s="10">
        <f t="shared" si="102"/>
        <v>26131</v>
      </c>
      <c r="CL26" s="29">
        <f t="shared" si="103"/>
        <v>69.71834665830589</v>
      </c>
      <c r="CM26" s="29">
        <f t="shared" si="103"/>
        <v>73.24322776473284</v>
      </c>
      <c r="CN26" s="29">
        <f t="shared" si="103"/>
        <v>71.40007650691295</v>
      </c>
      <c r="CO26" s="9">
        <v>4104</v>
      </c>
      <c r="CP26" s="9">
        <v>3576</v>
      </c>
      <c r="CQ26" s="10">
        <f t="shared" si="134"/>
        <v>7680</v>
      </c>
      <c r="CR26" s="9">
        <v>2558</v>
      </c>
      <c r="CS26" s="9">
        <v>2431</v>
      </c>
      <c r="CT26" s="10">
        <f t="shared" si="135"/>
        <v>4989</v>
      </c>
      <c r="CU26" s="6">
        <v>446</v>
      </c>
      <c r="CV26" s="6">
        <v>325</v>
      </c>
      <c r="CW26" s="10">
        <f t="shared" si="122"/>
        <v>771</v>
      </c>
      <c r="CX26" s="7">
        <f t="shared" si="45"/>
        <v>3004</v>
      </c>
      <c r="CY26" s="7">
        <f t="shared" si="46"/>
        <v>2756</v>
      </c>
      <c r="CZ26" s="10">
        <f t="shared" si="104"/>
        <v>5760</v>
      </c>
      <c r="DA26" s="29">
        <f t="shared" si="105"/>
        <v>73.19688109161794</v>
      </c>
      <c r="DB26" s="29">
        <f t="shared" si="106"/>
        <v>77.06935123042506</v>
      </c>
      <c r="DC26" s="29">
        <f t="shared" si="107"/>
        <v>75</v>
      </c>
      <c r="DD26" s="9">
        <v>12</v>
      </c>
      <c r="DE26" s="9">
        <v>4</v>
      </c>
      <c r="DF26" s="10">
        <f t="shared" si="48"/>
        <v>16</v>
      </c>
      <c r="DG26" s="9">
        <v>4</v>
      </c>
      <c r="DH26" s="9">
        <v>3</v>
      </c>
      <c r="DI26" s="10">
        <f t="shared" si="49"/>
        <v>7</v>
      </c>
      <c r="DJ26" s="9">
        <v>0</v>
      </c>
      <c r="DK26" s="9">
        <v>0</v>
      </c>
      <c r="DL26" s="6">
        <f t="shared" si="123"/>
        <v>0</v>
      </c>
      <c r="DM26" s="7">
        <f t="shared" si="124"/>
        <v>4</v>
      </c>
      <c r="DN26" s="7">
        <f t="shared" si="125"/>
        <v>3</v>
      </c>
      <c r="DO26" s="10">
        <f t="shared" si="126"/>
        <v>7</v>
      </c>
      <c r="DP26" s="29">
        <f t="shared" si="127"/>
        <v>33.33333333333333</v>
      </c>
      <c r="DQ26" s="29">
        <f t="shared" si="128"/>
        <v>75</v>
      </c>
      <c r="DR26" s="29">
        <f t="shared" si="129"/>
        <v>43.75</v>
      </c>
      <c r="DS26" s="10">
        <f t="shared" si="140"/>
        <v>4116</v>
      </c>
      <c r="DT26" s="10">
        <f t="shared" si="141"/>
        <v>3580</v>
      </c>
      <c r="DU26" s="10">
        <f t="shared" si="142"/>
        <v>7696</v>
      </c>
      <c r="DV26" s="10">
        <f t="shared" si="143"/>
        <v>2562</v>
      </c>
      <c r="DW26" s="10">
        <f t="shared" si="144"/>
        <v>2434</v>
      </c>
      <c r="DX26" s="10">
        <f t="shared" si="145"/>
        <v>4996</v>
      </c>
      <c r="DY26" s="10">
        <f t="shared" si="146"/>
        <v>446</v>
      </c>
      <c r="DZ26" s="10">
        <f t="shared" si="147"/>
        <v>325</v>
      </c>
      <c r="EA26" s="10">
        <f t="shared" si="148"/>
        <v>771</v>
      </c>
      <c r="EB26" s="8">
        <f t="shared" si="149"/>
        <v>3008</v>
      </c>
      <c r="EC26" s="8">
        <f t="shared" si="150"/>
        <v>2759</v>
      </c>
      <c r="ED26" s="10">
        <f t="shared" si="151"/>
        <v>5767</v>
      </c>
      <c r="EE26" s="29">
        <f t="shared" si="152"/>
        <v>73.08066083576288</v>
      </c>
      <c r="EF26" s="29">
        <f t="shared" si="153"/>
        <v>77.06703910614524</v>
      </c>
      <c r="EG26" s="29">
        <f t="shared" si="154"/>
        <v>74.93503118503119</v>
      </c>
      <c r="EH26" s="20">
        <f t="shared" si="108"/>
        <v>48933</v>
      </c>
      <c r="EI26" s="20">
        <f t="shared" si="109"/>
        <v>44588</v>
      </c>
      <c r="EJ26" s="20">
        <f t="shared" si="110"/>
        <v>93521</v>
      </c>
      <c r="EK26" s="42">
        <v>9526</v>
      </c>
      <c r="EL26" s="42">
        <v>12137</v>
      </c>
      <c r="EM26" s="20">
        <f t="shared" si="60"/>
        <v>21663</v>
      </c>
      <c r="EN26" s="20">
        <v>18343</v>
      </c>
      <c r="EO26" s="20">
        <v>17513</v>
      </c>
      <c r="EP26" s="20">
        <f t="shared" si="61"/>
        <v>35856</v>
      </c>
      <c r="EQ26" s="53">
        <f t="shared" si="62"/>
        <v>19.467435064271555</v>
      </c>
      <c r="ER26" s="53">
        <f t="shared" si="63"/>
        <v>27.22032833946353</v>
      </c>
      <c r="ES26" s="53">
        <f t="shared" si="64"/>
        <v>23.16378139669165</v>
      </c>
      <c r="ET26" s="41">
        <f t="shared" si="65"/>
        <v>37.48595017677232</v>
      </c>
      <c r="EU26" s="41">
        <f t="shared" si="66"/>
        <v>39.27738404952005</v>
      </c>
      <c r="EV26" s="41">
        <f t="shared" si="67"/>
        <v>38.34005196693791</v>
      </c>
      <c r="EW26" s="20">
        <f t="shared" si="68"/>
        <v>13342</v>
      </c>
      <c r="EX26" s="20">
        <f t="shared" si="69"/>
        <v>12789</v>
      </c>
      <c r="EY26" s="20">
        <f t="shared" si="70"/>
        <v>26131</v>
      </c>
      <c r="EZ26" s="42">
        <v>1782</v>
      </c>
      <c r="FA26" s="42">
        <v>2470</v>
      </c>
      <c r="FB26" s="20">
        <f t="shared" si="71"/>
        <v>4252</v>
      </c>
      <c r="FC26" s="20">
        <v>4853</v>
      </c>
      <c r="FD26" s="20">
        <v>5213</v>
      </c>
      <c r="FE26" s="20">
        <f t="shared" si="72"/>
        <v>10066</v>
      </c>
      <c r="FF26" s="53">
        <f t="shared" si="73"/>
        <v>13.356318393044523</v>
      </c>
      <c r="FG26" s="53">
        <f t="shared" si="74"/>
        <v>19.31347251544296</v>
      </c>
      <c r="FH26" s="53">
        <f t="shared" si="75"/>
        <v>16.27186100799816</v>
      </c>
      <c r="FI26" s="41">
        <f t="shared" si="76"/>
        <v>36.373856992954586</v>
      </c>
      <c r="FJ26" s="41">
        <f t="shared" si="77"/>
        <v>40.76159199311908</v>
      </c>
      <c r="FK26" s="41">
        <f t="shared" si="78"/>
        <v>38.52129654433431</v>
      </c>
      <c r="FL26" s="20">
        <f t="shared" si="155"/>
        <v>3008</v>
      </c>
      <c r="FM26" s="20">
        <f t="shared" si="156"/>
        <v>2759</v>
      </c>
      <c r="FN26" s="20">
        <f t="shared" si="157"/>
        <v>5767</v>
      </c>
      <c r="FO26" s="42">
        <v>436</v>
      </c>
      <c r="FP26" s="42">
        <v>537</v>
      </c>
      <c r="FQ26" s="20">
        <f t="shared" si="82"/>
        <v>973</v>
      </c>
      <c r="FR26" s="20">
        <v>1058</v>
      </c>
      <c r="FS26" s="20">
        <v>1127</v>
      </c>
      <c r="FT26" s="20">
        <f t="shared" si="83"/>
        <v>2185</v>
      </c>
      <c r="FU26" s="53">
        <f t="shared" si="158"/>
        <v>14.49468085106383</v>
      </c>
      <c r="FV26" s="53">
        <f t="shared" si="84"/>
        <v>19.46357375860819</v>
      </c>
      <c r="FW26" s="53">
        <f t="shared" si="85"/>
        <v>16.87185711808566</v>
      </c>
      <c r="FX26" s="41">
        <f t="shared" si="86"/>
        <v>35.172872340425535</v>
      </c>
      <c r="FY26" s="41">
        <f t="shared" si="87"/>
        <v>40.84813338166002</v>
      </c>
      <c r="FZ26" s="41">
        <f t="shared" si="88"/>
        <v>37.88798335356338</v>
      </c>
    </row>
    <row r="27" spans="1:182" ht="28.5" customHeight="1">
      <c r="A27" s="3">
        <v>18</v>
      </c>
      <c r="B27" s="4" t="s">
        <v>21</v>
      </c>
      <c r="C27" s="13">
        <v>70083</v>
      </c>
      <c r="D27" s="9">
        <v>64349</v>
      </c>
      <c r="E27" s="16">
        <f t="shared" si="131"/>
        <v>134432</v>
      </c>
      <c r="F27" s="14">
        <v>51384</v>
      </c>
      <c r="G27" s="9">
        <v>44315</v>
      </c>
      <c r="H27" s="8">
        <f>F27+G27</f>
        <v>95699</v>
      </c>
      <c r="I27" s="163"/>
      <c r="J27" s="163"/>
      <c r="K27" s="164"/>
      <c r="L27" s="7">
        <f t="shared" si="23"/>
        <v>51384</v>
      </c>
      <c r="M27" s="7">
        <f t="shared" si="23"/>
        <v>44315</v>
      </c>
      <c r="N27" s="7">
        <f t="shared" si="23"/>
        <v>95699</v>
      </c>
      <c r="O27" s="29">
        <f t="shared" si="20"/>
        <v>73.31877916185094</v>
      </c>
      <c r="P27" s="29">
        <f t="shared" si="20"/>
        <v>68.86664905437536</v>
      </c>
      <c r="Q27" s="29">
        <f t="shared" si="20"/>
        <v>71.18766365151154</v>
      </c>
      <c r="R27" s="165">
        <v>108119</v>
      </c>
      <c r="S27" s="165">
        <v>72405</v>
      </c>
      <c r="T27" s="166">
        <f t="shared" si="111"/>
        <v>180524</v>
      </c>
      <c r="U27" s="165">
        <v>42633</v>
      </c>
      <c r="V27" s="165">
        <v>32188</v>
      </c>
      <c r="W27" s="166">
        <f t="shared" si="24"/>
        <v>74821</v>
      </c>
      <c r="X27" s="167"/>
      <c r="Y27" s="167"/>
      <c r="Z27" s="156"/>
      <c r="AA27" s="7">
        <f>SUM(U27,X27)</f>
        <v>42633</v>
      </c>
      <c r="AB27" s="7">
        <f>SUM(V27,Y27)</f>
        <v>32188</v>
      </c>
      <c r="AC27" s="10">
        <f>SUM(AA27,AB27)</f>
        <v>74821</v>
      </c>
      <c r="AD27" s="29">
        <f>IF(R27=0,"",AA27/R27*100)</f>
        <v>39.431552271108686</v>
      </c>
      <c r="AE27" s="29">
        <f>IF(S27=0,"",AB27/S27*100)</f>
        <v>44.45549340515158</v>
      </c>
      <c r="AF27" s="29">
        <f>IF(T27=0,"",AC27/T27*100)</f>
        <v>41.44656666149653</v>
      </c>
      <c r="AG27" s="10">
        <f t="shared" si="26"/>
        <v>178202</v>
      </c>
      <c r="AH27" s="10">
        <f t="shared" si="26"/>
        <v>136754</v>
      </c>
      <c r="AI27" s="10">
        <f t="shared" si="27"/>
        <v>314956</v>
      </c>
      <c r="AJ27" s="10">
        <f t="shared" si="28"/>
        <v>94017</v>
      </c>
      <c r="AK27" s="10">
        <f t="shared" si="28"/>
        <v>76503</v>
      </c>
      <c r="AL27" s="10">
        <f t="shared" si="29"/>
        <v>170520</v>
      </c>
      <c r="AM27" s="97"/>
      <c r="AN27" s="97"/>
      <c r="AO27" s="97"/>
      <c r="AP27" s="7">
        <f t="shared" si="30"/>
        <v>94017</v>
      </c>
      <c r="AQ27" s="7">
        <f t="shared" si="30"/>
        <v>76503</v>
      </c>
      <c r="AR27" s="10">
        <f t="shared" si="98"/>
        <v>170520</v>
      </c>
      <c r="AS27" s="29">
        <f t="shared" si="99"/>
        <v>52.7586671305597</v>
      </c>
      <c r="AT27" s="29">
        <f t="shared" si="99"/>
        <v>55.942056539479644</v>
      </c>
      <c r="AU27" s="29">
        <f t="shared" si="99"/>
        <v>54.140895871169306</v>
      </c>
      <c r="AV27" s="149"/>
      <c r="AW27" s="149"/>
      <c r="AX27" s="149"/>
      <c r="AY27" s="149"/>
      <c r="AZ27" s="149"/>
      <c r="BA27" s="149"/>
      <c r="BB27" s="98"/>
      <c r="BC27" s="98"/>
      <c r="BD27" s="97"/>
      <c r="BE27" s="99"/>
      <c r="BF27" s="99"/>
      <c r="BG27" s="97"/>
      <c r="BH27" s="100"/>
      <c r="BI27" s="100"/>
      <c r="BJ27" s="100"/>
      <c r="BK27" s="96"/>
      <c r="BL27" s="96"/>
      <c r="BM27" s="97"/>
      <c r="BN27" s="96"/>
      <c r="BO27" s="96"/>
      <c r="BP27" s="97"/>
      <c r="BQ27" s="98"/>
      <c r="BR27" s="98"/>
      <c r="BS27" s="97"/>
      <c r="BT27" s="99"/>
      <c r="BU27" s="99"/>
      <c r="BV27" s="97"/>
      <c r="BW27" s="100"/>
      <c r="BX27" s="100"/>
      <c r="BY27" s="100"/>
      <c r="BZ27" s="97"/>
      <c r="CA27" s="97"/>
      <c r="CB27" s="97"/>
      <c r="CC27" s="97"/>
      <c r="CD27" s="97"/>
      <c r="CE27" s="97"/>
      <c r="CF27" s="97"/>
      <c r="CG27" s="97"/>
      <c r="CH27" s="97"/>
      <c r="CI27" s="99"/>
      <c r="CJ27" s="99"/>
      <c r="CK27" s="97"/>
      <c r="CL27" s="100"/>
      <c r="CM27" s="100"/>
      <c r="CN27" s="100"/>
      <c r="CO27" s="151"/>
      <c r="CP27" s="151"/>
      <c r="CQ27" s="151"/>
      <c r="CR27" s="151"/>
      <c r="CS27" s="151"/>
      <c r="CT27" s="151"/>
      <c r="CU27" s="98"/>
      <c r="CV27" s="98"/>
      <c r="CW27" s="97"/>
      <c r="CX27" s="99"/>
      <c r="CY27" s="99"/>
      <c r="CZ27" s="97"/>
      <c r="DA27" s="100"/>
      <c r="DB27" s="100"/>
      <c r="DC27" s="100"/>
      <c r="DD27" s="96"/>
      <c r="DE27" s="96"/>
      <c r="DF27" s="97"/>
      <c r="DG27" s="96"/>
      <c r="DH27" s="96"/>
      <c r="DI27" s="97"/>
      <c r="DJ27" s="98"/>
      <c r="DK27" s="98"/>
      <c r="DL27" s="98"/>
      <c r="DM27" s="99"/>
      <c r="DN27" s="99"/>
      <c r="DO27" s="97"/>
      <c r="DP27" s="100"/>
      <c r="DQ27" s="100"/>
      <c r="DR27" s="100"/>
      <c r="DS27" s="97"/>
      <c r="DT27" s="97"/>
      <c r="DU27" s="97"/>
      <c r="DV27" s="97"/>
      <c r="DW27" s="97"/>
      <c r="DX27" s="97"/>
      <c r="DY27" s="97"/>
      <c r="DZ27" s="97"/>
      <c r="EA27" s="97"/>
      <c r="EB27" s="101"/>
      <c r="EC27" s="101"/>
      <c r="ED27" s="97"/>
      <c r="EE27" s="100"/>
      <c r="EF27" s="100"/>
      <c r="EG27" s="100"/>
      <c r="EH27" s="20">
        <f t="shared" si="108"/>
        <v>94017</v>
      </c>
      <c r="EI27" s="20">
        <f t="shared" si="109"/>
        <v>76503</v>
      </c>
      <c r="EJ27" s="20">
        <f t="shared" si="110"/>
        <v>170520</v>
      </c>
      <c r="EK27" s="101"/>
      <c r="EL27" s="101"/>
      <c r="EM27" s="101"/>
      <c r="EN27" s="101"/>
      <c r="EO27" s="101"/>
      <c r="EP27" s="101"/>
      <c r="EQ27" s="100"/>
      <c r="ER27" s="100"/>
      <c r="ES27" s="100"/>
      <c r="ET27" s="102"/>
      <c r="EU27" s="102"/>
      <c r="EV27" s="102"/>
      <c r="EW27" s="101"/>
      <c r="EX27" s="101"/>
      <c r="EY27" s="101"/>
      <c r="EZ27" s="101"/>
      <c r="FA27" s="101"/>
      <c r="FB27" s="101"/>
      <c r="FC27" s="101"/>
      <c r="FD27" s="101"/>
      <c r="FE27" s="101"/>
      <c r="FF27" s="100"/>
      <c r="FG27" s="100"/>
      <c r="FH27" s="100"/>
      <c r="FI27" s="102"/>
      <c r="FJ27" s="102"/>
      <c r="FK27" s="102"/>
      <c r="FL27" s="101"/>
      <c r="FM27" s="101"/>
      <c r="FN27" s="101"/>
      <c r="FO27" s="101"/>
      <c r="FP27" s="101"/>
      <c r="FQ27" s="101"/>
      <c r="FR27" s="101"/>
      <c r="FS27" s="101"/>
      <c r="FT27" s="101"/>
      <c r="FU27" s="100"/>
      <c r="FV27" s="100"/>
      <c r="FW27" s="100"/>
      <c r="FX27" s="102"/>
      <c r="FY27" s="102"/>
      <c r="FZ27" s="102"/>
    </row>
    <row r="28" spans="1:182" ht="30.75" customHeight="1">
      <c r="A28" s="3">
        <v>19</v>
      </c>
      <c r="B28" s="4" t="s">
        <v>22</v>
      </c>
      <c r="C28" s="7">
        <v>193099</v>
      </c>
      <c r="D28" s="7">
        <v>195953</v>
      </c>
      <c r="E28" s="16">
        <f t="shared" si="131"/>
        <v>389052</v>
      </c>
      <c r="F28" s="7">
        <v>141790</v>
      </c>
      <c r="G28" s="7">
        <v>134523</v>
      </c>
      <c r="H28" s="8">
        <f t="shared" si="22"/>
        <v>276313</v>
      </c>
      <c r="I28" s="96"/>
      <c r="J28" s="96"/>
      <c r="K28" s="103"/>
      <c r="L28" s="7">
        <f t="shared" si="23"/>
        <v>141790</v>
      </c>
      <c r="M28" s="7">
        <f t="shared" si="23"/>
        <v>134523</v>
      </c>
      <c r="N28" s="7">
        <f t="shared" si="23"/>
        <v>276313</v>
      </c>
      <c r="O28" s="29">
        <f t="shared" si="20"/>
        <v>73.42865576724893</v>
      </c>
      <c r="P28" s="29">
        <f t="shared" si="20"/>
        <v>68.65064581812986</v>
      </c>
      <c r="Q28" s="29">
        <f t="shared" si="20"/>
        <v>71.02212557704368</v>
      </c>
      <c r="R28" s="7">
        <v>42193</v>
      </c>
      <c r="S28" s="7">
        <v>38208</v>
      </c>
      <c r="T28" s="8">
        <f t="shared" si="111"/>
        <v>80401</v>
      </c>
      <c r="U28" s="7">
        <v>23142</v>
      </c>
      <c r="V28" s="7">
        <v>17943</v>
      </c>
      <c r="W28" s="8">
        <f t="shared" si="24"/>
        <v>41085</v>
      </c>
      <c r="X28" s="96"/>
      <c r="Y28" s="96"/>
      <c r="Z28" s="97">
        <f t="shared" si="114"/>
        <v>0</v>
      </c>
      <c r="AA28" s="7">
        <f t="shared" si="25"/>
        <v>23142</v>
      </c>
      <c r="AB28" s="7">
        <f t="shared" si="25"/>
        <v>17943</v>
      </c>
      <c r="AC28" s="10">
        <f t="shared" si="115"/>
        <v>41085</v>
      </c>
      <c r="AD28" s="29">
        <f t="shared" si="112"/>
        <v>54.847960562178564</v>
      </c>
      <c r="AE28" s="29">
        <f t="shared" si="112"/>
        <v>46.96136934673367</v>
      </c>
      <c r="AF28" s="29">
        <f t="shared" si="112"/>
        <v>51.10011069514061</v>
      </c>
      <c r="AG28" s="10">
        <f t="shared" si="26"/>
        <v>235292</v>
      </c>
      <c r="AH28" s="10">
        <f t="shared" si="26"/>
        <v>234161</v>
      </c>
      <c r="AI28" s="10">
        <f t="shared" si="27"/>
        <v>469453</v>
      </c>
      <c r="AJ28" s="10">
        <f t="shared" si="28"/>
        <v>164932</v>
      </c>
      <c r="AK28" s="10">
        <f t="shared" si="28"/>
        <v>152466</v>
      </c>
      <c r="AL28" s="10">
        <f t="shared" si="29"/>
        <v>317398</v>
      </c>
      <c r="AM28" s="97">
        <f t="shared" si="116"/>
        <v>0</v>
      </c>
      <c r="AN28" s="97">
        <f t="shared" si="116"/>
        <v>0</v>
      </c>
      <c r="AO28" s="97">
        <f t="shared" si="117"/>
        <v>0</v>
      </c>
      <c r="AP28" s="7">
        <f t="shared" si="30"/>
        <v>164932</v>
      </c>
      <c r="AQ28" s="7">
        <f t="shared" si="30"/>
        <v>152466</v>
      </c>
      <c r="AR28" s="10">
        <f t="shared" si="98"/>
        <v>317398</v>
      </c>
      <c r="AS28" s="29">
        <f t="shared" si="99"/>
        <v>70.09673087057784</v>
      </c>
      <c r="AT28" s="29">
        <f t="shared" si="99"/>
        <v>65.11161124183789</v>
      </c>
      <c r="AU28" s="29">
        <f t="shared" si="99"/>
        <v>67.61017609856577</v>
      </c>
      <c r="AV28" s="9">
        <v>23726</v>
      </c>
      <c r="AW28" s="9">
        <v>22630</v>
      </c>
      <c r="AX28" s="10">
        <f t="shared" si="32"/>
        <v>46356</v>
      </c>
      <c r="AY28" s="9">
        <v>16486</v>
      </c>
      <c r="AZ28" s="9">
        <v>13752</v>
      </c>
      <c r="BA28" s="10">
        <f t="shared" si="33"/>
        <v>30238</v>
      </c>
      <c r="BB28" s="96">
        <v>0</v>
      </c>
      <c r="BC28" s="96">
        <v>0</v>
      </c>
      <c r="BD28" s="97">
        <f t="shared" si="132"/>
        <v>0</v>
      </c>
      <c r="BE28" s="7">
        <f t="shared" si="34"/>
        <v>16486</v>
      </c>
      <c r="BF28" s="7">
        <f t="shared" si="34"/>
        <v>13752</v>
      </c>
      <c r="BG28" s="10">
        <f t="shared" si="100"/>
        <v>30238</v>
      </c>
      <c r="BH28" s="29">
        <f t="shared" si="101"/>
        <v>69.4849532158813</v>
      </c>
      <c r="BI28" s="29">
        <f t="shared" si="101"/>
        <v>60.7688908528502</v>
      </c>
      <c r="BJ28" s="29">
        <f t="shared" si="101"/>
        <v>65.22995944430063</v>
      </c>
      <c r="BK28" s="9">
        <v>5827</v>
      </c>
      <c r="BL28" s="9">
        <v>5235</v>
      </c>
      <c r="BM28" s="10">
        <f t="shared" si="36"/>
        <v>11062</v>
      </c>
      <c r="BN28" s="9">
        <v>2987</v>
      </c>
      <c r="BO28" s="9">
        <v>2189</v>
      </c>
      <c r="BP28" s="10">
        <f t="shared" si="37"/>
        <v>5176</v>
      </c>
      <c r="BQ28" s="96"/>
      <c r="BR28" s="96"/>
      <c r="BS28" s="97">
        <f t="shared" si="118"/>
        <v>0</v>
      </c>
      <c r="BT28" s="7">
        <f t="shared" si="38"/>
        <v>2987</v>
      </c>
      <c r="BU28" s="7">
        <f t="shared" si="38"/>
        <v>2189</v>
      </c>
      <c r="BV28" s="10">
        <f t="shared" si="119"/>
        <v>5176</v>
      </c>
      <c r="BW28" s="29">
        <f t="shared" si="133"/>
        <v>51.26136948687146</v>
      </c>
      <c r="BX28" s="29">
        <f t="shared" si="133"/>
        <v>41.814708691499526</v>
      </c>
      <c r="BY28" s="29">
        <f t="shared" si="133"/>
        <v>46.79081540408606</v>
      </c>
      <c r="BZ28" s="10">
        <f t="shared" si="39"/>
        <v>29553</v>
      </c>
      <c r="CA28" s="10">
        <f t="shared" si="39"/>
        <v>27865</v>
      </c>
      <c r="CB28" s="10">
        <f t="shared" si="40"/>
        <v>57418</v>
      </c>
      <c r="CC28" s="10">
        <f t="shared" si="41"/>
        <v>19473</v>
      </c>
      <c r="CD28" s="10">
        <f t="shared" si="41"/>
        <v>15941</v>
      </c>
      <c r="CE28" s="10">
        <f t="shared" si="42"/>
        <v>35414</v>
      </c>
      <c r="CF28" s="97">
        <f t="shared" si="120"/>
        <v>0</v>
      </c>
      <c r="CG28" s="97">
        <f t="shared" si="120"/>
        <v>0</v>
      </c>
      <c r="CH28" s="97">
        <f t="shared" si="121"/>
        <v>0</v>
      </c>
      <c r="CI28" s="7">
        <f t="shared" si="43"/>
        <v>19473</v>
      </c>
      <c r="CJ28" s="7">
        <f t="shared" si="43"/>
        <v>15941</v>
      </c>
      <c r="CK28" s="10">
        <f t="shared" si="102"/>
        <v>35414</v>
      </c>
      <c r="CL28" s="29">
        <f t="shared" si="103"/>
        <v>65.89178763577301</v>
      </c>
      <c r="CM28" s="29">
        <f t="shared" si="103"/>
        <v>57.20796698367128</v>
      </c>
      <c r="CN28" s="29">
        <f t="shared" si="103"/>
        <v>61.677522728064375</v>
      </c>
      <c r="CO28" s="9">
        <v>45847</v>
      </c>
      <c r="CP28" s="9">
        <v>46929</v>
      </c>
      <c r="CQ28" s="10">
        <f>CO28+CP28</f>
        <v>92776</v>
      </c>
      <c r="CR28" s="9">
        <v>30250</v>
      </c>
      <c r="CS28" s="9">
        <v>28370</v>
      </c>
      <c r="CT28" s="10">
        <f aca="true" t="shared" si="159" ref="CT28:CT34">CR28+CS28</f>
        <v>58620</v>
      </c>
      <c r="CU28" s="96"/>
      <c r="CV28" s="96"/>
      <c r="CW28" s="97">
        <f t="shared" si="122"/>
        <v>0</v>
      </c>
      <c r="CX28" s="7">
        <f t="shared" si="45"/>
        <v>30250</v>
      </c>
      <c r="CY28" s="7">
        <f t="shared" si="46"/>
        <v>28370</v>
      </c>
      <c r="CZ28" s="10">
        <f t="shared" si="104"/>
        <v>58620</v>
      </c>
      <c r="DA28" s="29">
        <f t="shared" si="105"/>
        <v>65.9803258664689</v>
      </c>
      <c r="DB28" s="29">
        <f t="shared" si="106"/>
        <v>60.45302478211767</v>
      </c>
      <c r="DC28" s="29">
        <f t="shared" si="107"/>
        <v>63.184444252824</v>
      </c>
      <c r="DD28" s="9">
        <v>13198</v>
      </c>
      <c r="DE28" s="9">
        <v>13475</v>
      </c>
      <c r="DF28" s="10">
        <f t="shared" si="48"/>
        <v>26673</v>
      </c>
      <c r="DG28" s="9">
        <v>6620</v>
      </c>
      <c r="DH28" s="9">
        <v>5707</v>
      </c>
      <c r="DI28" s="10">
        <f t="shared" si="49"/>
        <v>12327</v>
      </c>
      <c r="DJ28" s="96"/>
      <c r="DK28" s="96"/>
      <c r="DL28" s="98">
        <f t="shared" si="123"/>
        <v>0</v>
      </c>
      <c r="DM28" s="7">
        <f t="shared" si="124"/>
        <v>6620</v>
      </c>
      <c r="DN28" s="7">
        <f t="shared" si="125"/>
        <v>5707</v>
      </c>
      <c r="DO28" s="10">
        <f t="shared" si="126"/>
        <v>12327</v>
      </c>
      <c r="DP28" s="29">
        <f t="shared" si="127"/>
        <v>50.15911501742688</v>
      </c>
      <c r="DQ28" s="29">
        <f t="shared" si="128"/>
        <v>42.352504638218925</v>
      </c>
      <c r="DR28" s="29">
        <f t="shared" si="129"/>
        <v>46.21527387245529</v>
      </c>
      <c r="DS28" s="10">
        <f t="shared" si="140"/>
        <v>59045</v>
      </c>
      <c r="DT28" s="10">
        <f t="shared" si="141"/>
        <v>60404</v>
      </c>
      <c r="DU28" s="10">
        <f t="shared" si="142"/>
        <v>119449</v>
      </c>
      <c r="DV28" s="10">
        <f t="shared" si="143"/>
        <v>36870</v>
      </c>
      <c r="DW28" s="10">
        <f t="shared" si="144"/>
        <v>34077</v>
      </c>
      <c r="DX28" s="10">
        <f t="shared" si="145"/>
        <v>70947</v>
      </c>
      <c r="DY28" s="97"/>
      <c r="DZ28" s="97"/>
      <c r="EA28" s="97"/>
      <c r="EB28" s="8">
        <f t="shared" si="149"/>
        <v>36870</v>
      </c>
      <c r="EC28" s="8">
        <f t="shared" si="150"/>
        <v>34077</v>
      </c>
      <c r="ED28" s="10">
        <f t="shared" si="151"/>
        <v>70947</v>
      </c>
      <c r="EE28" s="29">
        <f t="shared" si="152"/>
        <v>62.44389872131425</v>
      </c>
      <c r="EF28" s="29">
        <f t="shared" si="153"/>
        <v>56.41513807032646</v>
      </c>
      <c r="EG28" s="29">
        <f t="shared" si="154"/>
        <v>59.395223065910976</v>
      </c>
      <c r="EH28" s="20">
        <f t="shared" si="108"/>
        <v>164932</v>
      </c>
      <c r="EI28" s="20">
        <f t="shared" si="109"/>
        <v>152466</v>
      </c>
      <c r="EJ28" s="20">
        <f t="shared" si="110"/>
        <v>317398</v>
      </c>
      <c r="EK28" s="42">
        <v>10443</v>
      </c>
      <c r="EL28" s="42">
        <v>7991</v>
      </c>
      <c r="EM28" s="20">
        <f t="shared" si="60"/>
        <v>18434</v>
      </c>
      <c r="EN28" s="20">
        <v>41410</v>
      </c>
      <c r="EO28" s="20">
        <v>35741</v>
      </c>
      <c r="EP28" s="20">
        <f t="shared" si="61"/>
        <v>77151</v>
      </c>
      <c r="EQ28" s="53">
        <f t="shared" si="62"/>
        <v>6.331700337108627</v>
      </c>
      <c r="ER28" s="53">
        <f t="shared" si="63"/>
        <v>5.241168522818202</v>
      </c>
      <c r="ES28" s="53">
        <f t="shared" si="64"/>
        <v>5.807850080970894</v>
      </c>
      <c r="ET28" s="41">
        <f t="shared" si="65"/>
        <v>25.10731695486625</v>
      </c>
      <c r="EU28" s="41">
        <f t="shared" si="66"/>
        <v>23.44194771293272</v>
      </c>
      <c r="EV28" s="41">
        <f t="shared" si="67"/>
        <v>24.30733653016087</v>
      </c>
      <c r="EW28" s="20">
        <f t="shared" si="68"/>
        <v>19473</v>
      </c>
      <c r="EX28" s="20">
        <f t="shared" si="69"/>
        <v>15941</v>
      </c>
      <c r="EY28" s="20">
        <f t="shared" si="70"/>
        <v>35414</v>
      </c>
      <c r="EZ28" s="42">
        <v>699</v>
      </c>
      <c r="FA28" s="42">
        <v>428</v>
      </c>
      <c r="FB28" s="20">
        <f t="shared" si="71"/>
        <v>1127</v>
      </c>
      <c r="FC28" s="20">
        <v>4334</v>
      </c>
      <c r="FD28" s="20">
        <v>2974</v>
      </c>
      <c r="FE28" s="20">
        <f t="shared" si="72"/>
        <v>7308</v>
      </c>
      <c r="FF28" s="53">
        <f t="shared" si="73"/>
        <v>3.5895855800338934</v>
      </c>
      <c r="FG28" s="53">
        <f t="shared" si="74"/>
        <v>2.684900570855028</v>
      </c>
      <c r="FH28" s="53">
        <f t="shared" si="75"/>
        <v>3.182357259840741</v>
      </c>
      <c r="FI28" s="41">
        <f t="shared" si="76"/>
        <v>22.256457659323168</v>
      </c>
      <c r="FJ28" s="41">
        <f t="shared" si="77"/>
        <v>18.656295088137508</v>
      </c>
      <c r="FK28" s="41">
        <f t="shared" si="78"/>
        <v>20.635906703563563</v>
      </c>
      <c r="FL28" s="20">
        <f t="shared" si="155"/>
        <v>36870</v>
      </c>
      <c r="FM28" s="20">
        <f t="shared" si="156"/>
        <v>34077</v>
      </c>
      <c r="FN28" s="20">
        <f t="shared" si="157"/>
        <v>70947</v>
      </c>
      <c r="FO28" s="42">
        <v>1201</v>
      </c>
      <c r="FP28" s="42">
        <v>958</v>
      </c>
      <c r="FQ28" s="20">
        <f t="shared" si="82"/>
        <v>2159</v>
      </c>
      <c r="FR28" s="20">
        <v>7078</v>
      </c>
      <c r="FS28" s="20">
        <v>6156</v>
      </c>
      <c r="FT28" s="20">
        <f t="shared" si="83"/>
        <v>13234</v>
      </c>
      <c r="FU28" s="53">
        <f t="shared" si="158"/>
        <v>3.2573908326552754</v>
      </c>
      <c r="FV28" s="53">
        <f t="shared" si="84"/>
        <v>2.811280335710303</v>
      </c>
      <c r="FW28" s="53">
        <f t="shared" si="85"/>
        <v>3.0431166927424695</v>
      </c>
      <c r="FX28" s="41">
        <f t="shared" si="86"/>
        <v>19.197179278546244</v>
      </c>
      <c r="FY28" s="41">
        <f t="shared" si="87"/>
        <v>18.064970507967253</v>
      </c>
      <c r="FZ28" s="41">
        <f t="shared" si="88"/>
        <v>18.653360959589552</v>
      </c>
    </row>
    <row r="29" spans="1:182" ht="32.25" customHeight="1">
      <c r="A29" s="3">
        <v>20</v>
      </c>
      <c r="B29" s="4" t="s">
        <v>23</v>
      </c>
      <c r="C29" s="7">
        <v>399219</v>
      </c>
      <c r="D29" s="7">
        <v>379916</v>
      </c>
      <c r="E29" s="16">
        <f t="shared" si="131"/>
        <v>779135</v>
      </c>
      <c r="F29" s="7">
        <v>303284</v>
      </c>
      <c r="G29" s="7">
        <v>314269</v>
      </c>
      <c r="H29" s="8">
        <f t="shared" si="22"/>
        <v>617553</v>
      </c>
      <c r="I29" s="9">
        <v>26466</v>
      </c>
      <c r="J29" s="9">
        <v>17955</v>
      </c>
      <c r="K29" s="11">
        <f t="shared" si="113"/>
        <v>44421</v>
      </c>
      <c r="L29" s="7">
        <f t="shared" si="23"/>
        <v>329750</v>
      </c>
      <c r="M29" s="7">
        <f t="shared" si="23"/>
        <v>332224</v>
      </c>
      <c r="N29" s="7">
        <f t="shared" si="23"/>
        <v>661974</v>
      </c>
      <c r="O29" s="29">
        <f t="shared" si="20"/>
        <v>82.59877410644283</v>
      </c>
      <c r="P29" s="29">
        <f t="shared" si="20"/>
        <v>87.44669874393287</v>
      </c>
      <c r="Q29" s="29">
        <f t="shared" si="20"/>
        <v>84.96268297535087</v>
      </c>
      <c r="R29" s="7">
        <v>16288</v>
      </c>
      <c r="S29" s="7">
        <v>3950</v>
      </c>
      <c r="T29" s="8">
        <f t="shared" si="111"/>
        <v>20238</v>
      </c>
      <c r="U29" s="7">
        <v>645</v>
      </c>
      <c r="V29" s="7">
        <v>325</v>
      </c>
      <c r="W29" s="8">
        <f t="shared" si="24"/>
        <v>970</v>
      </c>
      <c r="X29" s="9">
        <v>1249</v>
      </c>
      <c r="Y29" s="9">
        <v>349</v>
      </c>
      <c r="Z29" s="10">
        <f t="shared" si="114"/>
        <v>1598</v>
      </c>
      <c r="AA29" s="7">
        <f t="shared" si="25"/>
        <v>1894</v>
      </c>
      <c r="AB29" s="7">
        <f t="shared" si="25"/>
        <v>674</v>
      </c>
      <c r="AC29" s="10">
        <f t="shared" si="115"/>
        <v>2568</v>
      </c>
      <c r="AD29" s="29">
        <f t="shared" si="112"/>
        <v>11.628192534381139</v>
      </c>
      <c r="AE29" s="29">
        <f t="shared" si="112"/>
        <v>17.063291139240505</v>
      </c>
      <c r="AF29" s="29">
        <f t="shared" si="112"/>
        <v>12.689000889415949</v>
      </c>
      <c r="AG29" s="10">
        <f t="shared" si="26"/>
        <v>415507</v>
      </c>
      <c r="AH29" s="10">
        <f t="shared" si="26"/>
        <v>383866</v>
      </c>
      <c r="AI29" s="10">
        <f t="shared" si="27"/>
        <v>799373</v>
      </c>
      <c r="AJ29" s="10">
        <f t="shared" si="28"/>
        <v>303929</v>
      </c>
      <c r="AK29" s="10">
        <f t="shared" si="28"/>
        <v>314594</v>
      </c>
      <c r="AL29" s="10">
        <f t="shared" si="29"/>
        <v>618523</v>
      </c>
      <c r="AM29" s="10">
        <f t="shared" si="116"/>
        <v>27715</v>
      </c>
      <c r="AN29" s="10">
        <f t="shared" si="116"/>
        <v>18304</v>
      </c>
      <c r="AO29" s="10">
        <f t="shared" si="117"/>
        <v>46019</v>
      </c>
      <c r="AP29" s="7">
        <f t="shared" si="30"/>
        <v>331644</v>
      </c>
      <c r="AQ29" s="7">
        <f t="shared" si="30"/>
        <v>332898</v>
      </c>
      <c r="AR29" s="10">
        <f t="shared" si="98"/>
        <v>664542</v>
      </c>
      <c r="AS29" s="29">
        <f t="shared" si="99"/>
        <v>79.8167058557377</v>
      </c>
      <c r="AT29" s="29">
        <f t="shared" si="99"/>
        <v>86.72245002162214</v>
      </c>
      <c r="AU29" s="29">
        <f t="shared" si="99"/>
        <v>83.1329054146187</v>
      </c>
      <c r="AV29" s="9">
        <v>73438</v>
      </c>
      <c r="AW29" s="9">
        <v>67699</v>
      </c>
      <c r="AX29" s="10">
        <f t="shared" si="32"/>
        <v>141137</v>
      </c>
      <c r="AY29" s="9">
        <v>51853</v>
      </c>
      <c r="AZ29" s="9">
        <v>51531</v>
      </c>
      <c r="BA29" s="10">
        <f t="shared" si="33"/>
        <v>103384</v>
      </c>
      <c r="BB29" s="9">
        <v>1199</v>
      </c>
      <c r="BC29" s="9">
        <v>703</v>
      </c>
      <c r="BD29" s="10">
        <f t="shared" si="132"/>
        <v>1902</v>
      </c>
      <c r="BE29" s="7">
        <f t="shared" si="34"/>
        <v>53052</v>
      </c>
      <c r="BF29" s="7">
        <f t="shared" si="34"/>
        <v>52234</v>
      </c>
      <c r="BG29" s="10">
        <f t="shared" si="100"/>
        <v>105286</v>
      </c>
      <c r="BH29" s="29">
        <f t="shared" si="101"/>
        <v>72.24052942618263</v>
      </c>
      <c r="BI29" s="29">
        <f t="shared" si="101"/>
        <v>77.15623569033517</v>
      </c>
      <c r="BJ29" s="29">
        <f t="shared" si="101"/>
        <v>74.59843981379794</v>
      </c>
      <c r="BK29" s="9">
        <v>4006</v>
      </c>
      <c r="BL29" s="9">
        <v>1094</v>
      </c>
      <c r="BM29" s="10">
        <f t="shared" si="36"/>
        <v>5100</v>
      </c>
      <c r="BN29" s="9">
        <v>100</v>
      </c>
      <c r="BO29" s="9">
        <v>41</v>
      </c>
      <c r="BP29" s="10">
        <f t="shared" si="37"/>
        <v>141</v>
      </c>
      <c r="BQ29" s="9">
        <v>114</v>
      </c>
      <c r="BR29" s="9">
        <v>40</v>
      </c>
      <c r="BS29" s="10">
        <f t="shared" si="118"/>
        <v>154</v>
      </c>
      <c r="BT29" s="7">
        <f t="shared" si="38"/>
        <v>214</v>
      </c>
      <c r="BU29" s="7">
        <f t="shared" si="38"/>
        <v>81</v>
      </c>
      <c r="BV29" s="10">
        <f t="shared" si="119"/>
        <v>295</v>
      </c>
      <c r="BW29" s="29">
        <f t="shared" si="133"/>
        <v>5.3419870194707935</v>
      </c>
      <c r="BX29" s="29">
        <f t="shared" si="133"/>
        <v>7.40402193784278</v>
      </c>
      <c r="BY29" s="29">
        <f t="shared" si="133"/>
        <v>5.784313725490196</v>
      </c>
      <c r="BZ29" s="10">
        <f t="shared" si="39"/>
        <v>77444</v>
      </c>
      <c r="CA29" s="10">
        <f t="shared" si="39"/>
        <v>68793</v>
      </c>
      <c r="CB29" s="10">
        <f t="shared" si="40"/>
        <v>146237</v>
      </c>
      <c r="CC29" s="10">
        <f t="shared" si="41"/>
        <v>51953</v>
      </c>
      <c r="CD29" s="10">
        <f t="shared" si="41"/>
        <v>51572</v>
      </c>
      <c r="CE29" s="10">
        <f t="shared" si="42"/>
        <v>103525</v>
      </c>
      <c r="CF29" s="10">
        <f t="shared" si="120"/>
        <v>1313</v>
      </c>
      <c r="CG29" s="10">
        <f t="shared" si="120"/>
        <v>743</v>
      </c>
      <c r="CH29" s="10">
        <f t="shared" si="121"/>
        <v>2056</v>
      </c>
      <c r="CI29" s="7">
        <f t="shared" si="43"/>
        <v>53266</v>
      </c>
      <c r="CJ29" s="7">
        <f t="shared" si="43"/>
        <v>52315</v>
      </c>
      <c r="CK29" s="10">
        <f t="shared" si="102"/>
        <v>105581</v>
      </c>
      <c r="CL29" s="29">
        <f t="shared" si="103"/>
        <v>68.78002169309437</v>
      </c>
      <c r="CM29" s="29">
        <f t="shared" si="103"/>
        <v>76.046981524283</v>
      </c>
      <c r="CN29" s="29">
        <f t="shared" si="103"/>
        <v>72.19855440141689</v>
      </c>
      <c r="CO29" s="9">
        <v>27474</v>
      </c>
      <c r="CP29" s="9">
        <v>24846</v>
      </c>
      <c r="CQ29" s="10">
        <f aca="true" t="shared" si="160" ref="CQ29:CQ50">CO29+CP29</f>
        <v>52320</v>
      </c>
      <c r="CR29" s="9">
        <v>19261</v>
      </c>
      <c r="CS29" s="9">
        <v>19167</v>
      </c>
      <c r="CT29" s="10">
        <f t="shared" si="159"/>
        <v>38428</v>
      </c>
      <c r="CU29" s="9">
        <v>430</v>
      </c>
      <c r="CV29" s="9">
        <v>182</v>
      </c>
      <c r="CW29" s="10">
        <f t="shared" si="122"/>
        <v>612</v>
      </c>
      <c r="CX29" s="7">
        <f t="shared" si="45"/>
        <v>19691</v>
      </c>
      <c r="CY29" s="7">
        <f t="shared" si="46"/>
        <v>19349</v>
      </c>
      <c r="CZ29" s="10">
        <f t="shared" si="104"/>
        <v>39040</v>
      </c>
      <c r="DA29" s="29">
        <f t="shared" si="105"/>
        <v>71.67139841304507</v>
      </c>
      <c r="DB29" s="29">
        <f t="shared" si="106"/>
        <v>77.87571440070836</v>
      </c>
      <c r="DC29" s="29">
        <f t="shared" si="107"/>
        <v>74.61773700305811</v>
      </c>
      <c r="DD29" s="9">
        <v>1220</v>
      </c>
      <c r="DE29" s="9">
        <v>251</v>
      </c>
      <c r="DF29" s="10">
        <f t="shared" si="48"/>
        <v>1471</v>
      </c>
      <c r="DG29" s="9">
        <v>45</v>
      </c>
      <c r="DH29" s="9">
        <v>12</v>
      </c>
      <c r="DI29" s="10">
        <f t="shared" si="49"/>
        <v>57</v>
      </c>
      <c r="DJ29" s="9">
        <v>454</v>
      </c>
      <c r="DK29" s="9">
        <v>187</v>
      </c>
      <c r="DL29" s="6">
        <f t="shared" si="123"/>
        <v>641</v>
      </c>
      <c r="DM29" s="7">
        <f t="shared" si="124"/>
        <v>499</v>
      </c>
      <c r="DN29" s="7">
        <f t="shared" si="125"/>
        <v>199</v>
      </c>
      <c r="DO29" s="10">
        <f t="shared" si="126"/>
        <v>698</v>
      </c>
      <c r="DP29" s="29">
        <f t="shared" si="127"/>
        <v>40.9016393442623</v>
      </c>
      <c r="DQ29" s="29">
        <f t="shared" si="128"/>
        <v>79.2828685258964</v>
      </c>
      <c r="DR29" s="29">
        <f t="shared" si="129"/>
        <v>47.450713800135965</v>
      </c>
      <c r="DS29" s="10">
        <f t="shared" si="140"/>
        <v>28694</v>
      </c>
      <c r="DT29" s="10">
        <f t="shared" si="141"/>
        <v>25097</v>
      </c>
      <c r="DU29" s="10">
        <f t="shared" si="142"/>
        <v>53791</v>
      </c>
      <c r="DV29" s="10">
        <f t="shared" si="143"/>
        <v>19306</v>
      </c>
      <c r="DW29" s="10">
        <f t="shared" si="144"/>
        <v>19179</v>
      </c>
      <c r="DX29" s="10">
        <f t="shared" si="145"/>
        <v>38485</v>
      </c>
      <c r="DY29" s="10">
        <f t="shared" si="146"/>
        <v>884</v>
      </c>
      <c r="DZ29" s="10">
        <f t="shared" si="147"/>
        <v>369</v>
      </c>
      <c r="EA29" s="10">
        <f t="shared" si="148"/>
        <v>1253</v>
      </c>
      <c r="EB29" s="8">
        <f t="shared" si="149"/>
        <v>20190</v>
      </c>
      <c r="EC29" s="8">
        <f t="shared" si="150"/>
        <v>19548</v>
      </c>
      <c r="ED29" s="10">
        <f t="shared" si="151"/>
        <v>39738</v>
      </c>
      <c r="EE29" s="29">
        <f t="shared" si="152"/>
        <v>70.3631421203039</v>
      </c>
      <c r="EF29" s="29">
        <f t="shared" si="153"/>
        <v>77.88978762401881</v>
      </c>
      <c r="EG29" s="29">
        <f t="shared" si="154"/>
        <v>73.87481177148594</v>
      </c>
      <c r="EH29" s="20">
        <f t="shared" si="108"/>
        <v>331644</v>
      </c>
      <c r="EI29" s="20">
        <f t="shared" si="109"/>
        <v>332898</v>
      </c>
      <c r="EJ29" s="20">
        <f t="shared" si="110"/>
        <v>664542</v>
      </c>
      <c r="EK29" s="42">
        <v>86569</v>
      </c>
      <c r="EL29" s="42">
        <v>119610</v>
      </c>
      <c r="EM29" s="20">
        <f t="shared" si="60"/>
        <v>206179</v>
      </c>
      <c r="EN29" s="20">
        <v>113490</v>
      </c>
      <c r="EO29" s="20">
        <v>119946</v>
      </c>
      <c r="EP29" s="20">
        <f t="shared" si="61"/>
        <v>233436</v>
      </c>
      <c r="EQ29" s="53">
        <f t="shared" si="62"/>
        <v>26.102989953082222</v>
      </c>
      <c r="ER29" s="53">
        <f t="shared" si="63"/>
        <v>35.92992448137267</v>
      </c>
      <c r="ES29" s="53">
        <f t="shared" si="64"/>
        <v>31.02572899831764</v>
      </c>
      <c r="ET29" s="41">
        <f t="shared" si="65"/>
        <v>34.22042913485544</v>
      </c>
      <c r="EU29" s="41">
        <f t="shared" si="66"/>
        <v>36.03085629832561</v>
      </c>
      <c r="EV29" s="41">
        <f t="shared" si="67"/>
        <v>35.12735086721381</v>
      </c>
      <c r="EW29" s="20">
        <f t="shared" si="68"/>
        <v>53266</v>
      </c>
      <c r="EX29" s="20">
        <f t="shared" si="69"/>
        <v>52315</v>
      </c>
      <c r="EY29" s="20">
        <f t="shared" si="70"/>
        <v>105581</v>
      </c>
      <c r="EZ29" s="42">
        <v>10720</v>
      </c>
      <c r="FA29" s="42">
        <v>13156</v>
      </c>
      <c r="FB29" s="20">
        <f t="shared" si="71"/>
        <v>23876</v>
      </c>
      <c r="FC29" s="20">
        <v>19929</v>
      </c>
      <c r="FD29" s="20">
        <v>21334</v>
      </c>
      <c r="FE29" s="20">
        <f t="shared" si="72"/>
        <v>41263</v>
      </c>
      <c r="FF29" s="53">
        <f t="shared" si="73"/>
        <v>20.125408328014117</v>
      </c>
      <c r="FG29" s="53">
        <f t="shared" si="74"/>
        <v>25.14766319411259</v>
      </c>
      <c r="FH29" s="53">
        <f t="shared" si="75"/>
        <v>22.613917276782754</v>
      </c>
      <c r="FI29" s="41">
        <f t="shared" si="76"/>
        <v>37.41411031427177</v>
      </c>
      <c r="FJ29" s="41">
        <f t="shared" si="77"/>
        <v>40.77989104463347</v>
      </c>
      <c r="FK29" s="41">
        <f t="shared" si="78"/>
        <v>39.081842376942824</v>
      </c>
      <c r="FL29" s="20">
        <f t="shared" si="155"/>
        <v>20190</v>
      </c>
      <c r="FM29" s="20">
        <f t="shared" si="156"/>
        <v>19548</v>
      </c>
      <c r="FN29" s="20">
        <f t="shared" si="157"/>
        <v>39738</v>
      </c>
      <c r="FO29" s="42">
        <v>3783</v>
      </c>
      <c r="FP29" s="42">
        <v>4981</v>
      </c>
      <c r="FQ29" s="20">
        <f t="shared" si="82"/>
        <v>8764</v>
      </c>
      <c r="FR29" s="20">
        <v>7278</v>
      </c>
      <c r="FS29" s="20">
        <v>7839</v>
      </c>
      <c r="FT29" s="20">
        <f t="shared" si="83"/>
        <v>15117</v>
      </c>
      <c r="FU29" s="53">
        <f t="shared" si="158"/>
        <v>18.7369985141159</v>
      </c>
      <c r="FV29" s="53">
        <f t="shared" si="84"/>
        <v>25.480867607939434</v>
      </c>
      <c r="FW29" s="53">
        <f t="shared" si="85"/>
        <v>22.0544566913282</v>
      </c>
      <c r="FX29" s="41">
        <f t="shared" si="86"/>
        <v>36.047548291233284</v>
      </c>
      <c r="FY29" s="41">
        <f t="shared" si="87"/>
        <v>40.10128913443831</v>
      </c>
      <c r="FZ29" s="41">
        <f t="shared" si="88"/>
        <v>38.04167295787408</v>
      </c>
    </row>
    <row r="30" spans="1:182" ht="29.25" customHeight="1">
      <c r="A30" s="3">
        <v>21</v>
      </c>
      <c r="B30" s="4" t="s">
        <v>24</v>
      </c>
      <c r="C30" s="7">
        <v>240796</v>
      </c>
      <c r="D30" s="7">
        <v>233007</v>
      </c>
      <c r="E30" s="16">
        <f t="shared" si="131"/>
        <v>473803</v>
      </c>
      <c r="F30" s="7">
        <v>230531</v>
      </c>
      <c r="G30" s="7">
        <v>227548</v>
      </c>
      <c r="H30" s="8">
        <f t="shared" si="22"/>
        <v>458079</v>
      </c>
      <c r="I30" s="9">
        <v>6381</v>
      </c>
      <c r="J30" s="9">
        <v>3750</v>
      </c>
      <c r="K30" s="11">
        <f t="shared" si="113"/>
        <v>10131</v>
      </c>
      <c r="L30" s="7">
        <f t="shared" si="23"/>
        <v>236912</v>
      </c>
      <c r="M30" s="7">
        <f t="shared" si="23"/>
        <v>231298</v>
      </c>
      <c r="N30" s="7">
        <f t="shared" si="23"/>
        <v>468210</v>
      </c>
      <c r="O30" s="29">
        <f t="shared" si="20"/>
        <v>98.38701639562119</v>
      </c>
      <c r="P30" s="29">
        <f t="shared" si="20"/>
        <v>99.26654564025974</v>
      </c>
      <c r="Q30" s="29">
        <f t="shared" si="20"/>
        <v>98.81955158578566</v>
      </c>
      <c r="R30" s="99"/>
      <c r="S30" s="99"/>
      <c r="T30" s="101"/>
      <c r="U30" s="99"/>
      <c r="V30" s="99"/>
      <c r="W30" s="101"/>
      <c r="X30" s="96"/>
      <c r="Y30" s="96"/>
      <c r="Z30" s="97"/>
      <c r="AA30" s="99"/>
      <c r="AB30" s="99"/>
      <c r="AC30" s="97"/>
      <c r="AD30" s="100"/>
      <c r="AE30" s="100"/>
      <c r="AF30" s="100"/>
      <c r="AG30" s="10">
        <f t="shared" si="26"/>
        <v>240796</v>
      </c>
      <c r="AH30" s="10">
        <f t="shared" si="26"/>
        <v>233007</v>
      </c>
      <c r="AI30" s="10">
        <f t="shared" si="27"/>
        <v>473803</v>
      </c>
      <c r="AJ30" s="10">
        <f t="shared" si="28"/>
        <v>230531</v>
      </c>
      <c r="AK30" s="10">
        <f t="shared" si="28"/>
        <v>227548</v>
      </c>
      <c r="AL30" s="10">
        <f t="shared" si="29"/>
        <v>458079</v>
      </c>
      <c r="AM30" s="10">
        <f t="shared" si="116"/>
        <v>6381</v>
      </c>
      <c r="AN30" s="10">
        <f t="shared" si="116"/>
        <v>3750</v>
      </c>
      <c r="AO30" s="10">
        <f t="shared" si="117"/>
        <v>10131</v>
      </c>
      <c r="AP30" s="7">
        <f t="shared" si="30"/>
        <v>236912</v>
      </c>
      <c r="AQ30" s="7">
        <f t="shared" si="30"/>
        <v>231298</v>
      </c>
      <c r="AR30" s="10">
        <f t="shared" si="98"/>
        <v>468210</v>
      </c>
      <c r="AS30" s="29">
        <f t="shared" si="99"/>
        <v>98.38701639562119</v>
      </c>
      <c r="AT30" s="29">
        <f t="shared" si="99"/>
        <v>99.26654564025974</v>
      </c>
      <c r="AU30" s="29">
        <f t="shared" si="99"/>
        <v>98.81955158578566</v>
      </c>
      <c r="AV30" s="9">
        <v>25381</v>
      </c>
      <c r="AW30" s="9">
        <v>24494</v>
      </c>
      <c r="AX30" s="10">
        <f t="shared" si="32"/>
        <v>49875</v>
      </c>
      <c r="AY30" s="9">
        <v>23130</v>
      </c>
      <c r="AZ30" s="9">
        <v>23367</v>
      </c>
      <c r="BA30" s="10">
        <f t="shared" si="33"/>
        <v>46497</v>
      </c>
      <c r="BB30" s="9">
        <v>1251</v>
      </c>
      <c r="BC30" s="9">
        <v>759</v>
      </c>
      <c r="BD30" s="10">
        <f t="shared" si="132"/>
        <v>2010</v>
      </c>
      <c r="BE30" s="7">
        <f t="shared" si="34"/>
        <v>24381</v>
      </c>
      <c r="BF30" s="7">
        <f t="shared" si="34"/>
        <v>24126</v>
      </c>
      <c r="BG30" s="10">
        <f t="shared" si="100"/>
        <v>48507</v>
      </c>
      <c r="BH30" s="29">
        <f t="shared" si="101"/>
        <v>96.06004491548796</v>
      </c>
      <c r="BI30" s="29">
        <f t="shared" si="101"/>
        <v>98.49759124683595</v>
      </c>
      <c r="BJ30" s="29">
        <f t="shared" si="101"/>
        <v>97.25714285714285</v>
      </c>
      <c r="BK30" s="96"/>
      <c r="BL30" s="96"/>
      <c r="BM30" s="97"/>
      <c r="BN30" s="96"/>
      <c r="BO30" s="96"/>
      <c r="BP30" s="97"/>
      <c r="BQ30" s="96"/>
      <c r="BR30" s="96"/>
      <c r="BS30" s="97"/>
      <c r="BT30" s="99"/>
      <c r="BU30" s="99"/>
      <c r="BV30" s="97"/>
      <c r="BW30" s="100"/>
      <c r="BX30" s="100"/>
      <c r="BY30" s="100"/>
      <c r="BZ30" s="10">
        <f t="shared" si="39"/>
        <v>25381</v>
      </c>
      <c r="CA30" s="10">
        <f t="shared" si="39"/>
        <v>24494</v>
      </c>
      <c r="CB30" s="10">
        <f t="shared" si="40"/>
        <v>49875</v>
      </c>
      <c r="CC30" s="10">
        <f t="shared" si="41"/>
        <v>23130</v>
      </c>
      <c r="CD30" s="10">
        <f t="shared" si="41"/>
        <v>23367</v>
      </c>
      <c r="CE30" s="10">
        <f t="shared" si="42"/>
        <v>46497</v>
      </c>
      <c r="CF30" s="10">
        <f t="shared" si="120"/>
        <v>1251</v>
      </c>
      <c r="CG30" s="10">
        <f t="shared" si="120"/>
        <v>759</v>
      </c>
      <c r="CH30" s="10">
        <f t="shared" si="121"/>
        <v>2010</v>
      </c>
      <c r="CI30" s="7">
        <f t="shared" si="43"/>
        <v>24381</v>
      </c>
      <c r="CJ30" s="7">
        <f t="shared" si="43"/>
        <v>24126</v>
      </c>
      <c r="CK30" s="10">
        <f t="shared" si="102"/>
        <v>48507</v>
      </c>
      <c r="CL30" s="29">
        <f t="shared" si="103"/>
        <v>96.06004491548796</v>
      </c>
      <c r="CM30" s="29">
        <f t="shared" si="103"/>
        <v>98.49759124683595</v>
      </c>
      <c r="CN30" s="29">
        <f t="shared" si="103"/>
        <v>97.25714285714285</v>
      </c>
      <c r="CO30" s="9">
        <v>4134</v>
      </c>
      <c r="CP30" s="9">
        <v>4202</v>
      </c>
      <c r="CQ30" s="10">
        <f t="shared" si="160"/>
        <v>8336</v>
      </c>
      <c r="CR30" s="9">
        <v>3439</v>
      </c>
      <c r="CS30" s="9">
        <v>3605</v>
      </c>
      <c r="CT30" s="10">
        <f t="shared" si="159"/>
        <v>7044</v>
      </c>
      <c r="CU30" s="9">
        <v>274</v>
      </c>
      <c r="CV30" s="9">
        <v>279</v>
      </c>
      <c r="CW30" s="10">
        <f t="shared" si="122"/>
        <v>553</v>
      </c>
      <c r="CX30" s="7">
        <f t="shared" si="45"/>
        <v>3713</v>
      </c>
      <c r="CY30" s="7">
        <f t="shared" si="46"/>
        <v>3884</v>
      </c>
      <c r="CZ30" s="10">
        <f t="shared" si="104"/>
        <v>7597</v>
      </c>
      <c r="DA30" s="29">
        <f t="shared" si="105"/>
        <v>89.81615868408322</v>
      </c>
      <c r="DB30" s="29">
        <f t="shared" si="106"/>
        <v>92.43217515468825</v>
      </c>
      <c r="DC30" s="29">
        <f t="shared" si="107"/>
        <v>91.13483685220729</v>
      </c>
      <c r="DD30" s="96"/>
      <c r="DE30" s="96"/>
      <c r="DF30" s="97"/>
      <c r="DG30" s="96"/>
      <c r="DH30" s="96"/>
      <c r="DI30" s="97"/>
      <c r="DJ30" s="98"/>
      <c r="DK30" s="98"/>
      <c r="DL30" s="98"/>
      <c r="DM30" s="99"/>
      <c r="DN30" s="99"/>
      <c r="DO30" s="97"/>
      <c r="DP30" s="100"/>
      <c r="DQ30" s="100"/>
      <c r="DR30" s="100"/>
      <c r="DS30" s="10">
        <f t="shared" si="140"/>
        <v>4134</v>
      </c>
      <c r="DT30" s="10">
        <f t="shared" si="141"/>
        <v>4202</v>
      </c>
      <c r="DU30" s="10">
        <f t="shared" si="142"/>
        <v>8336</v>
      </c>
      <c r="DV30" s="10">
        <f t="shared" si="143"/>
        <v>3439</v>
      </c>
      <c r="DW30" s="10">
        <f t="shared" si="144"/>
        <v>3605</v>
      </c>
      <c r="DX30" s="10">
        <f t="shared" si="145"/>
        <v>7044</v>
      </c>
      <c r="DY30" s="10">
        <f t="shared" si="146"/>
        <v>274</v>
      </c>
      <c r="DZ30" s="10">
        <f t="shared" si="147"/>
        <v>279</v>
      </c>
      <c r="EA30" s="10">
        <f t="shared" si="148"/>
        <v>553</v>
      </c>
      <c r="EB30" s="8">
        <f t="shared" si="149"/>
        <v>3713</v>
      </c>
      <c r="EC30" s="8">
        <f t="shared" si="150"/>
        <v>3884</v>
      </c>
      <c r="ED30" s="10">
        <f t="shared" si="151"/>
        <v>7597</v>
      </c>
      <c r="EE30" s="29">
        <f t="shared" si="152"/>
        <v>89.81615868408322</v>
      </c>
      <c r="EF30" s="29">
        <f t="shared" si="153"/>
        <v>92.43217515468825</v>
      </c>
      <c r="EG30" s="29">
        <f t="shared" si="154"/>
        <v>91.13483685220729</v>
      </c>
      <c r="EH30" s="20">
        <f t="shared" si="108"/>
        <v>236912</v>
      </c>
      <c r="EI30" s="20">
        <f t="shared" si="109"/>
        <v>231298</v>
      </c>
      <c r="EJ30" s="20">
        <f t="shared" si="110"/>
        <v>468210</v>
      </c>
      <c r="EK30" s="101"/>
      <c r="EL30" s="101"/>
      <c r="EM30" s="101"/>
      <c r="EN30" s="101"/>
      <c r="EO30" s="101"/>
      <c r="EP30" s="101"/>
      <c r="EQ30" s="100"/>
      <c r="ER30" s="100"/>
      <c r="ES30" s="100"/>
      <c r="ET30" s="102"/>
      <c r="EU30" s="102"/>
      <c r="EV30" s="102"/>
      <c r="EW30" s="20">
        <f t="shared" si="68"/>
        <v>24381</v>
      </c>
      <c r="EX30" s="20">
        <f t="shared" si="69"/>
        <v>24126</v>
      </c>
      <c r="EY30" s="20">
        <f t="shared" si="70"/>
        <v>48507</v>
      </c>
      <c r="EZ30" s="101"/>
      <c r="FA30" s="101"/>
      <c r="FB30" s="101"/>
      <c r="FC30" s="101"/>
      <c r="FD30" s="101"/>
      <c r="FE30" s="101"/>
      <c r="FF30" s="100"/>
      <c r="FG30" s="100"/>
      <c r="FH30" s="100"/>
      <c r="FI30" s="102"/>
      <c r="FJ30" s="102"/>
      <c r="FK30" s="102"/>
      <c r="FL30" s="20">
        <f t="shared" si="155"/>
        <v>3713</v>
      </c>
      <c r="FM30" s="20">
        <f t="shared" si="156"/>
        <v>3884</v>
      </c>
      <c r="FN30" s="20">
        <f t="shared" si="157"/>
        <v>7597</v>
      </c>
      <c r="FO30" s="101"/>
      <c r="FP30" s="101"/>
      <c r="FQ30" s="101">
        <f t="shared" si="82"/>
        <v>0</v>
      </c>
      <c r="FR30" s="101"/>
      <c r="FS30" s="101"/>
      <c r="FT30" s="101">
        <f t="shared" si="83"/>
        <v>0</v>
      </c>
      <c r="FU30" s="100">
        <f t="shared" si="158"/>
        <v>0</v>
      </c>
      <c r="FV30" s="100">
        <f t="shared" si="84"/>
        <v>0</v>
      </c>
      <c r="FW30" s="100">
        <f t="shared" si="85"/>
        <v>0</v>
      </c>
      <c r="FX30" s="102">
        <f t="shared" si="86"/>
        <v>0</v>
      </c>
      <c r="FY30" s="102">
        <f t="shared" si="87"/>
        <v>0</v>
      </c>
      <c r="FZ30" s="102">
        <f t="shared" si="88"/>
        <v>0</v>
      </c>
    </row>
    <row r="31" spans="1:182" ht="45" customHeight="1">
      <c r="A31" s="3">
        <v>22</v>
      </c>
      <c r="B31" s="4" t="s">
        <v>25</v>
      </c>
      <c r="C31" s="67">
        <f>906228+8</f>
        <v>906236</v>
      </c>
      <c r="D31" s="67">
        <v>750765</v>
      </c>
      <c r="E31" s="81">
        <f t="shared" si="131"/>
        <v>1657001</v>
      </c>
      <c r="F31" s="67">
        <v>778108</v>
      </c>
      <c r="G31" s="67">
        <v>678490</v>
      </c>
      <c r="H31" s="82">
        <f>F31+G31</f>
        <v>1456598</v>
      </c>
      <c r="I31" s="83">
        <v>19925</v>
      </c>
      <c r="J31" s="83">
        <v>11402</v>
      </c>
      <c r="K31" s="89">
        <f t="shared" si="113"/>
        <v>31327</v>
      </c>
      <c r="L31" s="67">
        <f t="shared" si="23"/>
        <v>798033</v>
      </c>
      <c r="M31" s="67">
        <f t="shared" si="23"/>
        <v>689892</v>
      </c>
      <c r="N31" s="67">
        <f t="shared" si="23"/>
        <v>1487925</v>
      </c>
      <c r="O31" s="85">
        <f t="shared" si="20"/>
        <v>88.0601741709665</v>
      </c>
      <c r="P31" s="85">
        <f t="shared" si="20"/>
        <v>91.89187029230185</v>
      </c>
      <c r="Q31" s="85">
        <f t="shared" si="20"/>
        <v>89.79626445608663</v>
      </c>
      <c r="R31" s="67">
        <f>42943+1085</f>
        <v>44028</v>
      </c>
      <c r="S31" s="67">
        <f>17365+805</f>
        <v>18170</v>
      </c>
      <c r="T31" s="82">
        <f t="shared" si="111"/>
        <v>62198</v>
      </c>
      <c r="U31" s="67">
        <v>19358</v>
      </c>
      <c r="V31" s="67">
        <v>9544</v>
      </c>
      <c r="W31" s="82">
        <f t="shared" si="24"/>
        <v>28902</v>
      </c>
      <c r="X31" s="83">
        <v>2474</v>
      </c>
      <c r="Y31" s="83">
        <v>903</v>
      </c>
      <c r="Z31" s="84">
        <f t="shared" si="114"/>
        <v>3377</v>
      </c>
      <c r="AA31" s="67">
        <f t="shared" si="25"/>
        <v>21832</v>
      </c>
      <c r="AB31" s="67">
        <f t="shared" si="25"/>
        <v>10447</v>
      </c>
      <c r="AC31" s="84">
        <f t="shared" si="115"/>
        <v>32279</v>
      </c>
      <c r="AD31" s="85">
        <f t="shared" si="112"/>
        <v>49.58662669210502</v>
      </c>
      <c r="AE31" s="85">
        <f t="shared" si="112"/>
        <v>57.49587231700606</v>
      </c>
      <c r="AF31" s="85">
        <f t="shared" si="112"/>
        <v>51.89716711148269</v>
      </c>
      <c r="AG31" s="84">
        <f t="shared" si="26"/>
        <v>950264</v>
      </c>
      <c r="AH31" s="84">
        <f t="shared" si="26"/>
        <v>768935</v>
      </c>
      <c r="AI31" s="84">
        <f t="shared" si="27"/>
        <v>1719199</v>
      </c>
      <c r="AJ31" s="84">
        <f t="shared" si="28"/>
        <v>797466</v>
      </c>
      <c r="AK31" s="84">
        <f t="shared" si="28"/>
        <v>688034</v>
      </c>
      <c r="AL31" s="84">
        <f t="shared" si="29"/>
        <v>1485500</v>
      </c>
      <c r="AM31" s="84">
        <f t="shared" si="116"/>
        <v>22399</v>
      </c>
      <c r="AN31" s="84">
        <f t="shared" si="116"/>
        <v>12305</v>
      </c>
      <c r="AO31" s="84">
        <f t="shared" si="117"/>
        <v>34704</v>
      </c>
      <c r="AP31" s="67">
        <f t="shared" si="30"/>
        <v>819865</v>
      </c>
      <c r="AQ31" s="67">
        <f t="shared" si="30"/>
        <v>700339</v>
      </c>
      <c r="AR31" s="84">
        <f t="shared" si="98"/>
        <v>1520204</v>
      </c>
      <c r="AS31" s="85">
        <f t="shared" si="99"/>
        <v>86.27760285562749</v>
      </c>
      <c r="AT31" s="85">
        <f t="shared" si="99"/>
        <v>91.07908991007042</v>
      </c>
      <c r="AU31" s="85">
        <f t="shared" si="99"/>
        <v>88.42513286710846</v>
      </c>
      <c r="AV31" s="83">
        <v>129357</v>
      </c>
      <c r="AW31" s="83">
        <v>108946</v>
      </c>
      <c r="AX31" s="84">
        <f t="shared" si="32"/>
        <v>238303</v>
      </c>
      <c r="AY31" s="83">
        <v>103089</v>
      </c>
      <c r="AZ31" s="83">
        <v>92270</v>
      </c>
      <c r="BA31" s="84">
        <f t="shared" si="33"/>
        <v>195359</v>
      </c>
      <c r="BB31" s="83">
        <v>3923</v>
      </c>
      <c r="BC31" s="83">
        <v>2583</v>
      </c>
      <c r="BD31" s="84">
        <f t="shared" si="132"/>
        <v>6506</v>
      </c>
      <c r="BE31" s="67">
        <f t="shared" si="34"/>
        <v>107012</v>
      </c>
      <c r="BF31" s="67">
        <f t="shared" si="34"/>
        <v>94853</v>
      </c>
      <c r="BG31" s="84">
        <f t="shared" si="100"/>
        <v>201865</v>
      </c>
      <c r="BH31" s="85">
        <f t="shared" si="101"/>
        <v>82.72609909011496</v>
      </c>
      <c r="BI31" s="85">
        <f t="shared" si="101"/>
        <v>87.0642336570411</v>
      </c>
      <c r="BJ31" s="85">
        <f t="shared" si="101"/>
        <v>84.70938259274958</v>
      </c>
      <c r="BK31" s="83">
        <f>5834+39</f>
        <v>5873</v>
      </c>
      <c r="BL31" s="83">
        <f>2560+40</f>
        <v>2600</v>
      </c>
      <c r="BM31" s="84">
        <f t="shared" si="36"/>
        <v>8473</v>
      </c>
      <c r="BN31" s="83">
        <v>2132</v>
      </c>
      <c r="BO31" s="83">
        <v>1196</v>
      </c>
      <c r="BP31" s="84">
        <f t="shared" si="37"/>
        <v>3328</v>
      </c>
      <c r="BQ31" s="83">
        <v>328</v>
      </c>
      <c r="BR31" s="83">
        <v>139</v>
      </c>
      <c r="BS31" s="84">
        <f t="shared" si="118"/>
        <v>467</v>
      </c>
      <c r="BT31" s="67">
        <f t="shared" si="38"/>
        <v>2460</v>
      </c>
      <c r="BU31" s="67">
        <f t="shared" si="38"/>
        <v>1335</v>
      </c>
      <c r="BV31" s="84">
        <f t="shared" si="119"/>
        <v>3795</v>
      </c>
      <c r="BW31" s="85">
        <f t="shared" si="133"/>
        <v>41.886599693512686</v>
      </c>
      <c r="BX31" s="85">
        <f t="shared" si="133"/>
        <v>51.34615384615384</v>
      </c>
      <c r="BY31" s="85">
        <f t="shared" si="133"/>
        <v>44.78933081553169</v>
      </c>
      <c r="BZ31" s="84">
        <f t="shared" si="39"/>
        <v>135230</v>
      </c>
      <c r="CA31" s="84">
        <f t="shared" si="39"/>
        <v>111546</v>
      </c>
      <c r="CB31" s="84">
        <f t="shared" si="40"/>
        <v>246776</v>
      </c>
      <c r="CC31" s="84">
        <f t="shared" si="41"/>
        <v>105221</v>
      </c>
      <c r="CD31" s="84">
        <f t="shared" si="41"/>
        <v>93466</v>
      </c>
      <c r="CE31" s="84">
        <f t="shared" si="42"/>
        <v>198687</v>
      </c>
      <c r="CF31" s="84">
        <f t="shared" si="120"/>
        <v>4251</v>
      </c>
      <c r="CG31" s="84">
        <f t="shared" si="120"/>
        <v>2722</v>
      </c>
      <c r="CH31" s="84">
        <f t="shared" si="121"/>
        <v>6973</v>
      </c>
      <c r="CI31" s="67">
        <f t="shared" si="43"/>
        <v>109472</v>
      </c>
      <c r="CJ31" s="67">
        <f t="shared" si="43"/>
        <v>96188</v>
      </c>
      <c r="CK31" s="84">
        <f t="shared" si="102"/>
        <v>205660</v>
      </c>
      <c r="CL31" s="85">
        <f t="shared" si="103"/>
        <v>80.95245137913184</v>
      </c>
      <c r="CM31" s="85">
        <f t="shared" si="103"/>
        <v>86.23168916859413</v>
      </c>
      <c r="CN31" s="85">
        <f t="shared" si="103"/>
        <v>83.33873634389082</v>
      </c>
      <c r="CO31" s="83">
        <v>75648</v>
      </c>
      <c r="CP31" s="83">
        <v>61067</v>
      </c>
      <c r="CQ31" s="84">
        <f t="shared" si="160"/>
        <v>136715</v>
      </c>
      <c r="CR31" s="83">
        <v>60790</v>
      </c>
      <c r="CS31" s="83">
        <v>51143</v>
      </c>
      <c r="CT31" s="84">
        <f t="shared" si="159"/>
        <v>111933</v>
      </c>
      <c r="CU31" s="83">
        <v>1623</v>
      </c>
      <c r="CV31" s="83">
        <v>1106</v>
      </c>
      <c r="CW31" s="84">
        <f t="shared" si="122"/>
        <v>2729</v>
      </c>
      <c r="CX31" s="67">
        <f t="shared" si="45"/>
        <v>62413</v>
      </c>
      <c r="CY31" s="67">
        <f t="shared" si="46"/>
        <v>52249</v>
      </c>
      <c r="CZ31" s="84">
        <f t="shared" si="104"/>
        <v>114662</v>
      </c>
      <c r="DA31" s="85">
        <f t="shared" si="105"/>
        <v>82.50449450084602</v>
      </c>
      <c r="DB31" s="85">
        <f t="shared" si="106"/>
        <v>85.56012248841436</v>
      </c>
      <c r="DC31" s="85">
        <f t="shared" si="107"/>
        <v>83.86936327396408</v>
      </c>
      <c r="DD31" s="83">
        <v>1891</v>
      </c>
      <c r="DE31" s="83">
        <v>909</v>
      </c>
      <c r="DF31" s="84">
        <f t="shared" si="48"/>
        <v>2800</v>
      </c>
      <c r="DG31" s="83">
        <v>800</v>
      </c>
      <c r="DH31" s="83">
        <v>444</v>
      </c>
      <c r="DI31" s="84">
        <f t="shared" si="49"/>
        <v>1244</v>
      </c>
      <c r="DJ31" s="83">
        <v>82</v>
      </c>
      <c r="DK31" s="83">
        <v>30</v>
      </c>
      <c r="DL31" s="90">
        <f t="shared" si="123"/>
        <v>112</v>
      </c>
      <c r="DM31" s="67">
        <f t="shared" si="124"/>
        <v>882</v>
      </c>
      <c r="DN31" s="67">
        <f t="shared" si="125"/>
        <v>474</v>
      </c>
      <c r="DO31" s="84">
        <f t="shared" si="126"/>
        <v>1356</v>
      </c>
      <c r="DP31" s="85">
        <f t="shared" si="127"/>
        <v>46.641988365943945</v>
      </c>
      <c r="DQ31" s="85">
        <f t="shared" si="128"/>
        <v>52.14521452145215</v>
      </c>
      <c r="DR31" s="85">
        <f t="shared" si="129"/>
        <v>48.42857142857142</v>
      </c>
      <c r="DS31" s="10">
        <f t="shared" si="140"/>
        <v>77539</v>
      </c>
      <c r="DT31" s="10">
        <f t="shared" si="141"/>
        <v>61976</v>
      </c>
      <c r="DU31" s="10">
        <f t="shared" si="142"/>
        <v>139515</v>
      </c>
      <c r="DV31" s="10">
        <f t="shared" si="143"/>
        <v>61590</v>
      </c>
      <c r="DW31" s="10">
        <f t="shared" si="144"/>
        <v>51587</v>
      </c>
      <c r="DX31" s="10">
        <f t="shared" si="145"/>
        <v>113177</v>
      </c>
      <c r="DY31" s="10">
        <f t="shared" si="146"/>
        <v>1705</v>
      </c>
      <c r="DZ31" s="10">
        <f t="shared" si="147"/>
        <v>1136</v>
      </c>
      <c r="EA31" s="10">
        <f t="shared" si="148"/>
        <v>2841</v>
      </c>
      <c r="EB31" s="8">
        <f t="shared" si="149"/>
        <v>63295</v>
      </c>
      <c r="EC31" s="8">
        <f t="shared" si="150"/>
        <v>52723</v>
      </c>
      <c r="ED31" s="10">
        <f t="shared" si="151"/>
        <v>116018</v>
      </c>
      <c r="EE31" s="29">
        <f t="shared" si="152"/>
        <v>81.62988947497388</v>
      </c>
      <c r="EF31" s="29">
        <f t="shared" si="153"/>
        <v>85.07002710726734</v>
      </c>
      <c r="EG31" s="29">
        <f t="shared" si="154"/>
        <v>83.15808336021216</v>
      </c>
      <c r="EH31" s="86">
        <f t="shared" si="108"/>
        <v>819865</v>
      </c>
      <c r="EI31" s="86">
        <f t="shared" si="109"/>
        <v>700339</v>
      </c>
      <c r="EJ31" s="86">
        <f t="shared" si="110"/>
        <v>1520204</v>
      </c>
      <c r="EK31" s="91">
        <v>185628</v>
      </c>
      <c r="EL31" s="91">
        <v>218825</v>
      </c>
      <c r="EM31" s="86">
        <f t="shared" si="60"/>
        <v>404453</v>
      </c>
      <c r="EN31" s="86">
        <v>295225</v>
      </c>
      <c r="EO31" s="86">
        <v>271336</v>
      </c>
      <c r="EP31" s="86">
        <f t="shared" si="61"/>
        <v>566561</v>
      </c>
      <c r="EQ31" s="87">
        <f t="shared" si="62"/>
        <v>22.641288504814817</v>
      </c>
      <c r="ER31" s="87">
        <f t="shared" si="63"/>
        <v>31.245582496476704</v>
      </c>
      <c r="ES31" s="87">
        <f t="shared" si="64"/>
        <v>26.605179304882764</v>
      </c>
      <c r="ET31" s="88">
        <f t="shared" si="65"/>
        <v>36.00897708769127</v>
      </c>
      <c r="EU31" s="88">
        <f t="shared" si="66"/>
        <v>38.74352277968241</v>
      </c>
      <c r="EV31" s="88">
        <f t="shared" si="67"/>
        <v>37.26874814169677</v>
      </c>
      <c r="EW31" s="86">
        <f t="shared" si="68"/>
        <v>109472</v>
      </c>
      <c r="EX31" s="86">
        <f t="shared" si="69"/>
        <v>96188</v>
      </c>
      <c r="EY31" s="86">
        <f t="shared" si="70"/>
        <v>205660</v>
      </c>
      <c r="EZ31" s="91">
        <v>16541</v>
      </c>
      <c r="FA31" s="91">
        <v>21126</v>
      </c>
      <c r="FB31" s="86">
        <f t="shared" si="71"/>
        <v>37667</v>
      </c>
      <c r="FC31" s="86">
        <v>38722</v>
      </c>
      <c r="FD31" s="86">
        <v>38632</v>
      </c>
      <c r="FE31" s="86">
        <f t="shared" si="72"/>
        <v>77354</v>
      </c>
      <c r="FF31" s="87">
        <f t="shared" si="73"/>
        <v>15.109799766150248</v>
      </c>
      <c r="FG31" s="87">
        <f t="shared" si="74"/>
        <v>21.96323865762881</v>
      </c>
      <c r="FH31" s="87">
        <f t="shared" si="75"/>
        <v>18.315180394826413</v>
      </c>
      <c r="FI31" s="88">
        <f t="shared" si="76"/>
        <v>35.37160187079801</v>
      </c>
      <c r="FJ31" s="88">
        <f t="shared" si="77"/>
        <v>40.163014097392605</v>
      </c>
      <c r="FK31" s="88">
        <f t="shared" si="78"/>
        <v>37.61256442672372</v>
      </c>
      <c r="FL31" s="86">
        <f t="shared" si="155"/>
        <v>63295</v>
      </c>
      <c r="FM31" s="86">
        <f t="shared" si="156"/>
        <v>52723</v>
      </c>
      <c r="FN31" s="86">
        <f t="shared" si="157"/>
        <v>116018</v>
      </c>
      <c r="FO31" s="91">
        <v>6925</v>
      </c>
      <c r="FP31" s="91">
        <v>7355</v>
      </c>
      <c r="FQ31" s="86">
        <f t="shared" si="82"/>
        <v>14280</v>
      </c>
      <c r="FR31" s="86">
        <v>23816</v>
      </c>
      <c r="FS31" s="86">
        <v>21886</v>
      </c>
      <c r="FT31" s="86">
        <f t="shared" si="83"/>
        <v>45702</v>
      </c>
      <c r="FU31" s="87">
        <f t="shared" si="158"/>
        <v>10.940832609210837</v>
      </c>
      <c r="FV31" s="87">
        <f t="shared" si="84"/>
        <v>13.950268383817308</v>
      </c>
      <c r="FW31" s="87">
        <f t="shared" si="85"/>
        <v>12.308434898033063</v>
      </c>
      <c r="FX31" s="88">
        <f t="shared" si="86"/>
        <v>37.62698475393001</v>
      </c>
      <c r="FY31" s="88">
        <f t="shared" si="87"/>
        <v>41.511294880792065</v>
      </c>
      <c r="FZ31" s="88">
        <f t="shared" si="88"/>
        <v>39.3921632850075</v>
      </c>
    </row>
    <row r="32" spans="1:182" ht="29.25" customHeight="1">
      <c r="A32" s="3">
        <v>23</v>
      </c>
      <c r="B32" s="5" t="s">
        <v>26</v>
      </c>
      <c r="C32" s="7">
        <v>455298</v>
      </c>
      <c r="D32" s="7">
        <v>386423</v>
      </c>
      <c r="E32" s="16">
        <f t="shared" si="131"/>
        <v>841721</v>
      </c>
      <c r="F32" s="7">
        <v>235569</v>
      </c>
      <c r="G32" s="7">
        <v>217445</v>
      </c>
      <c r="H32" s="8">
        <f t="shared" si="22"/>
        <v>453014</v>
      </c>
      <c r="I32" s="9">
        <v>43051</v>
      </c>
      <c r="J32" s="9">
        <v>40270</v>
      </c>
      <c r="K32" s="11">
        <f t="shared" si="113"/>
        <v>83321</v>
      </c>
      <c r="L32" s="7">
        <f t="shared" si="23"/>
        <v>278620</v>
      </c>
      <c r="M32" s="7">
        <f t="shared" si="23"/>
        <v>257715</v>
      </c>
      <c r="N32" s="7">
        <f t="shared" si="23"/>
        <v>536335</v>
      </c>
      <c r="O32" s="29">
        <f t="shared" si="20"/>
        <v>61.195085416584305</v>
      </c>
      <c r="P32" s="29">
        <f t="shared" si="20"/>
        <v>66.69245878221534</v>
      </c>
      <c r="Q32" s="29">
        <f t="shared" si="20"/>
        <v>63.71885696091698</v>
      </c>
      <c r="R32" s="7">
        <v>201482</v>
      </c>
      <c r="S32" s="7">
        <v>135573</v>
      </c>
      <c r="T32" s="8">
        <f t="shared" si="111"/>
        <v>337055</v>
      </c>
      <c r="U32" s="7">
        <v>29882</v>
      </c>
      <c r="V32" s="7">
        <v>21012</v>
      </c>
      <c r="W32" s="8">
        <f t="shared" si="24"/>
        <v>50894</v>
      </c>
      <c r="X32" s="9">
        <v>17790</v>
      </c>
      <c r="Y32" s="9">
        <v>13935</v>
      </c>
      <c r="Z32" s="10">
        <f t="shared" si="114"/>
        <v>31725</v>
      </c>
      <c r="AA32" s="7">
        <f t="shared" si="25"/>
        <v>47672</v>
      </c>
      <c r="AB32" s="7">
        <f t="shared" si="25"/>
        <v>34947</v>
      </c>
      <c r="AC32" s="10">
        <f t="shared" si="115"/>
        <v>82619</v>
      </c>
      <c r="AD32" s="29">
        <f t="shared" si="112"/>
        <v>23.660674402676168</v>
      </c>
      <c r="AE32" s="29">
        <f t="shared" si="112"/>
        <v>25.777256533380537</v>
      </c>
      <c r="AF32" s="29">
        <f t="shared" si="112"/>
        <v>24.512023260298765</v>
      </c>
      <c r="AG32" s="10">
        <f t="shared" si="26"/>
        <v>656780</v>
      </c>
      <c r="AH32" s="10">
        <f t="shared" si="26"/>
        <v>521996</v>
      </c>
      <c r="AI32" s="10">
        <f t="shared" si="27"/>
        <v>1178776</v>
      </c>
      <c r="AJ32" s="10">
        <f t="shared" si="28"/>
        <v>265451</v>
      </c>
      <c r="AK32" s="10">
        <f t="shared" si="28"/>
        <v>238457</v>
      </c>
      <c r="AL32" s="10">
        <f t="shared" si="29"/>
        <v>503908</v>
      </c>
      <c r="AM32" s="10">
        <f t="shared" si="116"/>
        <v>60841</v>
      </c>
      <c r="AN32" s="10">
        <f t="shared" si="116"/>
        <v>54205</v>
      </c>
      <c r="AO32" s="10">
        <f t="shared" si="117"/>
        <v>115046</v>
      </c>
      <c r="AP32" s="7">
        <f t="shared" si="30"/>
        <v>326292</v>
      </c>
      <c r="AQ32" s="7">
        <f t="shared" si="30"/>
        <v>292662</v>
      </c>
      <c r="AR32" s="10">
        <f t="shared" si="98"/>
        <v>618954</v>
      </c>
      <c r="AS32" s="29">
        <f t="shared" si="99"/>
        <v>49.680562745516006</v>
      </c>
      <c r="AT32" s="29">
        <f t="shared" si="99"/>
        <v>56.065946865493224</v>
      </c>
      <c r="AU32" s="29">
        <f t="shared" si="99"/>
        <v>52.508194941193246</v>
      </c>
      <c r="AV32" s="9">
        <v>83758</v>
      </c>
      <c r="AW32" s="9">
        <v>60251</v>
      </c>
      <c r="AX32" s="10">
        <f t="shared" si="32"/>
        <v>144009</v>
      </c>
      <c r="AY32" s="9">
        <v>37164</v>
      </c>
      <c r="AZ32" s="9">
        <v>29273</v>
      </c>
      <c r="BA32" s="10">
        <f t="shared" si="33"/>
        <v>66437</v>
      </c>
      <c r="BB32" s="9">
        <v>7682</v>
      </c>
      <c r="BC32" s="9">
        <v>6689</v>
      </c>
      <c r="BD32" s="10">
        <f t="shared" si="132"/>
        <v>14371</v>
      </c>
      <c r="BE32" s="7">
        <f t="shared" si="34"/>
        <v>44846</v>
      </c>
      <c r="BF32" s="7">
        <f t="shared" si="34"/>
        <v>35962</v>
      </c>
      <c r="BG32" s="10">
        <f t="shared" si="100"/>
        <v>80808</v>
      </c>
      <c r="BH32" s="29">
        <f t="shared" si="101"/>
        <v>53.542348193605385</v>
      </c>
      <c r="BI32" s="29">
        <f t="shared" si="101"/>
        <v>59.68697614977345</v>
      </c>
      <c r="BJ32" s="29">
        <f t="shared" si="101"/>
        <v>56.11315959419203</v>
      </c>
      <c r="BK32" s="9">
        <v>40730</v>
      </c>
      <c r="BL32" s="9">
        <v>27261</v>
      </c>
      <c r="BM32" s="10">
        <f t="shared" si="36"/>
        <v>67991</v>
      </c>
      <c r="BN32" s="9">
        <v>5650</v>
      </c>
      <c r="BO32" s="9">
        <v>3820</v>
      </c>
      <c r="BP32" s="10">
        <f t="shared" si="37"/>
        <v>9470</v>
      </c>
      <c r="BQ32" s="9">
        <v>3504</v>
      </c>
      <c r="BR32" s="9">
        <v>2765</v>
      </c>
      <c r="BS32" s="10">
        <f t="shared" si="118"/>
        <v>6269</v>
      </c>
      <c r="BT32" s="7">
        <f t="shared" si="38"/>
        <v>9154</v>
      </c>
      <c r="BU32" s="7">
        <f t="shared" si="38"/>
        <v>6585</v>
      </c>
      <c r="BV32" s="10">
        <f t="shared" si="119"/>
        <v>15739</v>
      </c>
      <c r="BW32" s="29">
        <f t="shared" si="133"/>
        <v>22.474834274490547</v>
      </c>
      <c r="BX32" s="29">
        <f t="shared" si="133"/>
        <v>24.155386816331024</v>
      </c>
      <c r="BY32" s="29">
        <f t="shared" si="133"/>
        <v>23.148652027474228</v>
      </c>
      <c r="BZ32" s="10">
        <f t="shared" si="39"/>
        <v>124488</v>
      </c>
      <c r="CA32" s="10">
        <f t="shared" si="39"/>
        <v>87512</v>
      </c>
      <c r="CB32" s="10">
        <f t="shared" si="40"/>
        <v>212000</v>
      </c>
      <c r="CC32" s="10">
        <f t="shared" si="41"/>
        <v>42814</v>
      </c>
      <c r="CD32" s="10">
        <f t="shared" si="41"/>
        <v>33093</v>
      </c>
      <c r="CE32" s="10">
        <f t="shared" si="42"/>
        <v>75907</v>
      </c>
      <c r="CF32" s="10">
        <f t="shared" si="120"/>
        <v>11186</v>
      </c>
      <c r="CG32" s="10">
        <f t="shared" si="120"/>
        <v>9454</v>
      </c>
      <c r="CH32" s="10">
        <f t="shared" si="121"/>
        <v>20640</v>
      </c>
      <c r="CI32" s="7">
        <f t="shared" si="43"/>
        <v>54000</v>
      </c>
      <c r="CJ32" s="7">
        <f t="shared" si="43"/>
        <v>42547</v>
      </c>
      <c r="CK32" s="10">
        <f t="shared" si="102"/>
        <v>96547</v>
      </c>
      <c r="CL32" s="29">
        <f t="shared" si="103"/>
        <v>43.37767495662233</v>
      </c>
      <c r="CM32" s="29">
        <f t="shared" si="103"/>
        <v>48.61847518054667</v>
      </c>
      <c r="CN32" s="29">
        <f t="shared" si="103"/>
        <v>45.54103773584905</v>
      </c>
      <c r="CO32" s="9">
        <v>58533</v>
      </c>
      <c r="CP32" s="9">
        <v>63895</v>
      </c>
      <c r="CQ32" s="10">
        <f t="shared" si="160"/>
        <v>122428</v>
      </c>
      <c r="CR32" s="9">
        <v>30166</v>
      </c>
      <c r="CS32" s="9">
        <v>30413</v>
      </c>
      <c r="CT32" s="10">
        <f t="shared" si="159"/>
        <v>60579</v>
      </c>
      <c r="CU32" s="9">
        <v>5350</v>
      </c>
      <c r="CV32" s="9">
        <v>6522</v>
      </c>
      <c r="CW32" s="10">
        <f t="shared" si="122"/>
        <v>11872</v>
      </c>
      <c r="CX32" s="7">
        <f t="shared" si="45"/>
        <v>35516</v>
      </c>
      <c r="CY32" s="7">
        <f t="shared" si="46"/>
        <v>36935</v>
      </c>
      <c r="CZ32" s="10">
        <f t="shared" si="104"/>
        <v>72451</v>
      </c>
      <c r="DA32" s="29">
        <f t="shared" si="105"/>
        <v>60.67688312575812</v>
      </c>
      <c r="DB32" s="29">
        <f t="shared" si="106"/>
        <v>57.80577509977306</v>
      </c>
      <c r="DC32" s="29">
        <f t="shared" si="107"/>
        <v>59.178455908779036</v>
      </c>
      <c r="DD32" s="9">
        <v>43684</v>
      </c>
      <c r="DE32" s="9">
        <v>33626</v>
      </c>
      <c r="DF32" s="10">
        <f t="shared" si="48"/>
        <v>77310</v>
      </c>
      <c r="DG32" s="9">
        <v>6413</v>
      </c>
      <c r="DH32" s="9">
        <v>4568</v>
      </c>
      <c r="DI32" s="10">
        <f t="shared" si="49"/>
        <v>10981</v>
      </c>
      <c r="DJ32" s="9">
        <v>3692</v>
      </c>
      <c r="DK32" s="9">
        <v>2910</v>
      </c>
      <c r="DL32" s="6">
        <f t="shared" si="123"/>
        <v>6602</v>
      </c>
      <c r="DM32" s="7">
        <f t="shared" si="124"/>
        <v>10105</v>
      </c>
      <c r="DN32" s="7">
        <f t="shared" si="125"/>
        <v>7478</v>
      </c>
      <c r="DO32" s="10">
        <f t="shared" si="126"/>
        <v>17583</v>
      </c>
      <c r="DP32" s="29">
        <f t="shared" si="127"/>
        <v>23.132039190550316</v>
      </c>
      <c r="DQ32" s="29">
        <f t="shared" si="128"/>
        <v>22.238743829179803</v>
      </c>
      <c r="DR32" s="29">
        <f t="shared" si="129"/>
        <v>22.743500194024058</v>
      </c>
      <c r="DS32" s="10">
        <f t="shared" si="140"/>
        <v>102217</v>
      </c>
      <c r="DT32" s="10">
        <f t="shared" si="141"/>
        <v>97521</v>
      </c>
      <c r="DU32" s="10">
        <f t="shared" si="142"/>
        <v>199738</v>
      </c>
      <c r="DV32" s="10">
        <f t="shared" si="143"/>
        <v>36579</v>
      </c>
      <c r="DW32" s="10">
        <f t="shared" si="144"/>
        <v>34981</v>
      </c>
      <c r="DX32" s="10">
        <f t="shared" si="145"/>
        <v>71560</v>
      </c>
      <c r="DY32" s="10">
        <f t="shared" si="146"/>
        <v>9042</v>
      </c>
      <c r="DZ32" s="10">
        <f t="shared" si="147"/>
        <v>9432</v>
      </c>
      <c r="EA32" s="10">
        <f t="shared" si="148"/>
        <v>18474</v>
      </c>
      <c r="EB32" s="8">
        <f t="shared" si="149"/>
        <v>45621</v>
      </c>
      <c r="EC32" s="8">
        <f t="shared" si="150"/>
        <v>44413</v>
      </c>
      <c r="ED32" s="10">
        <f t="shared" si="151"/>
        <v>90034</v>
      </c>
      <c r="EE32" s="29">
        <f t="shared" si="152"/>
        <v>44.63151921891662</v>
      </c>
      <c r="EF32" s="29">
        <f t="shared" si="153"/>
        <v>45.541985828693306</v>
      </c>
      <c r="EG32" s="29">
        <f t="shared" si="154"/>
        <v>45.076049625008764</v>
      </c>
      <c r="EH32" s="20">
        <f t="shared" si="108"/>
        <v>326292</v>
      </c>
      <c r="EI32" s="20">
        <f t="shared" si="109"/>
        <v>292662</v>
      </c>
      <c r="EJ32" s="20">
        <f t="shared" si="110"/>
        <v>618954</v>
      </c>
      <c r="EK32" s="42">
        <v>35224</v>
      </c>
      <c r="EL32" s="42">
        <v>35123</v>
      </c>
      <c r="EM32" s="20">
        <f t="shared" si="60"/>
        <v>70347</v>
      </c>
      <c r="EN32" s="20">
        <v>75043</v>
      </c>
      <c r="EO32" s="20">
        <v>70814</v>
      </c>
      <c r="EP32" s="20">
        <f t="shared" si="61"/>
        <v>145857</v>
      </c>
      <c r="EQ32" s="53">
        <f t="shared" si="62"/>
        <v>10.795238620622019</v>
      </c>
      <c r="ER32" s="53">
        <f t="shared" si="63"/>
        <v>12.001216420307387</v>
      </c>
      <c r="ES32" s="53">
        <f t="shared" si="64"/>
        <v>11.365464961855</v>
      </c>
      <c r="ET32" s="41">
        <f t="shared" si="65"/>
        <v>22.998725068343692</v>
      </c>
      <c r="EU32" s="41">
        <f t="shared" si="66"/>
        <v>24.196513384040294</v>
      </c>
      <c r="EV32" s="41">
        <f t="shared" si="67"/>
        <v>23.56507914966217</v>
      </c>
      <c r="EW32" s="20">
        <f t="shared" si="68"/>
        <v>54000</v>
      </c>
      <c r="EX32" s="20">
        <f t="shared" si="69"/>
        <v>42547</v>
      </c>
      <c r="EY32" s="20">
        <f t="shared" si="70"/>
        <v>96547</v>
      </c>
      <c r="EZ32" s="42">
        <v>4327</v>
      </c>
      <c r="FA32" s="42">
        <v>3325</v>
      </c>
      <c r="FB32" s="20">
        <f t="shared" si="71"/>
        <v>7652</v>
      </c>
      <c r="FC32" s="20">
        <v>11688</v>
      </c>
      <c r="FD32" s="20">
        <v>9394</v>
      </c>
      <c r="FE32" s="20">
        <f t="shared" si="72"/>
        <v>21082</v>
      </c>
      <c r="FF32" s="53">
        <f t="shared" si="73"/>
        <v>8.012962962962963</v>
      </c>
      <c r="FG32" s="53">
        <f t="shared" si="74"/>
        <v>7.8148870660681125</v>
      </c>
      <c r="FH32" s="53">
        <f t="shared" si="75"/>
        <v>7.92567350616798</v>
      </c>
      <c r="FI32" s="41">
        <f t="shared" si="76"/>
        <v>21.644444444444446</v>
      </c>
      <c r="FJ32" s="41">
        <f t="shared" si="77"/>
        <v>22.07911251087033</v>
      </c>
      <c r="FK32" s="41">
        <f t="shared" si="78"/>
        <v>21.835996975566303</v>
      </c>
      <c r="FL32" s="20">
        <f t="shared" si="155"/>
        <v>45621</v>
      </c>
      <c r="FM32" s="20">
        <f t="shared" si="156"/>
        <v>44413</v>
      </c>
      <c r="FN32" s="20">
        <f t="shared" si="157"/>
        <v>90034</v>
      </c>
      <c r="FO32" s="42">
        <v>1875</v>
      </c>
      <c r="FP32" s="42">
        <v>1576</v>
      </c>
      <c r="FQ32" s="20">
        <f t="shared" si="82"/>
        <v>3451</v>
      </c>
      <c r="FR32" s="20">
        <v>7808</v>
      </c>
      <c r="FS32" s="20">
        <v>7119</v>
      </c>
      <c r="FT32" s="20">
        <f t="shared" si="83"/>
        <v>14927</v>
      </c>
      <c r="FU32" s="53">
        <f t="shared" si="158"/>
        <v>4.109949365423818</v>
      </c>
      <c r="FV32" s="53">
        <f t="shared" si="84"/>
        <v>3.5485105712291447</v>
      </c>
      <c r="FW32" s="53">
        <f t="shared" si="85"/>
        <v>3.8329964235733165</v>
      </c>
      <c r="FX32" s="41">
        <f t="shared" si="86"/>
        <v>17.114925144122225</v>
      </c>
      <c r="FY32" s="41">
        <f t="shared" si="87"/>
        <v>16.029090581586473</v>
      </c>
      <c r="FZ32" s="41">
        <f t="shared" si="88"/>
        <v>16.579292267365663</v>
      </c>
    </row>
    <row r="33" spans="1:182" ht="29.25" customHeight="1">
      <c r="A33" s="3">
        <v>24</v>
      </c>
      <c r="B33" s="70" t="s">
        <v>75</v>
      </c>
      <c r="C33" s="7">
        <v>1036</v>
      </c>
      <c r="D33" s="7">
        <v>235</v>
      </c>
      <c r="E33" s="16">
        <f t="shared" si="131"/>
        <v>1271</v>
      </c>
      <c r="F33" s="7">
        <v>400</v>
      </c>
      <c r="G33" s="7">
        <v>37</v>
      </c>
      <c r="H33" s="8">
        <f t="shared" si="22"/>
        <v>437</v>
      </c>
      <c r="I33" s="9">
        <v>176</v>
      </c>
      <c r="J33" s="9">
        <v>21</v>
      </c>
      <c r="K33" s="11">
        <f t="shared" si="113"/>
        <v>197</v>
      </c>
      <c r="L33" s="7">
        <f t="shared" si="23"/>
        <v>576</v>
      </c>
      <c r="M33" s="7">
        <f t="shared" si="23"/>
        <v>58</v>
      </c>
      <c r="N33" s="7">
        <f t="shared" si="23"/>
        <v>634</v>
      </c>
      <c r="O33" s="29">
        <f t="shared" si="20"/>
        <v>55.5984555984556</v>
      </c>
      <c r="P33" s="29">
        <f t="shared" si="20"/>
        <v>24.680851063829788</v>
      </c>
      <c r="Q33" s="29">
        <f t="shared" si="20"/>
        <v>49.88198269079465</v>
      </c>
      <c r="R33" s="99"/>
      <c r="S33" s="99"/>
      <c r="T33" s="101"/>
      <c r="U33" s="99"/>
      <c r="V33" s="99"/>
      <c r="W33" s="101"/>
      <c r="X33" s="96"/>
      <c r="Y33" s="96"/>
      <c r="Z33" s="97"/>
      <c r="AA33" s="99"/>
      <c r="AB33" s="99"/>
      <c r="AC33" s="97"/>
      <c r="AD33" s="100"/>
      <c r="AE33" s="100"/>
      <c r="AF33" s="100"/>
      <c r="AG33" s="10">
        <f>C33+R33</f>
        <v>1036</v>
      </c>
      <c r="AH33" s="10">
        <f>D33+S33</f>
        <v>235</v>
      </c>
      <c r="AI33" s="10">
        <f>AG33+AH33</f>
        <v>1271</v>
      </c>
      <c r="AJ33" s="10">
        <f>F33+U33</f>
        <v>400</v>
      </c>
      <c r="AK33" s="10">
        <f>G33+V33</f>
        <v>37</v>
      </c>
      <c r="AL33" s="10">
        <f>AJ33+AK33</f>
        <v>437</v>
      </c>
      <c r="AM33" s="10">
        <f>I33+X33</f>
        <v>176</v>
      </c>
      <c r="AN33" s="10">
        <f>J33+Y33</f>
        <v>21</v>
      </c>
      <c r="AO33" s="10">
        <f>AM33+AN33</f>
        <v>197</v>
      </c>
      <c r="AP33" s="7">
        <f>SUM(AJ33,AM33)</f>
        <v>576</v>
      </c>
      <c r="AQ33" s="7">
        <f>SUM(AK33,AN33)</f>
        <v>58</v>
      </c>
      <c r="AR33" s="10">
        <f>SUM(AP33,AQ33)</f>
        <v>634</v>
      </c>
      <c r="AS33" s="29">
        <f>IF(AG33=0,"",AP33/AG33*100)</f>
        <v>55.5984555984556</v>
      </c>
      <c r="AT33" s="29">
        <f>IF(AH33=0,"",AQ33/AH33*100)</f>
        <v>24.680851063829788</v>
      </c>
      <c r="AU33" s="29">
        <f>IF(AI33=0,"",AR33/AI33*100)</f>
        <v>49.88198269079465</v>
      </c>
      <c r="AV33" s="9">
        <v>63</v>
      </c>
      <c r="AW33" s="9">
        <v>37</v>
      </c>
      <c r="AX33" s="10">
        <f t="shared" si="32"/>
        <v>100</v>
      </c>
      <c r="AY33" s="9">
        <v>10</v>
      </c>
      <c r="AZ33" s="9">
        <v>12</v>
      </c>
      <c r="BA33" s="10">
        <f t="shared" si="33"/>
        <v>22</v>
      </c>
      <c r="BB33" s="9">
        <v>13</v>
      </c>
      <c r="BC33" s="9">
        <v>2</v>
      </c>
      <c r="BD33" s="10">
        <f t="shared" si="132"/>
        <v>15</v>
      </c>
      <c r="BE33" s="7">
        <f t="shared" si="34"/>
        <v>23</v>
      </c>
      <c r="BF33" s="7">
        <f t="shared" si="34"/>
        <v>14</v>
      </c>
      <c r="BG33" s="10">
        <f t="shared" si="100"/>
        <v>37</v>
      </c>
      <c r="BH33" s="29">
        <f t="shared" si="101"/>
        <v>36.507936507936506</v>
      </c>
      <c r="BI33" s="29">
        <f t="shared" si="101"/>
        <v>37.83783783783784</v>
      </c>
      <c r="BJ33" s="29">
        <f t="shared" si="101"/>
        <v>37</v>
      </c>
      <c r="BK33" s="96"/>
      <c r="BL33" s="96"/>
      <c r="BM33" s="97"/>
      <c r="BN33" s="96"/>
      <c r="BO33" s="96"/>
      <c r="BP33" s="97"/>
      <c r="BQ33" s="96"/>
      <c r="BR33" s="96"/>
      <c r="BS33" s="97"/>
      <c r="BT33" s="99"/>
      <c r="BU33" s="99"/>
      <c r="BV33" s="97"/>
      <c r="BW33" s="100"/>
      <c r="BX33" s="100"/>
      <c r="BY33" s="100"/>
      <c r="BZ33" s="10">
        <f>AV33+BK33</f>
        <v>63</v>
      </c>
      <c r="CA33" s="10">
        <f>AW33+BL33</f>
        <v>37</v>
      </c>
      <c r="CB33" s="10">
        <f>BZ33+CA33</f>
        <v>100</v>
      </c>
      <c r="CC33" s="10">
        <f>AY33+BN33</f>
        <v>10</v>
      </c>
      <c r="CD33" s="10">
        <f>AZ33+BO33</f>
        <v>12</v>
      </c>
      <c r="CE33" s="10">
        <f>CC33+CD33</f>
        <v>22</v>
      </c>
      <c r="CF33" s="10">
        <f>BB33+BQ33</f>
        <v>13</v>
      </c>
      <c r="CG33" s="10">
        <f>BC33+BR33</f>
        <v>2</v>
      </c>
      <c r="CH33" s="10">
        <f>CF33+CG33</f>
        <v>15</v>
      </c>
      <c r="CI33" s="7">
        <f>SUM(CC33,CF33)</f>
        <v>23</v>
      </c>
      <c r="CJ33" s="7">
        <f>SUM(CD33,CG33)</f>
        <v>14</v>
      </c>
      <c r="CK33" s="10">
        <f>SUM(CI33,CJ33)</f>
        <v>37</v>
      </c>
      <c r="CL33" s="29">
        <f>IF(BZ33=0,"",CI33/BZ33*100)</f>
        <v>36.507936507936506</v>
      </c>
      <c r="CM33" s="29">
        <f>IF(CA33=0,"",CJ33/CA33*100)</f>
        <v>37.83783783783784</v>
      </c>
      <c r="CN33" s="29">
        <f>IF(CB33=0,"",CK33/CB33*100)</f>
        <v>37</v>
      </c>
      <c r="CO33" s="9">
        <v>13</v>
      </c>
      <c r="CP33" s="9">
        <v>38</v>
      </c>
      <c r="CQ33" s="10">
        <f t="shared" si="160"/>
        <v>51</v>
      </c>
      <c r="CR33" s="9">
        <v>1</v>
      </c>
      <c r="CS33" s="9">
        <v>4</v>
      </c>
      <c r="CT33" s="10">
        <f t="shared" si="159"/>
        <v>5</v>
      </c>
      <c r="CU33" s="9">
        <v>0</v>
      </c>
      <c r="CV33" s="9">
        <v>2</v>
      </c>
      <c r="CW33" s="10">
        <f t="shared" si="122"/>
        <v>2</v>
      </c>
      <c r="CX33" s="7">
        <f t="shared" si="45"/>
        <v>1</v>
      </c>
      <c r="CY33" s="7">
        <f t="shared" si="46"/>
        <v>6</v>
      </c>
      <c r="CZ33" s="10">
        <f t="shared" si="104"/>
        <v>7</v>
      </c>
      <c r="DA33" s="29">
        <f t="shared" si="105"/>
        <v>7.6923076923076925</v>
      </c>
      <c r="DB33" s="29">
        <f t="shared" si="106"/>
        <v>15.789473684210526</v>
      </c>
      <c r="DC33" s="29">
        <f t="shared" si="107"/>
        <v>13.725490196078432</v>
      </c>
      <c r="DD33" s="96"/>
      <c r="DE33" s="96"/>
      <c r="DF33" s="97"/>
      <c r="DG33" s="96"/>
      <c r="DH33" s="96"/>
      <c r="DI33" s="97"/>
      <c r="DJ33" s="96"/>
      <c r="DK33" s="96"/>
      <c r="DL33" s="98"/>
      <c r="DM33" s="99"/>
      <c r="DN33" s="99"/>
      <c r="DO33" s="97"/>
      <c r="DP33" s="100"/>
      <c r="DQ33" s="100"/>
      <c r="DR33" s="100"/>
      <c r="DS33" s="10">
        <f>CO33+DD33</f>
        <v>13</v>
      </c>
      <c r="DT33" s="10">
        <f>CP33+DE33</f>
        <v>38</v>
      </c>
      <c r="DU33" s="10">
        <f>DS33+DT33</f>
        <v>51</v>
      </c>
      <c r="DV33" s="10">
        <f>CR33+DG33</f>
        <v>1</v>
      </c>
      <c r="DW33" s="10">
        <f>CS33+DH33</f>
        <v>4</v>
      </c>
      <c r="DX33" s="10">
        <f>DV33+DW33</f>
        <v>5</v>
      </c>
      <c r="DY33" s="10">
        <f>CU33+DJ33</f>
        <v>0</v>
      </c>
      <c r="DZ33" s="10">
        <f>CV33+DK33</f>
        <v>2</v>
      </c>
      <c r="EA33" s="10">
        <f>DY33+DZ33</f>
        <v>2</v>
      </c>
      <c r="EB33" s="8">
        <f>SUM(DV33,DY33)</f>
        <v>1</v>
      </c>
      <c r="EC33" s="8">
        <f>SUM(DW33,DZ33)</f>
        <v>6</v>
      </c>
      <c r="ED33" s="10">
        <f>SUM(EB33,EC33)</f>
        <v>7</v>
      </c>
      <c r="EE33" s="29">
        <f>IF(DS33=0,"",EB33/DS33*100)</f>
        <v>7.6923076923076925</v>
      </c>
      <c r="EF33" s="29">
        <f>IF(DT33=0,"",EC33/DT33*100)</f>
        <v>15.789473684210526</v>
      </c>
      <c r="EG33" s="29">
        <f>IF(DU33=0,"",ED33/DU33*100)</f>
        <v>13.725490196078432</v>
      </c>
      <c r="EH33" s="20">
        <f t="shared" si="108"/>
        <v>576</v>
      </c>
      <c r="EI33" s="20">
        <f>AQ33</f>
        <v>58</v>
      </c>
      <c r="EJ33" s="20">
        <f>AR33</f>
        <v>634</v>
      </c>
      <c r="EK33" s="101"/>
      <c r="EL33" s="101"/>
      <c r="EM33" s="20">
        <v>19</v>
      </c>
      <c r="EN33" s="101"/>
      <c r="EO33" s="101"/>
      <c r="EP33" s="20">
        <v>55</v>
      </c>
      <c r="EQ33" s="100"/>
      <c r="ER33" s="100"/>
      <c r="ES33" s="53">
        <f t="shared" si="64"/>
        <v>2.996845425867508</v>
      </c>
      <c r="ET33" s="102"/>
      <c r="EU33" s="102"/>
      <c r="EV33" s="41">
        <f t="shared" si="67"/>
        <v>8.675078864353312</v>
      </c>
      <c r="EW33" s="20">
        <f>CI33</f>
        <v>23</v>
      </c>
      <c r="EX33" s="20">
        <f>CJ33</f>
        <v>14</v>
      </c>
      <c r="EY33" s="20">
        <f>CK33</f>
        <v>37</v>
      </c>
      <c r="EZ33" s="101"/>
      <c r="FA33" s="101"/>
      <c r="FB33" s="101"/>
      <c r="FC33" s="101"/>
      <c r="FD33" s="101"/>
      <c r="FE33" s="101"/>
      <c r="FF33" s="100"/>
      <c r="FG33" s="100"/>
      <c r="FH33" s="100"/>
      <c r="FI33" s="102"/>
      <c r="FJ33" s="102"/>
      <c r="FK33" s="102"/>
      <c r="FL33" s="20">
        <f>EB33</f>
        <v>1</v>
      </c>
      <c r="FM33" s="20">
        <f>EC33</f>
        <v>6</v>
      </c>
      <c r="FN33" s="20">
        <f>ED33</f>
        <v>7</v>
      </c>
      <c r="FO33" s="101"/>
      <c r="FP33" s="101"/>
      <c r="FQ33" s="101"/>
      <c r="FR33" s="101"/>
      <c r="FS33" s="101"/>
      <c r="FT33" s="101"/>
      <c r="FU33" s="100"/>
      <c r="FV33" s="100"/>
      <c r="FW33" s="100"/>
      <c r="FX33" s="102"/>
      <c r="FY33" s="102"/>
      <c r="FZ33" s="102"/>
    </row>
    <row r="34" spans="1:182" ht="29.25" customHeight="1">
      <c r="A34" s="3">
        <v>25</v>
      </c>
      <c r="B34" s="5" t="s">
        <v>27</v>
      </c>
      <c r="C34" s="7">
        <v>16092</v>
      </c>
      <c r="D34" s="7">
        <v>15657</v>
      </c>
      <c r="E34" s="16">
        <f t="shared" si="131"/>
        <v>31749</v>
      </c>
      <c r="F34" s="7">
        <v>11053</v>
      </c>
      <c r="G34" s="7">
        <v>9700</v>
      </c>
      <c r="H34" s="8">
        <f t="shared" si="22"/>
        <v>20753</v>
      </c>
      <c r="I34" s="6">
        <v>2139</v>
      </c>
      <c r="J34" s="6">
        <v>2334</v>
      </c>
      <c r="K34" s="11">
        <f t="shared" si="113"/>
        <v>4473</v>
      </c>
      <c r="L34" s="7">
        <f t="shared" si="23"/>
        <v>13192</v>
      </c>
      <c r="M34" s="7">
        <f t="shared" si="23"/>
        <v>12034</v>
      </c>
      <c r="N34" s="7">
        <f t="shared" si="23"/>
        <v>25226</v>
      </c>
      <c r="O34" s="29">
        <f t="shared" si="20"/>
        <v>81.97862291822024</v>
      </c>
      <c r="P34" s="29">
        <f t="shared" si="20"/>
        <v>76.86019033020375</v>
      </c>
      <c r="Q34" s="29">
        <f t="shared" si="20"/>
        <v>79.45447100696084</v>
      </c>
      <c r="R34" s="7">
        <v>135</v>
      </c>
      <c r="S34" s="7">
        <v>69</v>
      </c>
      <c r="T34" s="8">
        <f t="shared" si="111"/>
        <v>204</v>
      </c>
      <c r="U34" s="7">
        <v>24</v>
      </c>
      <c r="V34" s="7">
        <v>5</v>
      </c>
      <c r="W34" s="8">
        <f t="shared" si="24"/>
        <v>29</v>
      </c>
      <c r="X34" s="9">
        <v>10</v>
      </c>
      <c r="Y34" s="9">
        <v>1</v>
      </c>
      <c r="Z34" s="10">
        <f t="shared" si="114"/>
        <v>11</v>
      </c>
      <c r="AA34" s="7">
        <f t="shared" si="25"/>
        <v>34</v>
      </c>
      <c r="AB34" s="7">
        <f t="shared" si="25"/>
        <v>6</v>
      </c>
      <c r="AC34" s="10">
        <f t="shared" si="115"/>
        <v>40</v>
      </c>
      <c r="AD34" s="29">
        <f t="shared" si="112"/>
        <v>25.185185185185183</v>
      </c>
      <c r="AE34" s="29">
        <f t="shared" si="112"/>
        <v>8.695652173913043</v>
      </c>
      <c r="AF34" s="29">
        <f t="shared" si="112"/>
        <v>19.607843137254903</v>
      </c>
      <c r="AG34" s="10">
        <f t="shared" si="26"/>
        <v>16227</v>
      </c>
      <c r="AH34" s="10">
        <f t="shared" si="26"/>
        <v>15726</v>
      </c>
      <c r="AI34" s="10">
        <f t="shared" si="27"/>
        <v>31953</v>
      </c>
      <c r="AJ34" s="10">
        <f t="shared" si="28"/>
        <v>11077</v>
      </c>
      <c r="AK34" s="10">
        <f t="shared" si="28"/>
        <v>9705</v>
      </c>
      <c r="AL34" s="10">
        <f t="shared" si="29"/>
        <v>20782</v>
      </c>
      <c r="AM34" s="10">
        <f t="shared" si="116"/>
        <v>2149</v>
      </c>
      <c r="AN34" s="10">
        <f t="shared" si="116"/>
        <v>2335</v>
      </c>
      <c r="AO34" s="10">
        <f t="shared" si="117"/>
        <v>4484</v>
      </c>
      <c r="AP34" s="7">
        <f t="shared" si="30"/>
        <v>13226</v>
      </c>
      <c r="AQ34" s="7">
        <f t="shared" si="30"/>
        <v>12040</v>
      </c>
      <c r="AR34" s="10">
        <f t="shared" si="98"/>
        <v>25266</v>
      </c>
      <c r="AS34" s="29">
        <f t="shared" si="99"/>
        <v>81.50613175571578</v>
      </c>
      <c r="AT34" s="29">
        <f t="shared" si="99"/>
        <v>76.56110899147907</v>
      </c>
      <c r="AU34" s="29">
        <f t="shared" si="99"/>
        <v>79.07238756924232</v>
      </c>
      <c r="AV34" s="9">
        <v>578</v>
      </c>
      <c r="AW34" s="9">
        <v>577</v>
      </c>
      <c r="AX34" s="10">
        <f>AV34+AW34</f>
        <v>1155</v>
      </c>
      <c r="AY34" s="9">
        <v>440</v>
      </c>
      <c r="AZ34" s="9">
        <v>384</v>
      </c>
      <c r="BA34" s="10">
        <f>AY34+AZ34</f>
        <v>824</v>
      </c>
      <c r="BB34" s="6">
        <v>55</v>
      </c>
      <c r="BC34" s="6">
        <v>72</v>
      </c>
      <c r="BD34" s="10">
        <f t="shared" si="132"/>
        <v>127</v>
      </c>
      <c r="BE34" s="7">
        <f t="shared" si="34"/>
        <v>495</v>
      </c>
      <c r="BF34" s="7">
        <f t="shared" si="34"/>
        <v>456</v>
      </c>
      <c r="BG34" s="10">
        <f t="shared" si="100"/>
        <v>951</v>
      </c>
      <c r="BH34" s="29">
        <f t="shared" si="101"/>
        <v>85.6401384083045</v>
      </c>
      <c r="BI34" s="29">
        <f t="shared" si="101"/>
        <v>79.02946273830156</v>
      </c>
      <c r="BJ34" s="29">
        <f t="shared" si="101"/>
        <v>82.33766233766234</v>
      </c>
      <c r="BK34" s="9">
        <v>4</v>
      </c>
      <c r="BL34" s="9">
        <v>0</v>
      </c>
      <c r="BM34" s="10">
        <f t="shared" si="36"/>
        <v>4</v>
      </c>
      <c r="BN34" s="9">
        <v>0</v>
      </c>
      <c r="BO34" s="9">
        <v>0</v>
      </c>
      <c r="BP34" s="10">
        <f t="shared" si="37"/>
        <v>0</v>
      </c>
      <c r="BQ34" s="9">
        <v>1</v>
      </c>
      <c r="BR34" s="9">
        <v>0</v>
      </c>
      <c r="BS34" s="10">
        <f t="shared" si="118"/>
        <v>1</v>
      </c>
      <c r="BT34" s="7">
        <f t="shared" si="38"/>
        <v>1</v>
      </c>
      <c r="BU34" s="7">
        <f t="shared" si="38"/>
        <v>0</v>
      </c>
      <c r="BV34" s="10">
        <f t="shared" si="119"/>
        <v>1</v>
      </c>
      <c r="BW34" s="29">
        <f t="shared" si="133"/>
        <v>25</v>
      </c>
      <c r="BX34" s="29">
        <f t="shared" si="133"/>
      </c>
      <c r="BY34" s="29">
        <f t="shared" si="133"/>
        <v>25</v>
      </c>
      <c r="BZ34" s="10">
        <f t="shared" si="39"/>
        <v>582</v>
      </c>
      <c r="CA34" s="10">
        <f t="shared" si="39"/>
        <v>577</v>
      </c>
      <c r="CB34" s="10">
        <f t="shared" si="40"/>
        <v>1159</v>
      </c>
      <c r="CC34" s="10">
        <f t="shared" si="41"/>
        <v>440</v>
      </c>
      <c r="CD34" s="10">
        <f t="shared" si="41"/>
        <v>384</v>
      </c>
      <c r="CE34" s="10">
        <f t="shared" si="42"/>
        <v>824</v>
      </c>
      <c r="CF34" s="10">
        <f t="shared" si="120"/>
        <v>56</v>
      </c>
      <c r="CG34" s="10">
        <f t="shared" si="120"/>
        <v>72</v>
      </c>
      <c r="CH34" s="10">
        <f t="shared" si="121"/>
        <v>128</v>
      </c>
      <c r="CI34" s="7">
        <f t="shared" si="43"/>
        <v>496</v>
      </c>
      <c r="CJ34" s="7">
        <f t="shared" si="43"/>
        <v>456</v>
      </c>
      <c r="CK34" s="10">
        <f t="shared" si="102"/>
        <v>952</v>
      </c>
      <c r="CL34" s="29">
        <f t="shared" si="103"/>
        <v>85.2233676975945</v>
      </c>
      <c r="CM34" s="29">
        <f t="shared" si="103"/>
        <v>79.02946273830156</v>
      </c>
      <c r="CN34" s="29">
        <f t="shared" si="103"/>
        <v>82.13977566867989</v>
      </c>
      <c r="CO34" s="9">
        <v>6180</v>
      </c>
      <c r="CP34" s="9">
        <v>6287</v>
      </c>
      <c r="CQ34" s="10">
        <f t="shared" si="160"/>
        <v>12467</v>
      </c>
      <c r="CR34" s="9">
        <v>4128</v>
      </c>
      <c r="CS34" s="9">
        <v>3840</v>
      </c>
      <c r="CT34" s="10">
        <f t="shared" si="159"/>
        <v>7968</v>
      </c>
      <c r="CU34" s="6">
        <v>998</v>
      </c>
      <c r="CV34" s="6">
        <v>1075</v>
      </c>
      <c r="CW34" s="10">
        <f t="shared" si="122"/>
        <v>2073</v>
      </c>
      <c r="CX34" s="7">
        <f t="shared" si="45"/>
        <v>5126</v>
      </c>
      <c r="CY34" s="7">
        <f t="shared" si="46"/>
        <v>4915</v>
      </c>
      <c r="CZ34" s="10">
        <f t="shared" si="104"/>
        <v>10041</v>
      </c>
      <c r="DA34" s="29">
        <f t="shared" si="105"/>
        <v>82.94498381877023</v>
      </c>
      <c r="DB34" s="29">
        <f t="shared" si="106"/>
        <v>78.17719102910769</v>
      </c>
      <c r="DC34" s="29">
        <f t="shared" si="107"/>
        <v>80.54062725595573</v>
      </c>
      <c r="DD34" s="9">
        <v>28</v>
      </c>
      <c r="DE34" s="9">
        <v>13</v>
      </c>
      <c r="DF34" s="10">
        <f t="shared" si="48"/>
        <v>41</v>
      </c>
      <c r="DG34" s="9">
        <v>4</v>
      </c>
      <c r="DH34" s="9">
        <v>0</v>
      </c>
      <c r="DI34" s="10">
        <f t="shared" si="49"/>
        <v>4</v>
      </c>
      <c r="DJ34" s="6">
        <v>3</v>
      </c>
      <c r="DK34" s="6">
        <v>0</v>
      </c>
      <c r="DL34" s="6">
        <f t="shared" si="123"/>
        <v>3</v>
      </c>
      <c r="DM34" s="7">
        <f t="shared" si="124"/>
        <v>7</v>
      </c>
      <c r="DN34" s="7">
        <f t="shared" si="125"/>
        <v>0</v>
      </c>
      <c r="DO34" s="10">
        <f t="shared" si="126"/>
        <v>7</v>
      </c>
      <c r="DP34" s="29">
        <f t="shared" si="127"/>
        <v>25</v>
      </c>
      <c r="DQ34" s="29">
        <f t="shared" si="128"/>
        <v>0</v>
      </c>
      <c r="DR34" s="29">
        <f t="shared" si="129"/>
        <v>17.073170731707318</v>
      </c>
      <c r="DS34" s="10">
        <f t="shared" si="140"/>
        <v>6208</v>
      </c>
      <c r="DT34" s="10">
        <f t="shared" si="141"/>
        <v>6300</v>
      </c>
      <c r="DU34" s="10">
        <f t="shared" si="142"/>
        <v>12508</v>
      </c>
      <c r="DV34" s="10">
        <f t="shared" si="143"/>
        <v>4132</v>
      </c>
      <c r="DW34" s="10">
        <f t="shared" si="144"/>
        <v>3840</v>
      </c>
      <c r="DX34" s="10">
        <f t="shared" si="145"/>
        <v>7972</v>
      </c>
      <c r="DY34" s="10">
        <f t="shared" si="146"/>
        <v>1001</v>
      </c>
      <c r="DZ34" s="10">
        <f t="shared" si="147"/>
        <v>1075</v>
      </c>
      <c r="EA34" s="10">
        <f t="shared" si="148"/>
        <v>2076</v>
      </c>
      <c r="EB34" s="8">
        <f t="shared" si="149"/>
        <v>5133</v>
      </c>
      <c r="EC34" s="8">
        <f t="shared" si="150"/>
        <v>4915</v>
      </c>
      <c r="ED34" s="10">
        <f t="shared" si="151"/>
        <v>10048</v>
      </c>
      <c r="EE34" s="29">
        <f t="shared" si="152"/>
        <v>82.68363402061856</v>
      </c>
      <c r="EF34" s="29">
        <f t="shared" si="153"/>
        <v>78.01587301587301</v>
      </c>
      <c r="EG34" s="29">
        <f t="shared" si="154"/>
        <v>80.3325871442277</v>
      </c>
      <c r="EH34" s="20">
        <f t="shared" si="108"/>
        <v>13226</v>
      </c>
      <c r="EI34" s="20">
        <f t="shared" si="109"/>
        <v>12040</v>
      </c>
      <c r="EJ34" s="20">
        <f t="shared" si="110"/>
        <v>25266</v>
      </c>
      <c r="EK34" s="42">
        <v>502</v>
      </c>
      <c r="EL34" s="42">
        <v>417</v>
      </c>
      <c r="EM34" s="20">
        <f t="shared" si="60"/>
        <v>919</v>
      </c>
      <c r="EN34" s="20">
        <v>3200</v>
      </c>
      <c r="EO34" s="20">
        <v>2710</v>
      </c>
      <c r="EP34" s="20">
        <f t="shared" si="61"/>
        <v>5910</v>
      </c>
      <c r="EQ34" s="53">
        <f t="shared" si="62"/>
        <v>3.7955542114017846</v>
      </c>
      <c r="ER34" s="53">
        <f t="shared" si="63"/>
        <v>3.463455149501661</v>
      </c>
      <c r="ES34" s="53">
        <f t="shared" si="64"/>
        <v>3.6372991371804004</v>
      </c>
      <c r="ET34" s="41">
        <f t="shared" si="65"/>
        <v>24.19476788144564</v>
      </c>
      <c r="EU34" s="41">
        <f t="shared" si="66"/>
        <v>22.50830564784053</v>
      </c>
      <c r="EV34" s="41">
        <f t="shared" si="67"/>
        <v>23.391118499168844</v>
      </c>
      <c r="EW34" s="20">
        <f t="shared" si="68"/>
        <v>496</v>
      </c>
      <c r="EX34" s="20">
        <f t="shared" si="69"/>
        <v>456</v>
      </c>
      <c r="EY34" s="20">
        <f t="shared" si="70"/>
        <v>952</v>
      </c>
      <c r="EZ34" s="42">
        <v>17</v>
      </c>
      <c r="FA34" s="42">
        <v>24</v>
      </c>
      <c r="FB34" s="20">
        <f t="shared" si="71"/>
        <v>41</v>
      </c>
      <c r="FC34" s="20">
        <v>124</v>
      </c>
      <c r="FD34" s="20">
        <v>105</v>
      </c>
      <c r="FE34" s="20">
        <f t="shared" si="72"/>
        <v>229</v>
      </c>
      <c r="FF34" s="53">
        <f t="shared" si="73"/>
        <v>3.4274193548387095</v>
      </c>
      <c r="FG34" s="53">
        <f t="shared" si="74"/>
        <v>5.2631578947368425</v>
      </c>
      <c r="FH34" s="53">
        <f t="shared" si="75"/>
        <v>4.30672268907563</v>
      </c>
      <c r="FI34" s="41">
        <f t="shared" si="76"/>
        <v>25</v>
      </c>
      <c r="FJ34" s="41">
        <f t="shared" si="77"/>
        <v>23.026315789473685</v>
      </c>
      <c r="FK34" s="41">
        <f t="shared" si="78"/>
        <v>24.054621848739497</v>
      </c>
      <c r="FL34" s="20">
        <f t="shared" si="155"/>
        <v>5133</v>
      </c>
      <c r="FM34" s="20">
        <f t="shared" si="156"/>
        <v>4915</v>
      </c>
      <c r="FN34" s="20">
        <f t="shared" si="157"/>
        <v>10048</v>
      </c>
      <c r="FO34" s="42">
        <v>80</v>
      </c>
      <c r="FP34" s="42">
        <v>66</v>
      </c>
      <c r="FQ34" s="20">
        <f t="shared" si="82"/>
        <v>146</v>
      </c>
      <c r="FR34" s="20">
        <v>1152</v>
      </c>
      <c r="FS34" s="20">
        <v>1025</v>
      </c>
      <c r="FT34" s="20">
        <f>FR34+FS34</f>
        <v>2177</v>
      </c>
      <c r="FU34" s="53">
        <f aca="true" t="shared" si="161" ref="FU34:FU41">FO34/FL34%</f>
        <v>1.5585427625170467</v>
      </c>
      <c r="FV34" s="53">
        <f t="shared" si="84"/>
        <v>1.342828077314344</v>
      </c>
      <c r="FW34" s="53">
        <f t="shared" si="85"/>
        <v>1.4530254777070064</v>
      </c>
      <c r="FX34" s="41">
        <f t="shared" si="86"/>
        <v>22.44301578024547</v>
      </c>
      <c r="FY34" s="41">
        <f t="shared" si="87"/>
        <v>20.854526958290947</v>
      </c>
      <c r="FZ34" s="41">
        <f t="shared" si="88"/>
        <v>21.666003184713375</v>
      </c>
    </row>
    <row r="35" spans="1:182" s="80" customFormat="1" ht="29.25" customHeight="1">
      <c r="A35" s="3">
        <v>26</v>
      </c>
      <c r="B35" s="72" t="s">
        <v>71</v>
      </c>
      <c r="C35" s="73">
        <v>10427</v>
      </c>
      <c r="D35" s="73">
        <v>12184</v>
      </c>
      <c r="E35" s="74">
        <f t="shared" si="131"/>
        <v>22611</v>
      </c>
      <c r="F35" s="73">
        <v>8212</v>
      </c>
      <c r="G35" s="73">
        <v>9680</v>
      </c>
      <c r="H35" s="75">
        <f t="shared" si="22"/>
        <v>17892</v>
      </c>
      <c r="I35" s="105"/>
      <c r="J35" s="105"/>
      <c r="K35" s="106">
        <f t="shared" si="113"/>
        <v>0</v>
      </c>
      <c r="L35" s="73">
        <f t="shared" si="23"/>
        <v>8212</v>
      </c>
      <c r="M35" s="73">
        <f t="shared" si="23"/>
        <v>9680</v>
      </c>
      <c r="N35" s="73">
        <f t="shared" si="23"/>
        <v>17892</v>
      </c>
      <c r="O35" s="76">
        <f t="shared" si="20"/>
        <v>78.75707298360027</v>
      </c>
      <c r="P35" s="76">
        <f t="shared" si="20"/>
        <v>79.44845699277742</v>
      </c>
      <c r="Q35" s="76">
        <f t="shared" si="20"/>
        <v>79.1296271726151</v>
      </c>
      <c r="R35" s="73">
        <v>12990</v>
      </c>
      <c r="S35" s="73">
        <v>14525</v>
      </c>
      <c r="T35" s="75">
        <f t="shared" si="111"/>
        <v>27515</v>
      </c>
      <c r="U35" s="73">
        <v>4276</v>
      </c>
      <c r="V35" s="73">
        <v>4975</v>
      </c>
      <c r="W35" s="75">
        <f t="shared" si="24"/>
        <v>9251</v>
      </c>
      <c r="X35" s="105"/>
      <c r="Y35" s="105"/>
      <c r="Z35" s="107">
        <f t="shared" si="114"/>
        <v>0</v>
      </c>
      <c r="AA35" s="73">
        <f t="shared" si="25"/>
        <v>4276</v>
      </c>
      <c r="AB35" s="73">
        <f t="shared" si="25"/>
        <v>4975</v>
      </c>
      <c r="AC35" s="77">
        <f t="shared" si="115"/>
        <v>9251</v>
      </c>
      <c r="AD35" s="76">
        <f t="shared" si="112"/>
        <v>32.91762894534257</v>
      </c>
      <c r="AE35" s="76">
        <f t="shared" si="112"/>
        <v>34.251290877796905</v>
      </c>
      <c r="AF35" s="76">
        <f t="shared" si="112"/>
        <v>33.62166091222969</v>
      </c>
      <c r="AG35" s="77">
        <f t="shared" si="26"/>
        <v>23417</v>
      </c>
      <c r="AH35" s="77">
        <f t="shared" si="26"/>
        <v>26709</v>
      </c>
      <c r="AI35" s="77">
        <f t="shared" si="27"/>
        <v>50126</v>
      </c>
      <c r="AJ35" s="77">
        <f t="shared" si="28"/>
        <v>12488</v>
      </c>
      <c r="AK35" s="77">
        <f t="shared" si="28"/>
        <v>14655</v>
      </c>
      <c r="AL35" s="77">
        <f t="shared" si="29"/>
        <v>27143</v>
      </c>
      <c r="AM35" s="107">
        <f t="shared" si="116"/>
        <v>0</v>
      </c>
      <c r="AN35" s="107">
        <f t="shared" si="116"/>
        <v>0</v>
      </c>
      <c r="AO35" s="107">
        <f t="shared" si="117"/>
        <v>0</v>
      </c>
      <c r="AP35" s="73">
        <f t="shared" si="30"/>
        <v>12488</v>
      </c>
      <c r="AQ35" s="73">
        <f t="shared" si="30"/>
        <v>14655</v>
      </c>
      <c r="AR35" s="77">
        <f t="shared" si="98"/>
        <v>27143</v>
      </c>
      <c r="AS35" s="76">
        <f t="shared" si="99"/>
        <v>53.32877823803221</v>
      </c>
      <c r="AT35" s="76">
        <f t="shared" si="99"/>
        <v>54.86914523194428</v>
      </c>
      <c r="AU35" s="76">
        <f t="shared" si="99"/>
        <v>54.149543151258825</v>
      </c>
      <c r="AV35" s="78">
        <v>87</v>
      </c>
      <c r="AW35" s="78">
        <v>89</v>
      </c>
      <c r="AX35" s="77">
        <f t="shared" si="32"/>
        <v>176</v>
      </c>
      <c r="AY35" s="78">
        <v>74</v>
      </c>
      <c r="AZ35" s="78">
        <v>68</v>
      </c>
      <c r="BA35" s="77">
        <f t="shared" si="33"/>
        <v>142</v>
      </c>
      <c r="BB35" s="105"/>
      <c r="BC35" s="105"/>
      <c r="BD35" s="107">
        <f t="shared" si="132"/>
        <v>0</v>
      </c>
      <c r="BE35" s="73">
        <f t="shared" si="34"/>
        <v>74</v>
      </c>
      <c r="BF35" s="73">
        <f t="shared" si="34"/>
        <v>68</v>
      </c>
      <c r="BG35" s="77">
        <f t="shared" si="100"/>
        <v>142</v>
      </c>
      <c r="BH35" s="76">
        <f t="shared" si="101"/>
        <v>85.0574712643678</v>
      </c>
      <c r="BI35" s="76">
        <f t="shared" si="101"/>
        <v>76.40449438202246</v>
      </c>
      <c r="BJ35" s="76">
        <f t="shared" si="101"/>
        <v>80.68181818181817</v>
      </c>
      <c r="BK35" s="78">
        <v>57</v>
      </c>
      <c r="BL35" s="78">
        <v>45</v>
      </c>
      <c r="BM35" s="77">
        <f t="shared" si="36"/>
        <v>102</v>
      </c>
      <c r="BN35" s="78">
        <v>24</v>
      </c>
      <c r="BO35" s="78">
        <v>9</v>
      </c>
      <c r="BP35" s="77">
        <f t="shared" si="37"/>
        <v>33</v>
      </c>
      <c r="BQ35" s="105"/>
      <c r="BR35" s="105"/>
      <c r="BS35" s="107">
        <f t="shared" si="118"/>
        <v>0</v>
      </c>
      <c r="BT35" s="73">
        <f t="shared" si="38"/>
        <v>24</v>
      </c>
      <c r="BU35" s="73">
        <f t="shared" si="38"/>
        <v>9</v>
      </c>
      <c r="BV35" s="77">
        <f t="shared" si="119"/>
        <v>33</v>
      </c>
      <c r="BW35" s="76">
        <f t="shared" si="133"/>
        <v>42.10526315789473</v>
      </c>
      <c r="BX35" s="76">
        <f t="shared" si="133"/>
        <v>20</v>
      </c>
      <c r="BY35" s="76">
        <f t="shared" si="133"/>
        <v>32.35294117647059</v>
      </c>
      <c r="BZ35" s="77">
        <f t="shared" si="39"/>
        <v>144</v>
      </c>
      <c r="CA35" s="77">
        <f t="shared" si="39"/>
        <v>134</v>
      </c>
      <c r="CB35" s="77">
        <f t="shared" si="40"/>
        <v>278</v>
      </c>
      <c r="CC35" s="77">
        <f t="shared" si="41"/>
        <v>98</v>
      </c>
      <c r="CD35" s="77">
        <f t="shared" si="41"/>
        <v>77</v>
      </c>
      <c r="CE35" s="77">
        <f t="shared" si="42"/>
        <v>175</v>
      </c>
      <c r="CF35" s="107"/>
      <c r="CG35" s="107"/>
      <c r="CH35" s="107"/>
      <c r="CI35" s="73">
        <f t="shared" si="43"/>
        <v>98</v>
      </c>
      <c r="CJ35" s="73">
        <f t="shared" si="43"/>
        <v>77</v>
      </c>
      <c r="CK35" s="77">
        <f t="shared" si="102"/>
        <v>175</v>
      </c>
      <c r="CL35" s="76">
        <f t="shared" si="103"/>
        <v>68.05555555555556</v>
      </c>
      <c r="CM35" s="76">
        <f t="shared" si="103"/>
        <v>57.46268656716418</v>
      </c>
      <c r="CN35" s="76">
        <f t="shared" si="103"/>
        <v>62.94964028776978</v>
      </c>
      <c r="CO35" s="78">
        <v>9058</v>
      </c>
      <c r="CP35" s="78">
        <v>10934</v>
      </c>
      <c r="CQ35" s="77">
        <f t="shared" si="160"/>
        <v>19992</v>
      </c>
      <c r="CR35" s="78">
        <v>7039</v>
      </c>
      <c r="CS35" s="78">
        <v>8633</v>
      </c>
      <c r="CT35" s="77">
        <f>CR35+CS35</f>
        <v>15672</v>
      </c>
      <c r="CU35" s="105"/>
      <c r="CV35" s="105"/>
      <c r="CW35" s="107">
        <f t="shared" si="122"/>
        <v>0</v>
      </c>
      <c r="CX35" s="73">
        <f t="shared" si="45"/>
        <v>7039</v>
      </c>
      <c r="CY35" s="73">
        <f t="shared" si="46"/>
        <v>8633</v>
      </c>
      <c r="CZ35" s="77">
        <f t="shared" si="104"/>
        <v>15672</v>
      </c>
      <c r="DA35" s="76">
        <f t="shared" si="105"/>
        <v>77.71031132700375</v>
      </c>
      <c r="DB35" s="76">
        <f t="shared" si="106"/>
        <v>78.95555149076276</v>
      </c>
      <c r="DC35" s="76">
        <f t="shared" si="107"/>
        <v>78.39135654261705</v>
      </c>
      <c r="DD35" s="78">
        <v>12261</v>
      </c>
      <c r="DE35" s="78">
        <v>13896</v>
      </c>
      <c r="DF35" s="77">
        <f t="shared" si="48"/>
        <v>26157</v>
      </c>
      <c r="DG35" s="78">
        <v>3895</v>
      </c>
      <c r="DH35" s="78">
        <v>4643</v>
      </c>
      <c r="DI35" s="77">
        <f t="shared" si="49"/>
        <v>8538</v>
      </c>
      <c r="DJ35" s="105"/>
      <c r="DK35" s="105"/>
      <c r="DL35" s="105">
        <f t="shared" si="123"/>
        <v>0</v>
      </c>
      <c r="DM35" s="73">
        <f t="shared" si="124"/>
        <v>3895</v>
      </c>
      <c r="DN35" s="73">
        <f t="shared" si="125"/>
        <v>4643</v>
      </c>
      <c r="DO35" s="77">
        <f t="shared" si="126"/>
        <v>8538</v>
      </c>
      <c r="DP35" s="76">
        <f t="shared" si="127"/>
        <v>31.767392545469374</v>
      </c>
      <c r="DQ35" s="76">
        <f t="shared" si="128"/>
        <v>33.412492803684515</v>
      </c>
      <c r="DR35" s="76">
        <f t="shared" si="129"/>
        <v>32.641357953893795</v>
      </c>
      <c r="DS35" s="10">
        <f t="shared" si="140"/>
        <v>21319</v>
      </c>
      <c r="DT35" s="10">
        <f t="shared" si="141"/>
        <v>24830</v>
      </c>
      <c r="DU35" s="10">
        <f t="shared" si="142"/>
        <v>46149</v>
      </c>
      <c r="DV35" s="10">
        <f t="shared" si="143"/>
        <v>10934</v>
      </c>
      <c r="DW35" s="10">
        <f t="shared" si="144"/>
        <v>13276</v>
      </c>
      <c r="DX35" s="10">
        <f t="shared" si="145"/>
        <v>24210</v>
      </c>
      <c r="DY35" s="97">
        <f t="shared" si="146"/>
        <v>0</v>
      </c>
      <c r="DZ35" s="97">
        <f t="shared" si="147"/>
        <v>0</v>
      </c>
      <c r="EA35" s="97">
        <f t="shared" si="148"/>
        <v>0</v>
      </c>
      <c r="EB35" s="8">
        <f t="shared" si="149"/>
        <v>10934</v>
      </c>
      <c r="EC35" s="8">
        <f t="shared" si="150"/>
        <v>13276</v>
      </c>
      <c r="ED35" s="10">
        <f t="shared" si="151"/>
        <v>24210</v>
      </c>
      <c r="EE35" s="29">
        <f t="shared" si="152"/>
        <v>51.28758384539612</v>
      </c>
      <c r="EF35" s="29">
        <f t="shared" si="153"/>
        <v>53.46757954087798</v>
      </c>
      <c r="EG35" s="29">
        <f t="shared" si="154"/>
        <v>52.4605083533771</v>
      </c>
      <c r="EH35" s="75">
        <f t="shared" si="108"/>
        <v>12488</v>
      </c>
      <c r="EI35" s="75">
        <f t="shared" si="109"/>
        <v>14655</v>
      </c>
      <c r="EJ35" s="75">
        <f t="shared" si="110"/>
        <v>27143</v>
      </c>
      <c r="EK35" s="75">
        <v>619</v>
      </c>
      <c r="EL35" s="75">
        <v>694</v>
      </c>
      <c r="EM35" s="75">
        <f t="shared" si="60"/>
        <v>1313</v>
      </c>
      <c r="EN35" s="75">
        <v>2042</v>
      </c>
      <c r="EO35" s="75">
        <v>2292</v>
      </c>
      <c r="EP35" s="75">
        <f t="shared" si="61"/>
        <v>4334</v>
      </c>
      <c r="EQ35" s="76">
        <f t="shared" si="62"/>
        <v>4.956758488148623</v>
      </c>
      <c r="ER35" s="76">
        <f t="shared" si="63"/>
        <v>4.735585124530877</v>
      </c>
      <c r="ES35" s="76">
        <f t="shared" si="64"/>
        <v>4.837342961352835</v>
      </c>
      <c r="ET35" s="79">
        <f t="shared" si="65"/>
        <v>16.351697629724537</v>
      </c>
      <c r="EU35" s="79">
        <f t="shared" si="66"/>
        <v>15.639713408393039</v>
      </c>
      <c r="EV35" s="79">
        <f t="shared" si="67"/>
        <v>15.967284382713775</v>
      </c>
      <c r="EW35" s="75">
        <f t="shared" si="68"/>
        <v>98</v>
      </c>
      <c r="EX35" s="75">
        <f t="shared" si="69"/>
        <v>77</v>
      </c>
      <c r="EY35" s="75">
        <f t="shared" si="70"/>
        <v>175</v>
      </c>
      <c r="EZ35" s="75">
        <v>10</v>
      </c>
      <c r="FA35" s="75">
        <v>7</v>
      </c>
      <c r="FB35" s="75">
        <f t="shared" si="71"/>
        <v>17</v>
      </c>
      <c r="FC35" s="75">
        <v>21</v>
      </c>
      <c r="FD35" s="75">
        <v>18</v>
      </c>
      <c r="FE35" s="75">
        <f t="shared" si="72"/>
        <v>39</v>
      </c>
      <c r="FF35" s="76">
        <f t="shared" si="73"/>
        <v>10.204081632653061</v>
      </c>
      <c r="FG35" s="76">
        <f t="shared" si="74"/>
        <v>9.09090909090909</v>
      </c>
      <c r="FH35" s="76">
        <f t="shared" si="75"/>
        <v>9.714285714285714</v>
      </c>
      <c r="FI35" s="79">
        <f t="shared" si="76"/>
        <v>21.42857142857143</v>
      </c>
      <c r="FJ35" s="79">
        <f t="shared" si="77"/>
        <v>23.376623376623375</v>
      </c>
      <c r="FK35" s="79">
        <f t="shared" si="78"/>
        <v>22.285714285714285</v>
      </c>
      <c r="FL35" s="75">
        <f t="shared" si="155"/>
        <v>10934</v>
      </c>
      <c r="FM35" s="75">
        <f t="shared" si="156"/>
        <v>13276</v>
      </c>
      <c r="FN35" s="75">
        <f t="shared" si="157"/>
        <v>24210</v>
      </c>
      <c r="FO35" s="75">
        <v>453</v>
      </c>
      <c r="FP35" s="75">
        <v>539</v>
      </c>
      <c r="FQ35" s="75">
        <f t="shared" si="82"/>
        <v>992</v>
      </c>
      <c r="FR35" s="75">
        <v>1739</v>
      </c>
      <c r="FS35" s="75">
        <v>2014</v>
      </c>
      <c r="FT35" s="75">
        <f t="shared" si="83"/>
        <v>3753</v>
      </c>
      <c r="FU35" s="76">
        <f t="shared" si="161"/>
        <v>4.143040058533016</v>
      </c>
      <c r="FV35" s="76">
        <f t="shared" si="84"/>
        <v>4.059957818620067</v>
      </c>
      <c r="FW35" s="76">
        <f t="shared" si="85"/>
        <v>4.097480380008261</v>
      </c>
      <c r="FX35" s="79">
        <f t="shared" si="86"/>
        <v>15.904518017194073</v>
      </c>
      <c r="FY35" s="79">
        <f t="shared" si="87"/>
        <v>15.170231997589637</v>
      </c>
      <c r="FZ35" s="79">
        <f t="shared" si="88"/>
        <v>15.50185873605948</v>
      </c>
    </row>
    <row r="36" spans="1:182" ht="29.25" customHeight="1">
      <c r="A36" s="3">
        <v>27</v>
      </c>
      <c r="B36" s="4" t="s">
        <v>28</v>
      </c>
      <c r="C36" s="7">
        <v>8687</v>
      </c>
      <c r="D36" s="7">
        <v>8980</v>
      </c>
      <c r="E36" s="16">
        <f t="shared" si="131"/>
        <v>17667</v>
      </c>
      <c r="F36" s="7">
        <v>6081</v>
      </c>
      <c r="G36" s="7">
        <v>6184</v>
      </c>
      <c r="H36" s="8">
        <f t="shared" si="22"/>
        <v>12265</v>
      </c>
      <c r="I36" s="6">
        <v>191</v>
      </c>
      <c r="J36" s="6">
        <v>203</v>
      </c>
      <c r="K36" s="11">
        <f t="shared" si="113"/>
        <v>394</v>
      </c>
      <c r="L36" s="7">
        <f t="shared" si="23"/>
        <v>6272</v>
      </c>
      <c r="M36" s="7">
        <f t="shared" si="23"/>
        <v>6387</v>
      </c>
      <c r="N36" s="7">
        <f t="shared" si="23"/>
        <v>12659</v>
      </c>
      <c r="O36" s="29">
        <f t="shared" si="20"/>
        <v>72.19983883964545</v>
      </c>
      <c r="P36" s="29">
        <f t="shared" si="20"/>
        <v>71.12472160356347</v>
      </c>
      <c r="Q36" s="29">
        <f t="shared" si="20"/>
        <v>71.65336503084848</v>
      </c>
      <c r="R36" s="7">
        <v>232</v>
      </c>
      <c r="S36" s="7">
        <v>159</v>
      </c>
      <c r="T36" s="8">
        <f t="shared" si="111"/>
        <v>391</v>
      </c>
      <c r="U36" s="7">
        <v>106</v>
      </c>
      <c r="V36" s="7">
        <v>56</v>
      </c>
      <c r="W36" s="8">
        <f t="shared" si="24"/>
        <v>162</v>
      </c>
      <c r="X36" s="6">
        <v>7</v>
      </c>
      <c r="Y36" s="6">
        <v>4</v>
      </c>
      <c r="Z36" s="10">
        <f t="shared" si="114"/>
        <v>11</v>
      </c>
      <c r="AA36" s="7">
        <f t="shared" si="25"/>
        <v>113</v>
      </c>
      <c r="AB36" s="7">
        <f t="shared" si="25"/>
        <v>60</v>
      </c>
      <c r="AC36" s="10">
        <f t="shared" si="115"/>
        <v>173</v>
      </c>
      <c r="AD36" s="29">
        <f t="shared" si="112"/>
        <v>48.706896551724135</v>
      </c>
      <c r="AE36" s="29">
        <f t="shared" si="112"/>
        <v>37.735849056603776</v>
      </c>
      <c r="AF36" s="29">
        <f t="shared" si="112"/>
        <v>44.24552429667519</v>
      </c>
      <c r="AG36" s="10">
        <f t="shared" si="26"/>
        <v>8919</v>
      </c>
      <c r="AH36" s="10">
        <f t="shared" si="26"/>
        <v>9139</v>
      </c>
      <c r="AI36" s="10">
        <f t="shared" si="27"/>
        <v>18058</v>
      </c>
      <c r="AJ36" s="10">
        <f t="shared" si="28"/>
        <v>6187</v>
      </c>
      <c r="AK36" s="10">
        <f t="shared" si="28"/>
        <v>6240</v>
      </c>
      <c r="AL36" s="10">
        <f t="shared" si="29"/>
        <v>12427</v>
      </c>
      <c r="AM36" s="10">
        <f t="shared" si="116"/>
        <v>198</v>
      </c>
      <c r="AN36" s="10">
        <f t="shared" si="116"/>
        <v>207</v>
      </c>
      <c r="AO36" s="10">
        <f t="shared" si="117"/>
        <v>405</v>
      </c>
      <c r="AP36" s="7">
        <f t="shared" si="30"/>
        <v>6385</v>
      </c>
      <c r="AQ36" s="7">
        <f t="shared" si="30"/>
        <v>6447</v>
      </c>
      <c r="AR36" s="10">
        <f t="shared" si="98"/>
        <v>12832</v>
      </c>
      <c r="AS36" s="29">
        <f t="shared" si="99"/>
        <v>71.58874313263819</v>
      </c>
      <c r="AT36" s="29">
        <f t="shared" si="99"/>
        <v>70.54382317540212</v>
      </c>
      <c r="AU36" s="29">
        <f t="shared" si="99"/>
        <v>71.0599180418651</v>
      </c>
      <c r="AV36" s="9">
        <v>23</v>
      </c>
      <c r="AW36" s="9">
        <v>25</v>
      </c>
      <c r="AX36" s="10">
        <f t="shared" si="32"/>
        <v>48</v>
      </c>
      <c r="AY36" s="9">
        <v>14</v>
      </c>
      <c r="AZ36" s="9">
        <v>20</v>
      </c>
      <c r="BA36" s="10">
        <f t="shared" si="33"/>
        <v>34</v>
      </c>
      <c r="BB36" s="6">
        <v>0</v>
      </c>
      <c r="BC36" s="6">
        <v>1</v>
      </c>
      <c r="BD36" s="10">
        <f t="shared" si="132"/>
        <v>1</v>
      </c>
      <c r="BE36" s="7">
        <f t="shared" si="34"/>
        <v>14</v>
      </c>
      <c r="BF36" s="7">
        <f t="shared" si="34"/>
        <v>21</v>
      </c>
      <c r="BG36" s="10">
        <f t="shared" si="100"/>
        <v>35</v>
      </c>
      <c r="BH36" s="29">
        <f t="shared" si="101"/>
        <v>60.86956521739131</v>
      </c>
      <c r="BI36" s="29">
        <f t="shared" si="101"/>
        <v>84</v>
      </c>
      <c r="BJ36" s="29">
        <f t="shared" si="101"/>
        <v>72.91666666666666</v>
      </c>
      <c r="BK36" s="9">
        <v>0</v>
      </c>
      <c r="BL36" s="9">
        <v>1</v>
      </c>
      <c r="BM36" s="77">
        <f t="shared" si="36"/>
        <v>1</v>
      </c>
      <c r="BN36" s="9">
        <v>0</v>
      </c>
      <c r="BO36" s="9">
        <v>0</v>
      </c>
      <c r="BP36" s="77">
        <f t="shared" si="37"/>
        <v>0</v>
      </c>
      <c r="BQ36" s="6">
        <v>0</v>
      </c>
      <c r="BR36" s="6">
        <v>0</v>
      </c>
      <c r="BS36" s="10">
        <f t="shared" si="118"/>
        <v>0</v>
      </c>
      <c r="BT36" s="73">
        <f>SUM(BN36,BQ36)</f>
        <v>0</v>
      </c>
      <c r="BU36" s="73">
        <f>SUM(BO36,BR36)</f>
        <v>0</v>
      </c>
      <c r="BV36" s="77">
        <f>SUM(BT36,BU36)</f>
        <v>0</v>
      </c>
      <c r="BW36" s="168">
        <f t="shared" si="133"/>
      </c>
      <c r="BX36" s="76">
        <f aca="true" t="shared" si="162" ref="BX36:BY40">IF(BL36=0,"",BU36/BL36*100)</f>
        <v>0</v>
      </c>
      <c r="BY36" s="76">
        <f t="shared" si="162"/>
        <v>0</v>
      </c>
      <c r="BZ36" s="10">
        <f t="shared" si="39"/>
        <v>23</v>
      </c>
      <c r="CA36" s="10">
        <f t="shared" si="39"/>
        <v>26</v>
      </c>
      <c r="CB36" s="10">
        <f t="shared" si="40"/>
        <v>49</v>
      </c>
      <c r="CC36" s="10">
        <f t="shared" si="41"/>
        <v>14</v>
      </c>
      <c r="CD36" s="10">
        <f t="shared" si="41"/>
        <v>20</v>
      </c>
      <c r="CE36" s="10">
        <f t="shared" si="42"/>
        <v>34</v>
      </c>
      <c r="CF36" s="10">
        <f t="shared" si="120"/>
        <v>0</v>
      </c>
      <c r="CG36" s="10">
        <f t="shared" si="120"/>
        <v>1</v>
      </c>
      <c r="CH36" s="10">
        <f t="shared" si="121"/>
        <v>1</v>
      </c>
      <c r="CI36" s="7">
        <f t="shared" si="43"/>
        <v>14</v>
      </c>
      <c r="CJ36" s="7">
        <f t="shared" si="43"/>
        <v>21</v>
      </c>
      <c r="CK36" s="10">
        <f t="shared" si="102"/>
        <v>35</v>
      </c>
      <c r="CL36" s="29">
        <f t="shared" si="103"/>
        <v>60.86956521739131</v>
      </c>
      <c r="CM36" s="29">
        <f t="shared" si="103"/>
        <v>80.76923076923077</v>
      </c>
      <c r="CN36" s="29">
        <f t="shared" si="103"/>
        <v>71.42857142857143</v>
      </c>
      <c r="CO36" s="9">
        <v>8194</v>
      </c>
      <c r="CP36" s="9">
        <v>8603</v>
      </c>
      <c r="CQ36" s="10">
        <f t="shared" si="160"/>
        <v>16797</v>
      </c>
      <c r="CR36" s="9">
        <v>5984</v>
      </c>
      <c r="CS36" s="9">
        <v>6094</v>
      </c>
      <c r="CT36" s="10">
        <f aca="true" t="shared" si="163" ref="CT36:CT50">CR36+CS36</f>
        <v>12078</v>
      </c>
      <c r="CU36" s="6">
        <v>182</v>
      </c>
      <c r="CV36" s="6">
        <v>200</v>
      </c>
      <c r="CW36" s="10">
        <f t="shared" si="122"/>
        <v>382</v>
      </c>
      <c r="CX36" s="7">
        <f t="shared" si="45"/>
        <v>6166</v>
      </c>
      <c r="CY36" s="7">
        <f t="shared" si="46"/>
        <v>6294</v>
      </c>
      <c r="CZ36" s="10">
        <f t="shared" si="104"/>
        <v>12460</v>
      </c>
      <c r="DA36" s="29">
        <f t="shared" si="105"/>
        <v>75.25018306077618</v>
      </c>
      <c r="DB36" s="29">
        <f t="shared" si="106"/>
        <v>73.16052539811693</v>
      </c>
      <c r="DC36" s="29">
        <f t="shared" si="107"/>
        <v>74.17991307971661</v>
      </c>
      <c r="DD36" s="9">
        <v>232</v>
      </c>
      <c r="DE36" s="9">
        <v>156</v>
      </c>
      <c r="DF36" s="10">
        <f t="shared" si="48"/>
        <v>388</v>
      </c>
      <c r="DG36" s="9">
        <v>106</v>
      </c>
      <c r="DH36" s="9">
        <v>56</v>
      </c>
      <c r="DI36" s="10">
        <f t="shared" si="49"/>
        <v>162</v>
      </c>
      <c r="DJ36" s="6">
        <v>7</v>
      </c>
      <c r="DK36" s="6">
        <v>4</v>
      </c>
      <c r="DL36" s="6">
        <f t="shared" si="123"/>
        <v>11</v>
      </c>
      <c r="DM36" s="7">
        <f t="shared" si="124"/>
        <v>113</v>
      </c>
      <c r="DN36" s="7">
        <f t="shared" si="125"/>
        <v>60</v>
      </c>
      <c r="DO36" s="10">
        <f t="shared" si="126"/>
        <v>173</v>
      </c>
      <c r="DP36" s="29">
        <f t="shared" si="127"/>
        <v>48.706896551724135</v>
      </c>
      <c r="DQ36" s="29">
        <f t="shared" si="128"/>
        <v>38.46153846153847</v>
      </c>
      <c r="DR36" s="29">
        <f t="shared" si="129"/>
        <v>44.58762886597938</v>
      </c>
      <c r="DS36" s="10">
        <f t="shared" si="140"/>
        <v>8426</v>
      </c>
      <c r="DT36" s="10">
        <f t="shared" si="141"/>
        <v>8759</v>
      </c>
      <c r="DU36" s="10">
        <f t="shared" si="142"/>
        <v>17185</v>
      </c>
      <c r="DV36" s="10">
        <f t="shared" si="143"/>
        <v>6090</v>
      </c>
      <c r="DW36" s="10">
        <f t="shared" si="144"/>
        <v>6150</v>
      </c>
      <c r="DX36" s="10">
        <f t="shared" si="145"/>
        <v>12240</v>
      </c>
      <c r="DY36" s="10">
        <f t="shared" si="146"/>
        <v>189</v>
      </c>
      <c r="DZ36" s="10">
        <f t="shared" si="147"/>
        <v>204</v>
      </c>
      <c r="EA36" s="10">
        <f t="shared" si="148"/>
        <v>393</v>
      </c>
      <c r="EB36" s="8">
        <f t="shared" si="149"/>
        <v>6279</v>
      </c>
      <c r="EC36" s="8">
        <f t="shared" si="150"/>
        <v>6354</v>
      </c>
      <c r="ED36" s="10">
        <f t="shared" si="151"/>
        <v>12633</v>
      </c>
      <c r="EE36" s="29">
        <f t="shared" si="152"/>
        <v>74.51934488488014</v>
      </c>
      <c r="EF36" s="29">
        <f t="shared" si="153"/>
        <v>72.54252768580888</v>
      </c>
      <c r="EG36" s="29">
        <f t="shared" si="154"/>
        <v>73.51178353215013</v>
      </c>
      <c r="EH36" s="20">
        <f t="shared" si="108"/>
        <v>6385</v>
      </c>
      <c r="EI36" s="20">
        <f t="shared" si="109"/>
        <v>6447</v>
      </c>
      <c r="EJ36" s="20">
        <f t="shared" si="110"/>
        <v>12832</v>
      </c>
      <c r="EK36" s="42">
        <v>303</v>
      </c>
      <c r="EL36" s="42">
        <v>308</v>
      </c>
      <c r="EM36" s="20">
        <f t="shared" si="60"/>
        <v>611</v>
      </c>
      <c r="EN36" s="20">
        <v>968</v>
      </c>
      <c r="EO36" s="20">
        <v>1022</v>
      </c>
      <c r="EP36" s="20">
        <f t="shared" si="61"/>
        <v>1990</v>
      </c>
      <c r="EQ36" s="53">
        <f t="shared" si="62"/>
        <v>4.745497259201253</v>
      </c>
      <c r="ER36" s="53">
        <f t="shared" si="63"/>
        <v>4.7774158523344195</v>
      </c>
      <c r="ES36" s="53">
        <f t="shared" si="64"/>
        <v>4.761533665835412</v>
      </c>
      <c r="ET36" s="41">
        <f t="shared" si="65"/>
        <v>15.160532498042286</v>
      </c>
      <c r="EU36" s="41">
        <f t="shared" si="66"/>
        <v>15.852334419109663</v>
      </c>
      <c r="EV36" s="41">
        <f t="shared" si="67"/>
        <v>15.508104738154614</v>
      </c>
      <c r="EW36" s="20">
        <f t="shared" si="68"/>
        <v>14</v>
      </c>
      <c r="EX36" s="20">
        <f t="shared" si="69"/>
        <v>21</v>
      </c>
      <c r="EY36" s="20">
        <f t="shared" si="70"/>
        <v>35</v>
      </c>
      <c r="EZ36" s="42">
        <v>3</v>
      </c>
      <c r="FA36" s="42">
        <v>4</v>
      </c>
      <c r="FB36" s="20">
        <f t="shared" si="71"/>
        <v>7</v>
      </c>
      <c r="FC36" s="20">
        <v>3</v>
      </c>
      <c r="FD36" s="20">
        <v>4</v>
      </c>
      <c r="FE36" s="20">
        <f t="shared" si="72"/>
        <v>7</v>
      </c>
      <c r="FF36" s="53">
        <f t="shared" si="73"/>
        <v>21.428571428571427</v>
      </c>
      <c r="FG36" s="53">
        <f t="shared" si="74"/>
        <v>19.047619047619047</v>
      </c>
      <c r="FH36" s="53">
        <f t="shared" si="75"/>
        <v>20</v>
      </c>
      <c r="FI36" s="41">
        <f t="shared" si="76"/>
        <v>21.428571428571427</v>
      </c>
      <c r="FJ36" s="41">
        <f t="shared" si="77"/>
        <v>19.047619047619047</v>
      </c>
      <c r="FK36" s="41">
        <f t="shared" si="78"/>
        <v>20</v>
      </c>
      <c r="FL36" s="20">
        <f t="shared" si="155"/>
        <v>6279</v>
      </c>
      <c r="FM36" s="20">
        <f t="shared" si="156"/>
        <v>6354</v>
      </c>
      <c r="FN36" s="20">
        <f t="shared" si="157"/>
        <v>12633</v>
      </c>
      <c r="FO36" s="42">
        <v>300</v>
      </c>
      <c r="FP36" s="42">
        <v>302</v>
      </c>
      <c r="FQ36" s="20">
        <f t="shared" si="82"/>
        <v>602</v>
      </c>
      <c r="FR36" s="20">
        <v>947</v>
      </c>
      <c r="FS36" s="20">
        <v>1017</v>
      </c>
      <c r="FT36" s="20">
        <f t="shared" si="83"/>
        <v>1964</v>
      </c>
      <c r="FU36" s="53">
        <f t="shared" si="161"/>
        <v>4.777830864787386</v>
      </c>
      <c r="FV36" s="53">
        <f t="shared" si="84"/>
        <v>4.752911551778407</v>
      </c>
      <c r="FW36" s="53">
        <f t="shared" si="85"/>
        <v>4.765297237394127</v>
      </c>
      <c r="FX36" s="41">
        <f t="shared" si="86"/>
        <v>15.082019429845516</v>
      </c>
      <c r="FY36" s="41">
        <f t="shared" si="87"/>
        <v>16.005665722379604</v>
      </c>
      <c r="FZ36" s="41">
        <f t="shared" si="88"/>
        <v>15.546584342594791</v>
      </c>
    </row>
    <row r="37" spans="1:182" ht="29.25" customHeight="1">
      <c r="A37" s="3">
        <v>28</v>
      </c>
      <c r="B37" s="4" t="s">
        <v>29</v>
      </c>
      <c r="C37" s="7">
        <v>9543</v>
      </c>
      <c r="D37" s="7">
        <v>10233</v>
      </c>
      <c r="E37" s="16">
        <f t="shared" si="131"/>
        <v>19776</v>
      </c>
      <c r="F37" s="7">
        <v>6975</v>
      </c>
      <c r="G37" s="7">
        <v>7294</v>
      </c>
      <c r="H37" s="8">
        <f t="shared" si="22"/>
        <v>14269</v>
      </c>
      <c r="I37" s="98"/>
      <c r="J37" s="98"/>
      <c r="K37" s="103">
        <f t="shared" si="113"/>
        <v>0</v>
      </c>
      <c r="L37" s="7">
        <f t="shared" si="23"/>
        <v>6975</v>
      </c>
      <c r="M37" s="7">
        <f t="shared" si="23"/>
        <v>7294</v>
      </c>
      <c r="N37" s="7">
        <f t="shared" si="23"/>
        <v>14269</v>
      </c>
      <c r="O37" s="29">
        <f t="shared" si="20"/>
        <v>73.09022320025149</v>
      </c>
      <c r="P37" s="29">
        <f t="shared" si="20"/>
        <v>71.27919476204437</v>
      </c>
      <c r="Q37" s="29">
        <f t="shared" si="20"/>
        <v>72.1531148867314</v>
      </c>
      <c r="R37" s="7">
        <v>1528</v>
      </c>
      <c r="S37" s="7">
        <v>1666</v>
      </c>
      <c r="T37" s="8">
        <f t="shared" si="111"/>
        <v>3194</v>
      </c>
      <c r="U37" s="7">
        <v>402</v>
      </c>
      <c r="V37" s="7">
        <v>356</v>
      </c>
      <c r="W37" s="8">
        <f t="shared" si="24"/>
        <v>758</v>
      </c>
      <c r="X37" s="6">
        <v>220</v>
      </c>
      <c r="Y37" s="6">
        <v>233</v>
      </c>
      <c r="Z37" s="10">
        <f t="shared" si="114"/>
        <v>453</v>
      </c>
      <c r="AA37" s="7">
        <f t="shared" si="25"/>
        <v>622</v>
      </c>
      <c r="AB37" s="7">
        <f t="shared" si="25"/>
        <v>589</v>
      </c>
      <c r="AC37" s="10">
        <f t="shared" si="115"/>
        <v>1211</v>
      </c>
      <c r="AD37" s="29">
        <f t="shared" si="112"/>
        <v>40.70680628272251</v>
      </c>
      <c r="AE37" s="29">
        <f t="shared" si="112"/>
        <v>35.35414165666266</v>
      </c>
      <c r="AF37" s="29">
        <f t="shared" si="112"/>
        <v>37.91484032561052</v>
      </c>
      <c r="AG37" s="10">
        <f t="shared" si="26"/>
        <v>11071</v>
      </c>
      <c r="AH37" s="10">
        <f t="shared" si="26"/>
        <v>11899</v>
      </c>
      <c r="AI37" s="10">
        <f t="shared" si="27"/>
        <v>22970</v>
      </c>
      <c r="AJ37" s="10">
        <f t="shared" si="28"/>
        <v>7377</v>
      </c>
      <c r="AK37" s="10">
        <f t="shared" si="28"/>
        <v>7650</v>
      </c>
      <c r="AL37" s="10">
        <f t="shared" si="29"/>
        <v>15027</v>
      </c>
      <c r="AM37" s="10">
        <f t="shared" si="116"/>
        <v>220</v>
      </c>
      <c r="AN37" s="10">
        <f t="shared" si="116"/>
        <v>233</v>
      </c>
      <c r="AO37" s="10">
        <f t="shared" si="117"/>
        <v>453</v>
      </c>
      <c r="AP37" s="7">
        <f t="shared" si="30"/>
        <v>7597</v>
      </c>
      <c r="AQ37" s="7">
        <f t="shared" si="30"/>
        <v>7883</v>
      </c>
      <c r="AR37" s="10">
        <f t="shared" si="98"/>
        <v>15480</v>
      </c>
      <c r="AS37" s="29">
        <f t="shared" si="99"/>
        <v>68.62072080209558</v>
      </c>
      <c r="AT37" s="29">
        <f t="shared" si="99"/>
        <v>66.24926464408773</v>
      </c>
      <c r="AU37" s="29">
        <f t="shared" si="99"/>
        <v>67.39225076186331</v>
      </c>
      <c r="AV37" s="96"/>
      <c r="AW37" s="96"/>
      <c r="AX37" s="97">
        <f>AV37+AW37</f>
        <v>0</v>
      </c>
      <c r="AY37" s="96"/>
      <c r="AZ37" s="96"/>
      <c r="BA37" s="97">
        <f t="shared" si="33"/>
        <v>0</v>
      </c>
      <c r="BB37" s="98"/>
      <c r="BC37" s="98"/>
      <c r="BD37" s="97">
        <f t="shared" si="132"/>
        <v>0</v>
      </c>
      <c r="BE37" s="99">
        <f t="shared" si="34"/>
        <v>0</v>
      </c>
      <c r="BF37" s="99">
        <f t="shared" si="34"/>
        <v>0</v>
      </c>
      <c r="BG37" s="97">
        <f t="shared" si="100"/>
        <v>0</v>
      </c>
      <c r="BH37" s="100"/>
      <c r="BI37" s="100"/>
      <c r="BJ37" s="100"/>
      <c r="BK37" s="96"/>
      <c r="BL37" s="96"/>
      <c r="BM37" s="97">
        <f t="shared" si="36"/>
        <v>0</v>
      </c>
      <c r="BN37" s="96"/>
      <c r="BO37" s="96"/>
      <c r="BP37" s="97">
        <f t="shared" si="37"/>
        <v>0</v>
      </c>
      <c r="BQ37" s="98"/>
      <c r="BR37" s="98"/>
      <c r="BS37" s="97">
        <f t="shared" si="118"/>
        <v>0</v>
      </c>
      <c r="BT37" s="99">
        <f t="shared" si="38"/>
        <v>0</v>
      </c>
      <c r="BU37" s="99">
        <f t="shared" si="38"/>
        <v>0</v>
      </c>
      <c r="BV37" s="97">
        <f t="shared" si="119"/>
        <v>0</v>
      </c>
      <c r="BW37" s="108">
        <f t="shared" si="133"/>
      </c>
      <c r="BX37" s="108">
        <f t="shared" si="162"/>
      </c>
      <c r="BY37" s="108">
        <f t="shared" si="162"/>
      </c>
      <c r="BZ37" s="97">
        <f t="shared" si="39"/>
        <v>0</v>
      </c>
      <c r="CA37" s="97">
        <f t="shared" si="39"/>
        <v>0</v>
      </c>
      <c r="CB37" s="97">
        <f t="shared" si="40"/>
        <v>0</v>
      </c>
      <c r="CC37" s="97">
        <f t="shared" si="41"/>
        <v>0</v>
      </c>
      <c r="CD37" s="97">
        <f t="shared" si="41"/>
        <v>0</v>
      </c>
      <c r="CE37" s="97">
        <f t="shared" si="42"/>
        <v>0</v>
      </c>
      <c r="CF37" s="97">
        <f t="shared" si="120"/>
        <v>0</v>
      </c>
      <c r="CG37" s="97">
        <f t="shared" si="120"/>
        <v>0</v>
      </c>
      <c r="CH37" s="97">
        <f t="shared" si="121"/>
        <v>0</v>
      </c>
      <c r="CI37" s="99">
        <f t="shared" si="43"/>
        <v>0</v>
      </c>
      <c r="CJ37" s="99">
        <f t="shared" si="43"/>
        <v>0</v>
      </c>
      <c r="CK37" s="97">
        <f t="shared" si="102"/>
        <v>0</v>
      </c>
      <c r="CL37" s="100">
        <f t="shared" si="103"/>
      </c>
      <c r="CM37" s="100">
        <f t="shared" si="103"/>
      </c>
      <c r="CN37" s="100">
        <f t="shared" si="103"/>
      </c>
      <c r="CO37" s="9">
        <v>8564</v>
      </c>
      <c r="CP37" s="9">
        <v>9307</v>
      </c>
      <c r="CQ37" s="10">
        <f t="shared" si="160"/>
        <v>17871</v>
      </c>
      <c r="CR37" s="9">
        <v>6175</v>
      </c>
      <c r="CS37" s="9">
        <v>6566</v>
      </c>
      <c r="CT37" s="10">
        <f t="shared" si="163"/>
        <v>12741</v>
      </c>
      <c r="CU37" s="98"/>
      <c r="CV37" s="98"/>
      <c r="CW37" s="97">
        <f t="shared" si="122"/>
        <v>0</v>
      </c>
      <c r="CX37" s="7">
        <f t="shared" si="45"/>
        <v>6175</v>
      </c>
      <c r="CY37" s="7">
        <f t="shared" si="46"/>
        <v>6566</v>
      </c>
      <c r="CZ37" s="10">
        <f t="shared" si="104"/>
        <v>12741</v>
      </c>
      <c r="DA37" s="29">
        <f t="shared" si="105"/>
        <v>72.10415693601121</v>
      </c>
      <c r="DB37" s="29">
        <f t="shared" si="106"/>
        <v>70.54904910282583</v>
      </c>
      <c r="DC37" s="29">
        <f t="shared" si="107"/>
        <v>71.29427564210174</v>
      </c>
      <c r="DD37" s="9">
        <v>1444</v>
      </c>
      <c r="DE37" s="9">
        <v>1565</v>
      </c>
      <c r="DF37" s="10">
        <f t="shared" si="48"/>
        <v>3009</v>
      </c>
      <c r="DG37" s="9">
        <v>383</v>
      </c>
      <c r="DH37" s="9">
        <v>327</v>
      </c>
      <c r="DI37" s="10">
        <f t="shared" si="49"/>
        <v>710</v>
      </c>
      <c r="DJ37" s="6">
        <v>208</v>
      </c>
      <c r="DK37" s="6">
        <v>222</v>
      </c>
      <c r="DL37" s="6">
        <f t="shared" si="123"/>
        <v>430</v>
      </c>
      <c r="DM37" s="7">
        <f t="shared" si="124"/>
        <v>591</v>
      </c>
      <c r="DN37" s="7">
        <f t="shared" si="125"/>
        <v>549</v>
      </c>
      <c r="DO37" s="10">
        <f t="shared" si="126"/>
        <v>1140</v>
      </c>
      <c r="DP37" s="29">
        <f t="shared" si="127"/>
        <v>40.92797783933518</v>
      </c>
      <c r="DQ37" s="29">
        <f t="shared" si="128"/>
        <v>35.07987220447284</v>
      </c>
      <c r="DR37" s="29">
        <f t="shared" si="129"/>
        <v>37.88634097706879</v>
      </c>
      <c r="DS37" s="10">
        <f t="shared" si="140"/>
        <v>10008</v>
      </c>
      <c r="DT37" s="10">
        <f t="shared" si="141"/>
        <v>10872</v>
      </c>
      <c r="DU37" s="10">
        <f t="shared" si="142"/>
        <v>20880</v>
      </c>
      <c r="DV37" s="10">
        <f t="shared" si="143"/>
        <v>6558</v>
      </c>
      <c r="DW37" s="10">
        <f t="shared" si="144"/>
        <v>6893</v>
      </c>
      <c r="DX37" s="10">
        <f t="shared" si="145"/>
        <v>13451</v>
      </c>
      <c r="DY37" s="10">
        <f t="shared" si="146"/>
        <v>208</v>
      </c>
      <c r="DZ37" s="10">
        <f t="shared" si="147"/>
        <v>222</v>
      </c>
      <c r="EA37" s="10">
        <f t="shared" si="148"/>
        <v>430</v>
      </c>
      <c r="EB37" s="8">
        <f t="shared" si="149"/>
        <v>6766</v>
      </c>
      <c r="EC37" s="8">
        <f t="shared" si="150"/>
        <v>7115</v>
      </c>
      <c r="ED37" s="10">
        <f t="shared" si="151"/>
        <v>13881</v>
      </c>
      <c r="EE37" s="29">
        <f t="shared" si="152"/>
        <v>67.60591526778578</v>
      </c>
      <c r="EF37" s="29">
        <f t="shared" si="153"/>
        <v>65.44334069168507</v>
      </c>
      <c r="EG37" s="29">
        <f t="shared" si="154"/>
        <v>66.47988505747126</v>
      </c>
      <c r="EH37" s="20">
        <f t="shared" si="108"/>
        <v>7597</v>
      </c>
      <c r="EI37" s="20">
        <f t="shared" si="109"/>
        <v>7883</v>
      </c>
      <c r="EJ37" s="20">
        <f t="shared" si="110"/>
        <v>15480</v>
      </c>
      <c r="EK37" s="42">
        <v>694</v>
      </c>
      <c r="EL37" s="42">
        <v>966</v>
      </c>
      <c r="EM37" s="20">
        <f t="shared" si="60"/>
        <v>1660</v>
      </c>
      <c r="EN37" s="20">
        <v>2064</v>
      </c>
      <c r="EO37" s="20">
        <v>2425</v>
      </c>
      <c r="EP37" s="20">
        <f t="shared" si="61"/>
        <v>4489</v>
      </c>
      <c r="EQ37" s="53">
        <f t="shared" si="62"/>
        <v>9.135184941424246</v>
      </c>
      <c r="ER37" s="53">
        <f t="shared" si="63"/>
        <v>12.254217937333502</v>
      </c>
      <c r="ES37" s="53">
        <f t="shared" si="64"/>
        <v>10.723514211886304</v>
      </c>
      <c r="ET37" s="41">
        <f t="shared" si="65"/>
        <v>27.16861919178623</v>
      </c>
      <c r="EU37" s="41">
        <f t="shared" si="66"/>
        <v>30.762400101484207</v>
      </c>
      <c r="EV37" s="41">
        <f t="shared" si="67"/>
        <v>28.998708010335914</v>
      </c>
      <c r="EW37" s="20">
        <f>CI37</f>
        <v>0</v>
      </c>
      <c r="EX37" s="20">
        <f>CJ37</f>
        <v>0</v>
      </c>
      <c r="EY37" s="20">
        <f>CK37</f>
        <v>0</v>
      </c>
      <c r="EZ37" s="101"/>
      <c r="FA37" s="101"/>
      <c r="FB37" s="101">
        <f t="shared" si="71"/>
        <v>0</v>
      </c>
      <c r="FC37" s="101"/>
      <c r="FD37" s="101"/>
      <c r="FE37" s="101">
        <f t="shared" si="72"/>
        <v>0</v>
      </c>
      <c r="FF37" s="100" t="e">
        <f t="shared" si="73"/>
        <v>#DIV/0!</v>
      </c>
      <c r="FG37" s="100" t="e">
        <f t="shared" si="74"/>
        <v>#DIV/0!</v>
      </c>
      <c r="FH37" s="100" t="e">
        <f t="shared" si="75"/>
        <v>#DIV/0!</v>
      </c>
      <c r="FI37" s="102" t="e">
        <f t="shared" si="76"/>
        <v>#DIV/0!</v>
      </c>
      <c r="FJ37" s="102" t="e">
        <f t="shared" si="77"/>
        <v>#DIV/0!</v>
      </c>
      <c r="FK37" s="102" t="e">
        <f t="shared" si="78"/>
        <v>#DIV/0!</v>
      </c>
      <c r="FL37" s="20">
        <f t="shared" si="155"/>
        <v>6766</v>
      </c>
      <c r="FM37" s="20">
        <f t="shared" si="156"/>
        <v>7115</v>
      </c>
      <c r="FN37" s="20">
        <f t="shared" si="157"/>
        <v>13881</v>
      </c>
      <c r="FO37" s="42">
        <v>533</v>
      </c>
      <c r="FP37" s="42">
        <v>802</v>
      </c>
      <c r="FQ37" s="20">
        <f t="shared" si="82"/>
        <v>1335</v>
      </c>
      <c r="FR37" s="20">
        <v>1802</v>
      </c>
      <c r="FS37" s="20">
        <v>2169</v>
      </c>
      <c r="FT37" s="20">
        <f t="shared" si="83"/>
        <v>3971</v>
      </c>
      <c r="FU37" s="53">
        <f t="shared" si="161"/>
        <v>7.877623411173515</v>
      </c>
      <c r="FV37" s="53">
        <f t="shared" si="84"/>
        <v>11.271960646521432</v>
      </c>
      <c r="FW37" s="53">
        <f t="shared" si="85"/>
        <v>9.617462718824292</v>
      </c>
      <c r="FX37" s="41">
        <f t="shared" si="86"/>
        <v>26.63316582914573</v>
      </c>
      <c r="FY37" s="41">
        <f t="shared" si="87"/>
        <v>30.48489107519325</v>
      </c>
      <c r="FZ37" s="41">
        <f t="shared" si="88"/>
        <v>28.607449031049637</v>
      </c>
    </row>
    <row r="38" spans="1:182" ht="29.25" customHeight="1">
      <c r="A38" s="3">
        <v>29</v>
      </c>
      <c r="B38" s="5" t="s">
        <v>30</v>
      </c>
      <c r="C38" s="7">
        <v>279386</v>
      </c>
      <c r="D38" s="7">
        <v>283954</v>
      </c>
      <c r="E38" s="16">
        <f>C38+D38</f>
        <v>563340</v>
      </c>
      <c r="F38" s="7">
        <v>232216</v>
      </c>
      <c r="G38" s="7">
        <v>238430</v>
      </c>
      <c r="H38" s="8">
        <f t="shared" si="22"/>
        <v>470646</v>
      </c>
      <c r="I38" s="9">
        <v>2109</v>
      </c>
      <c r="J38" s="9">
        <v>1888</v>
      </c>
      <c r="K38" s="11">
        <f t="shared" si="113"/>
        <v>3997</v>
      </c>
      <c r="L38" s="7">
        <f t="shared" si="23"/>
        <v>234325</v>
      </c>
      <c r="M38" s="7">
        <f t="shared" si="23"/>
        <v>240318</v>
      </c>
      <c r="N38" s="7">
        <f t="shared" si="23"/>
        <v>474643</v>
      </c>
      <c r="O38" s="29">
        <f t="shared" si="20"/>
        <v>83.87141803812646</v>
      </c>
      <c r="P38" s="29">
        <f t="shared" si="20"/>
        <v>84.63272220148333</v>
      </c>
      <c r="Q38" s="29">
        <f t="shared" si="20"/>
        <v>84.25515674370718</v>
      </c>
      <c r="R38" s="7">
        <v>4904</v>
      </c>
      <c r="S38" s="7">
        <v>2536</v>
      </c>
      <c r="T38" s="8">
        <f t="shared" si="111"/>
        <v>7440</v>
      </c>
      <c r="U38" s="7">
        <v>2776</v>
      </c>
      <c r="V38" s="7">
        <v>1490</v>
      </c>
      <c r="W38" s="8">
        <f t="shared" si="24"/>
        <v>4266</v>
      </c>
      <c r="X38" s="9">
        <v>202</v>
      </c>
      <c r="Y38" s="9">
        <v>104</v>
      </c>
      <c r="Z38" s="10">
        <f t="shared" si="114"/>
        <v>306</v>
      </c>
      <c r="AA38" s="7">
        <f t="shared" si="25"/>
        <v>2978</v>
      </c>
      <c r="AB38" s="7">
        <f t="shared" si="25"/>
        <v>1594</v>
      </c>
      <c r="AC38" s="10">
        <f t="shared" si="115"/>
        <v>4572</v>
      </c>
      <c r="AD38" s="29">
        <f t="shared" si="112"/>
        <v>60.725938009787924</v>
      </c>
      <c r="AE38" s="29">
        <f t="shared" si="112"/>
        <v>62.85488958990536</v>
      </c>
      <c r="AF38" s="29">
        <f t="shared" si="112"/>
        <v>61.45161290322581</v>
      </c>
      <c r="AG38" s="10">
        <f t="shared" si="26"/>
        <v>284290</v>
      </c>
      <c r="AH38" s="10">
        <f t="shared" si="26"/>
        <v>286490</v>
      </c>
      <c r="AI38" s="10">
        <f t="shared" si="27"/>
        <v>570780</v>
      </c>
      <c r="AJ38" s="10">
        <f t="shared" si="28"/>
        <v>234992</v>
      </c>
      <c r="AK38" s="10">
        <f t="shared" si="28"/>
        <v>239920</v>
      </c>
      <c r="AL38" s="10">
        <f t="shared" si="29"/>
        <v>474912</v>
      </c>
      <c r="AM38" s="10">
        <f t="shared" si="116"/>
        <v>2311</v>
      </c>
      <c r="AN38" s="10">
        <f t="shared" si="116"/>
        <v>1992</v>
      </c>
      <c r="AO38" s="10">
        <f t="shared" si="117"/>
        <v>4303</v>
      </c>
      <c r="AP38" s="7">
        <f t="shared" si="30"/>
        <v>237303</v>
      </c>
      <c r="AQ38" s="7">
        <f t="shared" si="30"/>
        <v>241912</v>
      </c>
      <c r="AR38" s="10">
        <f t="shared" si="98"/>
        <v>479215</v>
      </c>
      <c r="AS38" s="29">
        <f t="shared" si="99"/>
        <v>83.4721587111752</v>
      </c>
      <c r="AT38" s="29">
        <f t="shared" si="99"/>
        <v>84.43994554783762</v>
      </c>
      <c r="AU38" s="29">
        <f t="shared" si="99"/>
        <v>83.95791723606293</v>
      </c>
      <c r="AV38" s="9">
        <v>56106</v>
      </c>
      <c r="AW38" s="9">
        <v>58367</v>
      </c>
      <c r="AX38" s="10">
        <f t="shared" si="32"/>
        <v>114473</v>
      </c>
      <c r="AY38" s="9">
        <v>44092</v>
      </c>
      <c r="AZ38" s="9">
        <v>45372</v>
      </c>
      <c r="BA38" s="10">
        <f t="shared" si="33"/>
        <v>89464</v>
      </c>
      <c r="BB38" s="96"/>
      <c r="BC38" s="96"/>
      <c r="BD38" s="97"/>
      <c r="BE38" s="7">
        <f t="shared" si="34"/>
        <v>44092</v>
      </c>
      <c r="BF38" s="7">
        <f t="shared" si="34"/>
        <v>45372</v>
      </c>
      <c r="BG38" s="10">
        <f t="shared" si="100"/>
        <v>89464</v>
      </c>
      <c r="BH38" s="29">
        <f t="shared" si="101"/>
        <v>78.58696039639254</v>
      </c>
      <c r="BI38" s="29">
        <f t="shared" si="101"/>
        <v>77.73570682063496</v>
      </c>
      <c r="BJ38" s="29">
        <f t="shared" si="101"/>
        <v>78.15292689105729</v>
      </c>
      <c r="BK38" s="9">
        <v>970</v>
      </c>
      <c r="BL38" s="9">
        <v>510</v>
      </c>
      <c r="BM38" s="10">
        <f t="shared" si="36"/>
        <v>1480</v>
      </c>
      <c r="BN38" s="9">
        <v>525</v>
      </c>
      <c r="BO38" s="9">
        <v>296</v>
      </c>
      <c r="BP38" s="10">
        <f t="shared" si="37"/>
        <v>821</v>
      </c>
      <c r="BQ38" s="96"/>
      <c r="BR38" s="96"/>
      <c r="BS38" s="97"/>
      <c r="BT38" s="7">
        <f t="shared" si="38"/>
        <v>525</v>
      </c>
      <c r="BU38" s="7">
        <f t="shared" si="38"/>
        <v>296</v>
      </c>
      <c r="BV38" s="10">
        <f t="shared" si="119"/>
        <v>821</v>
      </c>
      <c r="BW38" s="76">
        <f>IF(BK38=0,"",BT38/BK38*100)</f>
        <v>54.123711340206185</v>
      </c>
      <c r="BX38" s="76">
        <f t="shared" si="162"/>
        <v>58.03921568627452</v>
      </c>
      <c r="BY38" s="76">
        <f t="shared" si="162"/>
        <v>55.472972972972975</v>
      </c>
      <c r="BZ38" s="10">
        <f t="shared" si="39"/>
        <v>57076</v>
      </c>
      <c r="CA38" s="10">
        <f t="shared" si="39"/>
        <v>58877</v>
      </c>
      <c r="CB38" s="10">
        <f t="shared" si="40"/>
        <v>115953</v>
      </c>
      <c r="CC38" s="10">
        <f t="shared" si="41"/>
        <v>44617</v>
      </c>
      <c r="CD38" s="10">
        <f t="shared" si="41"/>
        <v>45668</v>
      </c>
      <c r="CE38" s="10">
        <f t="shared" si="42"/>
        <v>90285</v>
      </c>
      <c r="CF38" s="97"/>
      <c r="CG38" s="97"/>
      <c r="CH38" s="97"/>
      <c r="CI38" s="7">
        <f t="shared" si="43"/>
        <v>44617</v>
      </c>
      <c r="CJ38" s="7">
        <f t="shared" si="43"/>
        <v>45668</v>
      </c>
      <c r="CK38" s="10">
        <f t="shared" si="102"/>
        <v>90285</v>
      </c>
      <c r="CL38" s="29">
        <f t="shared" si="103"/>
        <v>78.1712103160698</v>
      </c>
      <c r="CM38" s="29">
        <f t="shared" si="103"/>
        <v>77.56509333016288</v>
      </c>
      <c r="CN38" s="29">
        <f t="shared" si="103"/>
        <v>77.86344467154795</v>
      </c>
      <c r="CO38" s="9">
        <v>56688</v>
      </c>
      <c r="CP38" s="9">
        <v>58030</v>
      </c>
      <c r="CQ38" s="10">
        <f t="shared" si="160"/>
        <v>114718</v>
      </c>
      <c r="CR38" s="9">
        <v>44304</v>
      </c>
      <c r="CS38" s="9">
        <v>46698</v>
      </c>
      <c r="CT38" s="10">
        <f t="shared" si="163"/>
        <v>91002</v>
      </c>
      <c r="CU38" s="96"/>
      <c r="CV38" s="96"/>
      <c r="CW38" s="97"/>
      <c r="CX38" s="7">
        <f t="shared" si="45"/>
        <v>44304</v>
      </c>
      <c r="CY38" s="7">
        <f t="shared" si="46"/>
        <v>46698</v>
      </c>
      <c r="CZ38" s="10">
        <f t="shared" si="104"/>
        <v>91002</v>
      </c>
      <c r="DA38" s="29">
        <f t="shared" si="105"/>
        <v>78.1541066892464</v>
      </c>
      <c r="DB38" s="29">
        <f t="shared" si="106"/>
        <v>80.4721695674651</v>
      </c>
      <c r="DC38" s="29">
        <f t="shared" si="107"/>
        <v>79.32669676946948</v>
      </c>
      <c r="DD38" s="9">
        <v>803</v>
      </c>
      <c r="DE38" s="9">
        <v>584</v>
      </c>
      <c r="DF38" s="10">
        <f t="shared" si="48"/>
        <v>1387</v>
      </c>
      <c r="DG38" s="9">
        <v>401</v>
      </c>
      <c r="DH38" s="9">
        <v>285</v>
      </c>
      <c r="DI38" s="10">
        <f t="shared" si="49"/>
        <v>686</v>
      </c>
      <c r="DJ38" s="96"/>
      <c r="DK38" s="96"/>
      <c r="DL38" s="98"/>
      <c r="DM38" s="7">
        <f t="shared" si="124"/>
        <v>401</v>
      </c>
      <c r="DN38" s="7">
        <f t="shared" si="125"/>
        <v>285</v>
      </c>
      <c r="DO38" s="10">
        <f t="shared" si="126"/>
        <v>686</v>
      </c>
      <c r="DP38" s="29">
        <f t="shared" si="127"/>
        <v>49.93773349937734</v>
      </c>
      <c r="DQ38" s="29">
        <f t="shared" si="128"/>
        <v>48.8013698630137</v>
      </c>
      <c r="DR38" s="29">
        <f t="shared" si="129"/>
        <v>49.4592645998558</v>
      </c>
      <c r="DS38" s="10">
        <f t="shared" si="140"/>
        <v>57491</v>
      </c>
      <c r="DT38" s="10">
        <f t="shared" si="141"/>
        <v>58614</v>
      </c>
      <c r="DU38" s="10">
        <f t="shared" si="142"/>
        <v>116105</v>
      </c>
      <c r="DV38" s="10">
        <f t="shared" si="143"/>
        <v>44705</v>
      </c>
      <c r="DW38" s="10">
        <f t="shared" si="144"/>
        <v>46983</v>
      </c>
      <c r="DX38" s="10">
        <f t="shared" si="145"/>
        <v>91688</v>
      </c>
      <c r="DY38" s="97"/>
      <c r="DZ38" s="97"/>
      <c r="EA38" s="97"/>
      <c r="EB38" s="8">
        <f t="shared" si="149"/>
        <v>44705</v>
      </c>
      <c r="EC38" s="8">
        <f t="shared" si="150"/>
        <v>46983</v>
      </c>
      <c r="ED38" s="10">
        <f t="shared" si="151"/>
        <v>91688</v>
      </c>
      <c r="EE38" s="29">
        <f t="shared" si="152"/>
        <v>77.7599972169557</v>
      </c>
      <c r="EF38" s="29">
        <f t="shared" si="153"/>
        <v>80.15661787286314</v>
      </c>
      <c r="EG38" s="29">
        <f t="shared" si="154"/>
        <v>78.96989793721201</v>
      </c>
      <c r="EH38" s="20">
        <f t="shared" si="108"/>
        <v>237303</v>
      </c>
      <c r="EI38" s="20">
        <f t="shared" si="109"/>
        <v>241912</v>
      </c>
      <c r="EJ38" s="20">
        <f t="shared" si="110"/>
        <v>479215</v>
      </c>
      <c r="EK38" s="101"/>
      <c r="EL38" s="101"/>
      <c r="EM38" s="101"/>
      <c r="EN38" s="101"/>
      <c r="EO38" s="101"/>
      <c r="EP38" s="101"/>
      <c r="EQ38" s="100"/>
      <c r="ER38" s="100"/>
      <c r="ES38" s="100"/>
      <c r="ET38" s="102"/>
      <c r="EU38" s="102"/>
      <c r="EV38" s="102"/>
      <c r="EW38" s="20">
        <f t="shared" si="68"/>
        <v>44617</v>
      </c>
      <c r="EX38" s="20">
        <f t="shared" si="69"/>
        <v>45668</v>
      </c>
      <c r="EY38" s="20">
        <f t="shared" si="70"/>
        <v>90285</v>
      </c>
      <c r="EZ38" s="101"/>
      <c r="FA38" s="101"/>
      <c r="FB38" s="101"/>
      <c r="FC38" s="101"/>
      <c r="FD38" s="101"/>
      <c r="FE38" s="101"/>
      <c r="FF38" s="100"/>
      <c r="FG38" s="100"/>
      <c r="FH38" s="100"/>
      <c r="FI38" s="102"/>
      <c r="FJ38" s="102"/>
      <c r="FK38" s="102"/>
      <c r="FL38" s="20">
        <f t="shared" si="155"/>
        <v>44705</v>
      </c>
      <c r="FM38" s="20">
        <f t="shared" si="156"/>
        <v>46983</v>
      </c>
      <c r="FN38" s="20">
        <f t="shared" si="157"/>
        <v>91688</v>
      </c>
      <c r="FO38" s="101"/>
      <c r="FP38" s="101"/>
      <c r="FQ38" s="101"/>
      <c r="FR38" s="101"/>
      <c r="FS38" s="101"/>
      <c r="FT38" s="101"/>
      <c r="FU38" s="100"/>
      <c r="FV38" s="100"/>
      <c r="FW38" s="100"/>
      <c r="FX38" s="102"/>
      <c r="FY38" s="102"/>
      <c r="FZ38" s="102"/>
    </row>
    <row r="39" spans="1:182" ht="33" customHeight="1">
      <c r="A39" s="3">
        <v>30</v>
      </c>
      <c r="B39" s="4" t="s">
        <v>31</v>
      </c>
      <c r="C39" s="7">
        <v>190512</v>
      </c>
      <c r="D39" s="7">
        <v>151817</v>
      </c>
      <c r="E39" s="16">
        <f t="shared" si="131"/>
        <v>342329</v>
      </c>
      <c r="F39" s="7">
        <v>128466</v>
      </c>
      <c r="G39" s="7">
        <v>118874</v>
      </c>
      <c r="H39" s="8">
        <f t="shared" si="22"/>
        <v>247340</v>
      </c>
      <c r="I39" s="109"/>
      <c r="J39" s="109"/>
      <c r="K39" s="103">
        <f t="shared" si="113"/>
        <v>0</v>
      </c>
      <c r="L39" s="7">
        <f t="shared" si="23"/>
        <v>128466</v>
      </c>
      <c r="M39" s="7">
        <f t="shared" si="23"/>
        <v>118874</v>
      </c>
      <c r="N39" s="7">
        <f t="shared" si="23"/>
        <v>247340</v>
      </c>
      <c r="O39" s="29">
        <f t="shared" si="20"/>
        <v>67.43197278911565</v>
      </c>
      <c r="P39" s="29">
        <f t="shared" si="20"/>
        <v>78.30084904852552</v>
      </c>
      <c r="Q39" s="29">
        <f t="shared" si="20"/>
        <v>72.25213172123892</v>
      </c>
      <c r="R39" s="99"/>
      <c r="S39" s="99"/>
      <c r="T39" s="101"/>
      <c r="U39" s="99"/>
      <c r="V39" s="99"/>
      <c r="W39" s="101"/>
      <c r="X39" s="96"/>
      <c r="Y39" s="96"/>
      <c r="Z39" s="97"/>
      <c r="AA39" s="99"/>
      <c r="AB39" s="99"/>
      <c r="AC39" s="97"/>
      <c r="AD39" s="100"/>
      <c r="AE39" s="100"/>
      <c r="AF39" s="100"/>
      <c r="AG39" s="10">
        <f t="shared" si="26"/>
        <v>190512</v>
      </c>
      <c r="AH39" s="10">
        <f t="shared" si="26"/>
        <v>151817</v>
      </c>
      <c r="AI39" s="10">
        <f t="shared" si="27"/>
        <v>342329</v>
      </c>
      <c r="AJ39" s="10">
        <f t="shared" si="28"/>
        <v>128466</v>
      </c>
      <c r="AK39" s="10">
        <f t="shared" si="28"/>
        <v>118874</v>
      </c>
      <c r="AL39" s="10">
        <f t="shared" si="29"/>
        <v>247340</v>
      </c>
      <c r="AM39" s="100"/>
      <c r="AN39" s="100"/>
      <c r="AO39" s="100"/>
      <c r="AP39" s="7">
        <f t="shared" si="30"/>
        <v>128466</v>
      </c>
      <c r="AQ39" s="7">
        <f t="shared" si="30"/>
        <v>118874</v>
      </c>
      <c r="AR39" s="10">
        <f t="shared" si="98"/>
        <v>247340</v>
      </c>
      <c r="AS39" s="29">
        <f t="shared" si="99"/>
        <v>67.43197278911565</v>
      </c>
      <c r="AT39" s="29">
        <f t="shared" si="99"/>
        <v>78.30084904852552</v>
      </c>
      <c r="AU39" s="29">
        <f t="shared" si="99"/>
        <v>72.25213172123892</v>
      </c>
      <c r="AV39" s="9">
        <v>76414</v>
      </c>
      <c r="AW39" s="9">
        <v>67284</v>
      </c>
      <c r="AX39" s="10">
        <f t="shared" si="32"/>
        <v>143698</v>
      </c>
      <c r="AY39" s="9">
        <v>45760</v>
      </c>
      <c r="AZ39" s="9">
        <v>47648</v>
      </c>
      <c r="BA39" s="10">
        <f t="shared" si="33"/>
        <v>93408</v>
      </c>
      <c r="BB39" s="98"/>
      <c r="BC39" s="98"/>
      <c r="BD39" s="97"/>
      <c r="BE39" s="7">
        <f t="shared" si="34"/>
        <v>45760</v>
      </c>
      <c r="BF39" s="7">
        <f t="shared" si="34"/>
        <v>47648</v>
      </c>
      <c r="BG39" s="10">
        <f t="shared" si="100"/>
        <v>93408</v>
      </c>
      <c r="BH39" s="29">
        <f t="shared" si="101"/>
        <v>59.88431439265056</v>
      </c>
      <c r="BI39" s="29">
        <f t="shared" si="101"/>
        <v>70.81624160275845</v>
      </c>
      <c r="BJ39" s="29">
        <f t="shared" si="101"/>
        <v>65.00299238681123</v>
      </c>
      <c r="BK39" s="96"/>
      <c r="BL39" s="96"/>
      <c r="BM39" s="97"/>
      <c r="BN39" s="96"/>
      <c r="BO39" s="96"/>
      <c r="BP39" s="97"/>
      <c r="BQ39" s="96"/>
      <c r="BR39" s="96"/>
      <c r="BS39" s="97"/>
      <c r="BT39" s="99"/>
      <c r="BU39" s="99"/>
      <c r="BV39" s="97"/>
      <c r="BW39" s="108"/>
      <c r="BX39" s="108"/>
      <c r="BY39" s="100"/>
      <c r="BZ39" s="10">
        <f t="shared" si="39"/>
        <v>76414</v>
      </c>
      <c r="CA39" s="10">
        <f t="shared" si="39"/>
        <v>67284</v>
      </c>
      <c r="CB39" s="10">
        <f t="shared" si="40"/>
        <v>143698</v>
      </c>
      <c r="CC39" s="10">
        <f t="shared" si="41"/>
        <v>45760</v>
      </c>
      <c r="CD39" s="10">
        <f t="shared" si="41"/>
        <v>47648</v>
      </c>
      <c r="CE39" s="10">
        <f t="shared" si="42"/>
        <v>93408</v>
      </c>
      <c r="CF39" s="97"/>
      <c r="CG39" s="97"/>
      <c r="CH39" s="97"/>
      <c r="CI39" s="7">
        <f t="shared" si="43"/>
        <v>45760</v>
      </c>
      <c r="CJ39" s="7">
        <f t="shared" si="43"/>
        <v>47648</v>
      </c>
      <c r="CK39" s="10">
        <f t="shared" si="102"/>
        <v>93408</v>
      </c>
      <c r="CL39" s="29">
        <f t="shared" si="103"/>
        <v>59.88431439265056</v>
      </c>
      <c r="CM39" s="29">
        <f t="shared" si="103"/>
        <v>70.81624160275845</v>
      </c>
      <c r="CN39" s="29">
        <f t="shared" si="103"/>
        <v>65.00299238681123</v>
      </c>
      <c r="CO39" s="9">
        <v>47</v>
      </c>
      <c r="CP39" s="9">
        <v>33</v>
      </c>
      <c r="CQ39" s="10">
        <f t="shared" si="160"/>
        <v>80</v>
      </c>
      <c r="CR39" s="9">
        <v>28</v>
      </c>
      <c r="CS39" s="9">
        <v>28</v>
      </c>
      <c r="CT39" s="10">
        <f t="shared" si="163"/>
        <v>56</v>
      </c>
      <c r="CU39" s="98"/>
      <c r="CV39" s="98"/>
      <c r="CW39" s="97"/>
      <c r="CX39" s="7">
        <f t="shared" si="45"/>
        <v>28</v>
      </c>
      <c r="CY39" s="7">
        <f t="shared" si="46"/>
        <v>28</v>
      </c>
      <c r="CZ39" s="10">
        <f t="shared" si="104"/>
        <v>56</v>
      </c>
      <c r="DA39" s="29">
        <f t="shared" si="105"/>
        <v>59.57446808510638</v>
      </c>
      <c r="DB39" s="29">
        <f t="shared" si="106"/>
        <v>84.84848484848484</v>
      </c>
      <c r="DC39" s="29">
        <f t="shared" si="107"/>
        <v>70</v>
      </c>
      <c r="DD39" s="96"/>
      <c r="DE39" s="96"/>
      <c r="DF39" s="97"/>
      <c r="DG39" s="96"/>
      <c r="DH39" s="96"/>
      <c r="DI39" s="97"/>
      <c r="DJ39" s="96"/>
      <c r="DK39" s="96"/>
      <c r="DL39" s="98"/>
      <c r="DM39" s="99"/>
      <c r="DN39" s="99"/>
      <c r="DO39" s="97"/>
      <c r="DP39" s="100"/>
      <c r="DQ39" s="100"/>
      <c r="DR39" s="100"/>
      <c r="DS39" s="10">
        <f t="shared" si="140"/>
        <v>47</v>
      </c>
      <c r="DT39" s="10">
        <f t="shared" si="141"/>
        <v>33</v>
      </c>
      <c r="DU39" s="10">
        <f t="shared" si="142"/>
        <v>80</v>
      </c>
      <c r="DV39" s="10">
        <f t="shared" si="143"/>
        <v>28</v>
      </c>
      <c r="DW39" s="10">
        <f t="shared" si="144"/>
        <v>28</v>
      </c>
      <c r="DX39" s="10">
        <f t="shared" si="145"/>
        <v>56</v>
      </c>
      <c r="DY39" s="97"/>
      <c r="DZ39" s="97"/>
      <c r="EA39" s="97"/>
      <c r="EB39" s="8">
        <f t="shared" si="149"/>
        <v>28</v>
      </c>
      <c r="EC39" s="8">
        <f t="shared" si="150"/>
        <v>28</v>
      </c>
      <c r="ED39" s="10">
        <f t="shared" si="151"/>
        <v>56</v>
      </c>
      <c r="EE39" s="29">
        <f t="shared" si="152"/>
        <v>59.57446808510638</v>
      </c>
      <c r="EF39" s="29">
        <f t="shared" si="153"/>
        <v>84.84848484848484</v>
      </c>
      <c r="EG39" s="29">
        <f t="shared" si="154"/>
        <v>70</v>
      </c>
      <c r="EH39" s="20">
        <f t="shared" si="108"/>
        <v>128466</v>
      </c>
      <c r="EI39" s="20">
        <f t="shared" si="109"/>
        <v>118874</v>
      </c>
      <c r="EJ39" s="20">
        <f t="shared" si="110"/>
        <v>247340</v>
      </c>
      <c r="EK39" s="101"/>
      <c r="EL39" s="101"/>
      <c r="EM39" s="101"/>
      <c r="EN39" s="101"/>
      <c r="EO39" s="101"/>
      <c r="EP39" s="101"/>
      <c r="EQ39" s="100"/>
      <c r="ER39" s="100"/>
      <c r="ES39" s="100"/>
      <c r="ET39" s="102"/>
      <c r="EU39" s="102"/>
      <c r="EV39" s="102"/>
      <c r="EW39" s="20">
        <f t="shared" si="68"/>
        <v>45760</v>
      </c>
      <c r="EX39" s="20">
        <f t="shared" si="69"/>
        <v>47648</v>
      </c>
      <c r="EY39" s="20">
        <f t="shared" si="70"/>
        <v>93408</v>
      </c>
      <c r="EZ39" s="101"/>
      <c r="FA39" s="101"/>
      <c r="FB39" s="101"/>
      <c r="FC39" s="101"/>
      <c r="FD39" s="101"/>
      <c r="FE39" s="101"/>
      <c r="FF39" s="100"/>
      <c r="FG39" s="100"/>
      <c r="FH39" s="100"/>
      <c r="FI39" s="102"/>
      <c r="FJ39" s="102"/>
      <c r="FK39" s="102"/>
      <c r="FL39" s="20">
        <f t="shared" si="155"/>
        <v>28</v>
      </c>
      <c r="FM39" s="20">
        <f t="shared" si="156"/>
        <v>28</v>
      </c>
      <c r="FN39" s="20">
        <f t="shared" si="157"/>
        <v>56</v>
      </c>
      <c r="FO39" s="101"/>
      <c r="FP39" s="101"/>
      <c r="FQ39" s="101"/>
      <c r="FR39" s="101"/>
      <c r="FS39" s="101"/>
      <c r="FT39" s="101"/>
      <c r="FU39" s="100"/>
      <c r="FV39" s="100"/>
      <c r="FW39" s="100"/>
      <c r="FX39" s="102"/>
      <c r="FY39" s="102"/>
      <c r="FZ39" s="102"/>
    </row>
    <row r="40" spans="1:182" ht="29.25" customHeight="1">
      <c r="A40" s="3">
        <v>31</v>
      </c>
      <c r="B40" s="5" t="s">
        <v>32</v>
      </c>
      <c r="C40" s="7">
        <v>628063</v>
      </c>
      <c r="D40" s="7">
        <v>444574</v>
      </c>
      <c r="E40" s="16">
        <f t="shared" si="131"/>
        <v>1072637</v>
      </c>
      <c r="F40" s="7">
        <v>464568</v>
      </c>
      <c r="G40" s="7">
        <v>333468</v>
      </c>
      <c r="H40" s="8">
        <f t="shared" si="22"/>
        <v>798036</v>
      </c>
      <c r="I40" s="9">
        <v>8110</v>
      </c>
      <c r="J40" s="9">
        <v>7783</v>
      </c>
      <c r="K40" s="141">
        <f t="shared" si="113"/>
        <v>15893</v>
      </c>
      <c r="L40" s="7">
        <f t="shared" si="23"/>
        <v>472678</v>
      </c>
      <c r="M40" s="7">
        <f t="shared" si="23"/>
        <v>341251</v>
      </c>
      <c r="N40" s="7">
        <f t="shared" si="23"/>
        <v>813929</v>
      </c>
      <c r="O40" s="29">
        <f t="shared" si="20"/>
        <v>75.25964751943674</v>
      </c>
      <c r="P40" s="29">
        <f t="shared" si="20"/>
        <v>76.75909972243092</v>
      </c>
      <c r="Q40" s="29">
        <f t="shared" si="20"/>
        <v>75.88112287754385</v>
      </c>
      <c r="R40" s="7">
        <v>4861</v>
      </c>
      <c r="S40" s="7">
        <v>4226</v>
      </c>
      <c r="T40" s="8">
        <f t="shared" si="111"/>
        <v>9087</v>
      </c>
      <c r="U40" s="7">
        <v>494</v>
      </c>
      <c r="V40" s="7">
        <v>334</v>
      </c>
      <c r="W40" s="8">
        <f t="shared" si="24"/>
        <v>828</v>
      </c>
      <c r="X40" s="9">
        <v>44</v>
      </c>
      <c r="Y40" s="9">
        <v>44</v>
      </c>
      <c r="Z40" s="10">
        <f t="shared" si="114"/>
        <v>88</v>
      </c>
      <c r="AA40" s="7">
        <f>SUM(U40,X40)</f>
        <v>538</v>
      </c>
      <c r="AB40" s="7">
        <f>SUM(V40,Y40)</f>
        <v>378</v>
      </c>
      <c r="AC40" s="10">
        <f>SUM(AA40,AB40)</f>
        <v>916</v>
      </c>
      <c r="AD40" s="29">
        <f>IF(R40=0,"",AA40/R40*100)</f>
        <v>11.067681547006789</v>
      </c>
      <c r="AE40" s="29">
        <f>IF(S40=0,"",AB40/S40*100)</f>
        <v>8.944628490298154</v>
      </c>
      <c r="AF40" s="29">
        <f>IF(T40=0,"",AC40/T40*100)</f>
        <v>10.080334543853857</v>
      </c>
      <c r="AG40" s="10">
        <f t="shared" si="26"/>
        <v>632924</v>
      </c>
      <c r="AH40" s="10">
        <f t="shared" si="26"/>
        <v>448800</v>
      </c>
      <c r="AI40" s="10">
        <f t="shared" si="27"/>
        <v>1081724</v>
      </c>
      <c r="AJ40" s="10">
        <f t="shared" si="28"/>
        <v>465062</v>
      </c>
      <c r="AK40" s="10">
        <f t="shared" si="28"/>
        <v>333802</v>
      </c>
      <c r="AL40" s="10">
        <f t="shared" si="29"/>
        <v>798864</v>
      </c>
      <c r="AM40" s="10">
        <f>I40+X40</f>
        <v>8154</v>
      </c>
      <c r="AN40" s="10">
        <f>J40+Y40</f>
        <v>7827</v>
      </c>
      <c r="AO40" s="10">
        <f>AM40+AN40</f>
        <v>15981</v>
      </c>
      <c r="AP40" s="7">
        <f>SUM(AJ40,AM40)</f>
        <v>473216</v>
      </c>
      <c r="AQ40" s="7">
        <f>SUM(AK40,AN40)</f>
        <v>341629</v>
      </c>
      <c r="AR40" s="10">
        <f>SUM(AP40,AQ40)</f>
        <v>814845</v>
      </c>
      <c r="AS40" s="29">
        <f>IF(AG40=0,"",AP40/AG40*100)</f>
        <v>74.76663864855813</v>
      </c>
      <c r="AT40" s="29">
        <f>IF(AH40=0,"",AQ40/AH40*100)</f>
        <v>76.12054367201426</v>
      </c>
      <c r="AU40" s="29">
        <f>IF(AI40=0,"",AR40/AI40*100)</f>
        <v>75.32836472150012</v>
      </c>
      <c r="AV40" s="9">
        <v>117194</v>
      </c>
      <c r="AW40" s="9">
        <v>81713</v>
      </c>
      <c r="AX40" s="10">
        <f t="shared" si="32"/>
        <v>198907</v>
      </c>
      <c r="AY40" s="9">
        <v>81059</v>
      </c>
      <c r="AZ40" s="9">
        <v>56382</v>
      </c>
      <c r="BA40" s="10">
        <f t="shared" si="33"/>
        <v>137441</v>
      </c>
      <c r="BB40" s="9">
        <v>1607</v>
      </c>
      <c r="BC40" s="9">
        <v>1525</v>
      </c>
      <c r="BD40" s="10">
        <f t="shared" si="132"/>
        <v>3132</v>
      </c>
      <c r="BE40" s="7">
        <f t="shared" si="34"/>
        <v>82666</v>
      </c>
      <c r="BF40" s="7">
        <f t="shared" si="34"/>
        <v>57907</v>
      </c>
      <c r="BG40" s="10">
        <f t="shared" si="100"/>
        <v>140573</v>
      </c>
      <c r="BH40" s="29">
        <f t="shared" si="101"/>
        <v>70.53774083997475</v>
      </c>
      <c r="BI40" s="29">
        <f t="shared" si="101"/>
        <v>70.8663248197961</v>
      </c>
      <c r="BJ40" s="29">
        <f t="shared" si="101"/>
        <v>70.67272645004951</v>
      </c>
      <c r="BK40" s="9">
        <v>989</v>
      </c>
      <c r="BL40" s="9">
        <v>843</v>
      </c>
      <c r="BM40" s="10">
        <f t="shared" si="36"/>
        <v>1832</v>
      </c>
      <c r="BN40" s="9">
        <v>45</v>
      </c>
      <c r="BO40" s="9">
        <v>25</v>
      </c>
      <c r="BP40" s="10">
        <f t="shared" si="37"/>
        <v>70</v>
      </c>
      <c r="BQ40" s="9">
        <v>4</v>
      </c>
      <c r="BR40" s="9">
        <v>6</v>
      </c>
      <c r="BS40" s="10">
        <f t="shared" si="118"/>
        <v>10</v>
      </c>
      <c r="BT40" s="7">
        <f>SUM(BN40,BQ40)</f>
        <v>49</v>
      </c>
      <c r="BU40" s="7">
        <f>SUM(BO40,BR40)</f>
        <v>31</v>
      </c>
      <c r="BV40" s="10">
        <f>SUM(BT40,BU40)</f>
        <v>80</v>
      </c>
      <c r="BW40" s="76">
        <f>IF(BK40=0,"",BT40/BK40*100)</f>
        <v>4.954499494438827</v>
      </c>
      <c r="BX40" s="76">
        <f t="shared" si="162"/>
        <v>3.6773428232502967</v>
      </c>
      <c r="BY40" s="29">
        <f t="shared" si="162"/>
        <v>4.366812227074235</v>
      </c>
      <c r="BZ40" s="10">
        <f t="shared" si="39"/>
        <v>118183</v>
      </c>
      <c r="CA40" s="10">
        <f t="shared" si="39"/>
        <v>82556</v>
      </c>
      <c r="CB40" s="10">
        <f t="shared" si="40"/>
        <v>200739</v>
      </c>
      <c r="CC40" s="10">
        <f t="shared" si="41"/>
        <v>81104</v>
      </c>
      <c r="CD40" s="10">
        <f t="shared" si="41"/>
        <v>56407</v>
      </c>
      <c r="CE40" s="10">
        <f t="shared" si="42"/>
        <v>137511</v>
      </c>
      <c r="CF40" s="10">
        <f>BB40+BQ40</f>
        <v>1611</v>
      </c>
      <c r="CG40" s="10">
        <f>BC40+BR40</f>
        <v>1531</v>
      </c>
      <c r="CH40" s="10">
        <f>CF40+CG40</f>
        <v>3142</v>
      </c>
      <c r="CI40" s="7">
        <f>SUM(CC40,CF40)</f>
        <v>82715</v>
      </c>
      <c r="CJ40" s="7">
        <f>SUM(CD40,CG40)</f>
        <v>57938</v>
      </c>
      <c r="CK40" s="10">
        <f>SUM(CI40,CJ40)</f>
        <v>140653</v>
      </c>
      <c r="CL40" s="29">
        <f>IF(BZ40=0,"",CI40/BZ40*100)</f>
        <v>69.98891549546043</v>
      </c>
      <c r="CM40" s="29">
        <f>IF(CA40=0,"",CJ40/CA40*100)</f>
        <v>70.18024129076022</v>
      </c>
      <c r="CN40" s="29">
        <f>IF(CB40=0,"",CK40/CB40*100)</f>
        <v>70.06760021719745</v>
      </c>
      <c r="CO40" s="9">
        <v>80506</v>
      </c>
      <c r="CP40" s="9">
        <v>64713</v>
      </c>
      <c r="CQ40" s="10">
        <f t="shared" si="160"/>
        <v>145219</v>
      </c>
      <c r="CR40" s="9">
        <v>52392</v>
      </c>
      <c r="CS40" s="9">
        <v>40167</v>
      </c>
      <c r="CT40" s="10">
        <f t="shared" si="163"/>
        <v>92559</v>
      </c>
      <c r="CU40" s="9">
        <v>1339</v>
      </c>
      <c r="CV40" s="9">
        <v>1355</v>
      </c>
      <c r="CW40" s="10">
        <f t="shared" si="122"/>
        <v>2694</v>
      </c>
      <c r="CX40" s="7">
        <f t="shared" si="45"/>
        <v>53731</v>
      </c>
      <c r="CY40" s="7">
        <f t="shared" si="46"/>
        <v>41522</v>
      </c>
      <c r="CZ40" s="10">
        <f t="shared" si="104"/>
        <v>95253</v>
      </c>
      <c r="DA40" s="29">
        <f t="shared" si="105"/>
        <v>66.7416093210444</v>
      </c>
      <c r="DB40" s="29">
        <f t="shared" si="106"/>
        <v>64.16330567273964</v>
      </c>
      <c r="DC40" s="29">
        <f t="shared" si="107"/>
        <v>65.59265660829506</v>
      </c>
      <c r="DD40" s="9">
        <v>288</v>
      </c>
      <c r="DE40" s="9">
        <v>226</v>
      </c>
      <c r="DF40" s="10">
        <f t="shared" si="48"/>
        <v>514</v>
      </c>
      <c r="DG40" s="9">
        <v>14</v>
      </c>
      <c r="DH40" s="9">
        <v>4</v>
      </c>
      <c r="DI40" s="10">
        <f t="shared" si="49"/>
        <v>18</v>
      </c>
      <c r="DJ40" s="9">
        <v>5</v>
      </c>
      <c r="DK40" s="9">
        <v>2</v>
      </c>
      <c r="DL40" s="6">
        <f t="shared" si="123"/>
        <v>7</v>
      </c>
      <c r="DM40" s="7">
        <f>SUM(DG40,DJ40)</f>
        <v>19</v>
      </c>
      <c r="DN40" s="7">
        <f>SUM(DH40,DK40)</f>
        <v>6</v>
      </c>
      <c r="DO40" s="10">
        <f>SUM(DM40,DN40)</f>
        <v>25</v>
      </c>
      <c r="DP40" s="29">
        <f>IF(DD40=0,"",DM40/DD40*100)</f>
        <v>6.597222222222222</v>
      </c>
      <c r="DQ40" s="29">
        <f>IF(DE40=0,"",DN40/DE40*100)</f>
        <v>2.6548672566371683</v>
      </c>
      <c r="DR40" s="29">
        <f>IF(DF40=0,"",DO40/DF40*100)</f>
        <v>4.863813229571985</v>
      </c>
      <c r="DS40" s="10">
        <f t="shared" si="140"/>
        <v>80794</v>
      </c>
      <c r="DT40" s="10">
        <f t="shared" si="141"/>
        <v>64939</v>
      </c>
      <c r="DU40" s="10">
        <f t="shared" si="142"/>
        <v>145733</v>
      </c>
      <c r="DV40" s="10">
        <f t="shared" si="143"/>
        <v>52406</v>
      </c>
      <c r="DW40" s="10">
        <f t="shared" si="144"/>
        <v>40171</v>
      </c>
      <c r="DX40" s="10">
        <f t="shared" si="145"/>
        <v>92577</v>
      </c>
      <c r="DY40" s="10">
        <f>CU40+DJ40</f>
        <v>1344</v>
      </c>
      <c r="DZ40" s="10">
        <f>CV40+DK40</f>
        <v>1357</v>
      </c>
      <c r="EA40" s="10">
        <f>DY40+DZ40</f>
        <v>2701</v>
      </c>
      <c r="EB40" s="8">
        <f>SUM(DV40,DY40)</f>
        <v>53750</v>
      </c>
      <c r="EC40" s="8">
        <f>SUM(DW40,DZ40)</f>
        <v>41528</v>
      </c>
      <c r="ED40" s="10">
        <f>SUM(EB40,EC40)</f>
        <v>95278</v>
      </c>
      <c r="EE40" s="29">
        <f>IF(DS40=0,"",EB40/DS40*100)</f>
        <v>66.5272173676263</v>
      </c>
      <c r="EF40" s="29">
        <f>IF(DT40=0,"",EC40/DT40*100)</f>
        <v>63.94924467577264</v>
      </c>
      <c r="EG40" s="29">
        <f>IF(DU40=0,"",ED40/DU40*100)</f>
        <v>65.3784660989618</v>
      </c>
      <c r="EH40" s="20">
        <f>AP40</f>
        <v>473216</v>
      </c>
      <c r="EI40" s="20">
        <f>AQ40</f>
        <v>341629</v>
      </c>
      <c r="EJ40" s="20">
        <f>AR40</f>
        <v>814845</v>
      </c>
      <c r="EK40" s="42">
        <v>49698</v>
      </c>
      <c r="EL40" s="42">
        <v>33887</v>
      </c>
      <c r="EM40" s="20">
        <f t="shared" si="60"/>
        <v>83585</v>
      </c>
      <c r="EN40" s="20">
        <v>120699</v>
      </c>
      <c r="EO40" s="20">
        <v>89864</v>
      </c>
      <c r="EP40" s="20">
        <f t="shared" si="61"/>
        <v>210563</v>
      </c>
      <c r="EQ40" s="53">
        <f>EK40/EH40%</f>
        <v>10.502180822288341</v>
      </c>
      <c r="ER40" s="53">
        <f>EL40/EI40%</f>
        <v>9.919239877176704</v>
      </c>
      <c r="ES40" s="53">
        <f>EM40/EJ40%</f>
        <v>10.257779086820193</v>
      </c>
      <c r="ET40" s="41">
        <f>EN40/EH40%</f>
        <v>25.506111374087098</v>
      </c>
      <c r="EU40" s="41">
        <f>EO40/EI40%</f>
        <v>26.304558453761246</v>
      </c>
      <c r="EV40" s="41">
        <f>EP40/EJ40%</f>
        <v>25.84086544066663</v>
      </c>
      <c r="EW40" s="20">
        <f>CI40</f>
        <v>82715</v>
      </c>
      <c r="EX40" s="20">
        <f>CJ40</f>
        <v>57938</v>
      </c>
      <c r="EY40" s="20">
        <f>CK40</f>
        <v>140653</v>
      </c>
      <c r="EZ40" s="42">
        <v>5840</v>
      </c>
      <c r="FA40" s="42">
        <v>3133</v>
      </c>
      <c r="FB40" s="20">
        <f t="shared" si="71"/>
        <v>8973</v>
      </c>
      <c r="FC40" s="20">
        <v>18256</v>
      </c>
      <c r="FD40" s="20">
        <v>12313</v>
      </c>
      <c r="FE40" s="20">
        <f t="shared" si="72"/>
        <v>30569</v>
      </c>
      <c r="FF40" s="53">
        <f>EZ40/EW40%</f>
        <v>7.060388079550263</v>
      </c>
      <c r="FG40" s="53">
        <f>FA40/EX40%</f>
        <v>5.40750457385481</v>
      </c>
      <c r="FH40" s="53">
        <f>FB40/EY40%</f>
        <v>6.379529764740177</v>
      </c>
      <c r="FI40" s="41">
        <f>FC40/EW40%</f>
        <v>22.07096657196397</v>
      </c>
      <c r="FJ40" s="41">
        <f>FD40/EX40%</f>
        <v>21.252028029963064</v>
      </c>
      <c r="FK40" s="41">
        <f>FE40/EY40%</f>
        <v>21.73362814870639</v>
      </c>
      <c r="FL40" s="20">
        <f>EB40</f>
        <v>53750</v>
      </c>
      <c r="FM40" s="20">
        <f>EC40</f>
        <v>41528</v>
      </c>
      <c r="FN40" s="20">
        <f>ED40</f>
        <v>95278</v>
      </c>
      <c r="FO40" s="42">
        <v>3035</v>
      </c>
      <c r="FP40" s="42">
        <v>1466</v>
      </c>
      <c r="FQ40" s="20">
        <f t="shared" si="82"/>
        <v>4501</v>
      </c>
      <c r="FR40" s="20">
        <v>9704</v>
      </c>
      <c r="FS40" s="20">
        <v>6267</v>
      </c>
      <c r="FT40" s="20">
        <f t="shared" si="83"/>
        <v>15971</v>
      </c>
      <c r="FU40" s="53">
        <f t="shared" si="161"/>
        <v>5.6465116279069765</v>
      </c>
      <c r="FV40" s="53">
        <f>FP40/FM40%</f>
        <v>3.530148333654402</v>
      </c>
      <c r="FW40" s="53">
        <f>FR42/FN40%</f>
        <v>0</v>
      </c>
      <c r="FX40" s="41">
        <f>FR40/FL40%</f>
        <v>18.053953488372095</v>
      </c>
      <c r="FY40" s="41">
        <f>FS40/FM40%</f>
        <v>15.091022924292044</v>
      </c>
      <c r="FZ40" s="41">
        <f>FT40/FN40%</f>
        <v>16.762526501395914</v>
      </c>
    </row>
    <row r="41" spans="1:182" ht="29.25" customHeight="1">
      <c r="A41" s="3">
        <v>32</v>
      </c>
      <c r="B41" s="4" t="s">
        <v>33</v>
      </c>
      <c r="C41" s="7">
        <v>507507</v>
      </c>
      <c r="D41" s="7">
        <v>504412</v>
      </c>
      <c r="E41" s="16">
        <f t="shared" si="131"/>
        <v>1011919</v>
      </c>
      <c r="F41" s="7">
        <v>463618</v>
      </c>
      <c r="G41" s="7">
        <v>483717</v>
      </c>
      <c r="H41" s="8">
        <f aca="true" t="shared" si="164" ref="H41:H47">F41+G41</f>
        <v>947335</v>
      </c>
      <c r="I41" s="98"/>
      <c r="J41" s="98"/>
      <c r="K41" s="103">
        <f t="shared" si="113"/>
        <v>0</v>
      </c>
      <c r="L41" s="7">
        <f t="shared" si="23"/>
        <v>463618</v>
      </c>
      <c r="M41" s="7">
        <f t="shared" si="23"/>
        <v>483717</v>
      </c>
      <c r="N41" s="7">
        <f t="shared" si="23"/>
        <v>947335</v>
      </c>
      <c r="O41" s="29">
        <f t="shared" si="20"/>
        <v>91.3520404644665</v>
      </c>
      <c r="P41" s="29">
        <f t="shared" si="20"/>
        <v>95.89720308002188</v>
      </c>
      <c r="Q41" s="29">
        <f t="shared" si="20"/>
        <v>93.61767097959421</v>
      </c>
      <c r="R41" s="6">
        <v>36486</v>
      </c>
      <c r="S41" s="6">
        <v>12024</v>
      </c>
      <c r="T41" s="8">
        <f>R41+S41</f>
        <v>48510</v>
      </c>
      <c r="U41" s="6">
        <v>7102</v>
      </c>
      <c r="V41" s="6">
        <v>4151</v>
      </c>
      <c r="W41" s="8">
        <f t="shared" si="24"/>
        <v>11253</v>
      </c>
      <c r="X41" s="6">
        <v>3274</v>
      </c>
      <c r="Y41" s="6">
        <v>1419</v>
      </c>
      <c r="Z41" s="10">
        <f t="shared" si="114"/>
        <v>4693</v>
      </c>
      <c r="AA41" s="7">
        <f t="shared" si="25"/>
        <v>10376</v>
      </c>
      <c r="AB41" s="7">
        <f t="shared" si="25"/>
        <v>5570</v>
      </c>
      <c r="AC41" s="10">
        <f t="shared" si="115"/>
        <v>15946</v>
      </c>
      <c r="AD41" s="29">
        <f t="shared" si="112"/>
        <v>28.438305103327306</v>
      </c>
      <c r="AE41" s="29">
        <f t="shared" si="112"/>
        <v>46.324018629407846</v>
      </c>
      <c r="AF41" s="29">
        <f t="shared" si="112"/>
        <v>32.87157287157287</v>
      </c>
      <c r="AG41" s="10">
        <f t="shared" si="26"/>
        <v>543993</v>
      </c>
      <c r="AH41" s="10">
        <f t="shared" si="26"/>
        <v>516436</v>
      </c>
      <c r="AI41" s="10">
        <f t="shared" si="27"/>
        <v>1060429</v>
      </c>
      <c r="AJ41" s="10">
        <f t="shared" si="28"/>
        <v>470720</v>
      </c>
      <c r="AK41" s="10">
        <f t="shared" si="28"/>
        <v>487868</v>
      </c>
      <c r="AL41" s="10">
        <f t="shared" si="29"/>
        <v>958588</v>
      </c>
      <c r="AM41" s="10">
        <f t="shared" si="116"/>
        <v>3274</v>
      </c>
      <c r="AN41" s="10">
        <f t="shared" si="116"/>
        <v>1419</v>
      </c>
      <c r="AO41" s="10">
        <f t="shared" si="117"/>
        <v>4693</v>
      </c>
      <c r="AP41" s="7">
        <f t="shared" si="30"/>
        <v>473994</v>
      </c>
      <c r="AQ41" s="7">
        <f t="shared" si="30"/>
        <v>489287</v>
      </c>
      <c r="AR41" s="10">
        <f t="shared" si="98"/>
        <v>963281</v>
      </c>
      <c r="AS41" s="29">
        <f t="shared" si="99"/>
        <v>87.13237118859986</v>
      </c>
      <c r="AT41" s="29">
        <f t="shared" si="99"/>
        <v>94.74300784608354</v>
      </c>
      <c r="AU41" s="29">
        <f t="shared" si="99"/>
        <v>90.8388020320078</v>
      </c>
      <c r="AV41" s="9">
        <v>122299</v>
      </c>
      <c r="AW41" s="9">
        <v>126487</v>
      </c>
      <c r="AX41" s="10">
        <f t="shared" si="32"/>
        <v>248786</v>
      </c>
      <c r="AY41" s="9">
        <v>104938</v>
      </c>
      <c r="AZ41" s="9">
        <v>117284</v>
      </c>
      <c r="BA41" s="10">
        <f t="shared" si="33"/>
        <v>222222</v>
      </c>
      <c r="BB41" s="98"/>
      <c r="BC41" s="98"/>
      <c r="BD41" s="97">
        <f t="shared" si="132"/>
        <v>0</v>
      </c>
      <c r="BE41" s="7">
        <f t="shared" si="34"/>
        <v>104938</v>
      </c>
      <c r="BF41" s="7">
        <f t="shared" si="34"/>
        <v>117284</v>
      </c>
      <c r="BG41" s="10">
        <f t="shared" si="100"/>
        <v>222222</v>
      </c>
      <c r="BH41" s="29">
        <f t="shared" si="101"/>
        <v>85.80446283289317</v>
      </c>
      <c r="BI41" s="29">
        <f t="shared" si="101"/>
        <v>92.7241534703171</v>
      </c>
      <c r="BJ41" s="29">
        <f t="shared" si="101"/>
        <v>89.32255030427757</v>
      </c>
      <c r="BK41" s="9">
        <v>12872</v>
      </c>
      <c r="BL41" s="9">
        <v>4293</v>
      </c>
      <c r="BM41" s="10">
        <f>BK41+BL41</f>
        <v>17165</v>
      </c>
      <c r="BN41" s="9">
        <v>2216</v>
      </c>
      <c r="BO41" s="9">
        <v>1247</v>
      </c>
      <c r="BP41" s="10">
        <f t="shared" si="37"/>
        <v>3463</v>
      </c>
      <c r="BQ41" s="6">
        <v>1064</v>
      </c>
      <c r="BR41" s="6">
        <v>534</v>
      </c>
      <c r="BS41" s="10">
        <f t="shared" si="118"/>
        <v>1598</v>
      </c>
      <c r="BT41" s="7">
        <f t="shared" si="38"/>
        <v>3280</v>
      </c>
      <c r="BU41" s="7">
        <f t="shared" si="38"/>
        <v>1781</v>
      </c>
      <c r="BV41" s="10">
        <f t="shared" si="119"/>
        <v>5061</v>
      </c>
      <c r="BW41" s="76">
        <f t="shared" si="133"/>
        <v>25.4816656308266</v>
      </c>
      <c r="BX41" s="76">
        <f t="shared" si="133"/>
        <v>41.48614022827859</v>
      </c>
      <c r="BY41" s="29">
        <f>IF(BM41=0,"",BV41/BM41*100)</f>
        <v>29.484415962714827</v>
      </c>
      <c r="BZ41" s="10">
        <f t="shared" si="39"/>
        <v>135171</v>
      </c>
      <c r="CA41" s="10">
        <f t="shared" si="39"/>
        <v>130780</v>
      </c>
      <c r="CB41" s="10">
        <f t="shared" si="40"/>
        <v>265951</v>
      </c>
      <c r="CC41" s="10">
        <f t="shared" si="41"/>
        <v>107154</v>
      </c>
      <c r="CD41" s="10">
        <f t="shared" si="41"/>
        <v>118531</v>
      </c>
      <c r="CE41" s="10">
        <f t="shared" si="42"/>
        <v>225685</v>
      </c>
      <c r="CF41" s="10">
        <f t="shared" si="120"/>
        <v>1064</v>
      </c>
      <c r="CG41" s="10">
        <f t="shared" si="120"/>
        <v>534</v>
      </c>
      <c r="CH41" s="10">
        <f t="shared" si="121"/>
        <v>1598</v>
      </c>
      <c r="CI41" s="7">
        <f t="shared" si="43"/>
        <v>108218</v>
      </c>
      <c r="CJ41" s="7">
        <f t="shared" si="43"/>
        <v>119065</v>
      </c>
      <c r="CK41" s="10">
        <f t="shared" si="102"/>
        <v>227283</v>
      </c>
      <c r="CL41" s="29">
        <f t="shared" si="103"/>
        <v>80.06007205687611</v>
      </c>
      <c r="CM41" s="29">
        <f t="shared" si="103"/>
        <v>91.04220828872917</v>
      </c>
      <c r="CN41" s="29">
        <f t="shared" si="103"/>
        <v>85.46047956202459</v>
      </c>
      <c r="CO41" s="9">
        <v>4777</v>
      </c>
      <c r="CP41" s="9">
        <v>4731</v>
      </c>
      <c r="CQ41" s="10">
        <f t="shared" si="160"/>
        <v>9508</v>
      </c>
      <c r="CR41" s="9">
        <v>4170</v>
      </c>
      <c r="CS41" s="9">
        <v>4220</v>
      </c>
      <c r="CT41" s="10">
        <f t="shared" si="163"/>
        <v>8390</v>
      </c>
      <c r="CU41" s="98"/>
      <c r="CV41" s="98"/>
      <c r="CW41" s="97">
        <f>CU41+CV41</f>
        <v>0</v>
      </c>
      <c r="CX41" s="7">
        <f t="shared" si="45"/>
        <v>4170</v>
      </c>
      <c r="CY41" s="7">
        <f t="shared" si="46"/>
        <v>4220</v>
      </c>
      <c r="CZ41" s="10">
        <f t="shared" si="104"/>
        <v>8390</v>
      </c>
      <c r="DA41" s="29">
        <f t="shared" si="105"/>
        <v>87.29328030144443</v>
      </c>
      <c r="DB41" s="29">
        <f t="shared" si="106"/>
        <v>89.1989008666244</v>
      </c>
      <c r="DC41" s="29">
        <f t="shared" si="107"/>
        <v>88.24148085822465</v>
      </c>
      <c r="DD41" s="9">
        <v>384</v>
      </c>
      <c r="DE41" s="9">
        <v>153</v>
      </c>
      <c r="DF41" s="10">
        <f t="shared" si="48"/>
        <v>537</v>
      </c>
      <c r="DG41" s="9">
        <v>65</v>
      </c>
      <c r="DH41" s="9">
        <v>43</v>
      </c>
      <c r="DI41" s="10">
        <f t="shared" si="49"/>
        <v>108</v>
      </c>
      <c r="DJ41" s="6">
        <v>27</v>
      </c>
      <c r="DK41" s="6">
        <v>11</v>
      </c>
      <c r="DL41" s="6">
        <f t="shared" si="123"/>
        <v>38</v>
      </c>
      <c r="DM41" s="7">
        <f t="shared" si="124"/>
        <v>92</v>
      </c>
      <c r="DN41" s="7">
        <f t="shared" si="125"/>
        <v>54</v>
      </c>
      <c r="DO41" s="10">
        <f t="shared" si="126"/>
        <v>146</v>
      </c>
      <c r="DP41" s="29">
        <f t="shared" si="127"/>
        <v>23.958333333333336</v>
      </c>
      <c r="DQ41" s="29">
        <f t="shared" si="128"/>
        <v>35.294117647058826</v>
      </c>
      <c r="DR41" s="29">
        <f t="shared" si="129"/>
        <v>27.188081936685286</v>
      </c>
      <c r="DS41" s="10">
        <f t="shared" si="140"/>
        <v>5161</v>
      </c>
      <c r="DT41" s="10">
        <f t="shared" si="141"/>
        <v>4884</v>
      </c>
      <c r="DU41" s="10">
        <f t="shared" si="142"/>
        <v>10045</v>
      </c>
      <c r="DV41" s="10">
        <f t="shared" si="143"/>
        <v>4235</v>
      </c>
      <c r="DW41" s="10">
        <f t="shared" si="144"/>
        <v>4263</v>
      </c>
      <c r="DX41" s="10">
        <f t="shared" si="145"/>
        <v>8498</v>
      </c>
      <c r="DY41" s="10">
        <f t="shared" si="146"/>
        <v>27</v>
      </c>
      <c r="DZ41" s="10">
        <f t="shared" si="147"/>
        <v>11</v>
      </c>
      <c r="EA41" s="10">
        <f t="shared" si="148"/>
        <v>38</v>
      </c>
      <c r="EB41" s="8">
        <f t="shared" si="149"/>
        <v>4262</v>
      </c>
      <c r="EC41" s="8">
        <f t="shared" si="150"/>
        <v>4274</v>
      </c>
      <c r="ED41" s="10">
        <f t="shared" si="151"/>
        <v>8536</v>
      </c>
      <c r="EE41" s="29">
        <f t="shared" si="152"/>
        <v>82.58089517535362</v>
      </c>
      <c r="EF41" s="29">
        <f t="shared" si="153"/>
        <v>87.51023751023752</v>
      </c>
      <c r="EG41" s="29">
        <f t="shared" si="154"/>
        <v>84.97760079641613</v>
      </c>
      <c r="EH41" s="20">
        <f t="shared" si="108"/>
        <v>473994</v>
      </c>
      <c r="EI41" s="20">
        <f t="shared" si="109"/>
        <v>489287</v>
      </c>
      <c r="EJ41" s="20">
        <f t="shared" si="110"/>
        <v>963281</v>
      </c>
      <c r="EK41" s="42">
        <v>191678</v>
      </c>
      <c r="EL41" s="42">
        <v>261716</v>
      </c>
      <c r="EM41" s="20">
        <f t="shared" si="60"/>
        <v>453394</v>
      </c>
      <c r="EN41" s="20">
        <v>144320</v>
      </c>
      <c r="EO41" s="20">
        <v>135923</v>
      </c>
      <c r="EP41" s="20">
        <f t="shared" si="61"/>
        <v>280243</v>
      </c>
      <c r="EQ41" s="53">
        <f t="shared" si="62"/>
        <v>40.438908509390416</v>
      </c>
      <c r="ER41" s="53">
        <f t="shared" si="63"/>
        <v>53.48926090413193</v>
      </c>
      <c r="ES41" s="53">
        <f t="shared" si="64"/>
        <v>47.067678071092445</v>
      </c>
      <c r="ET41" s="41">
        <f t="shared" si="65"/>
        <v>30.44764279716621</v>
      </c>
      <c r="EU41" s="41">
        <f t="shared" si="66"/>
        <v>27.779810213637397</v>
      </c>
      <c r="EV41" s="41">
        <f t="shared" si="67"/>
        <v>29.09254931842318</v>
      </c>
      <c r="EW41" s="20">
        <f t="shared" si="68"/>
        <v>108218</v>
      </c>
      <c r="EX41" s="20">
        <f t="shared" si="69"/>
        <v>119065</v>
      </c>
      <c r="EY41" s="20">
        <f t="shared" si="70"/>
        <v>227283</v>
      </c>
      <c r="EZ41" s="42">
        <v>28427</v>
      </c>
      <c r="FA41" s="42">
        <v>44013</v>
      </c>
      <c r="FB41" s="20">
        <f t="shared" si="71"/>
        <v>72440</v>
      </c>
      <c r="FC41" s="20">
        <v>35701</v>
      </c>
      <c r="FD41" s="20">
        <v>40775</v>
      </c>
      <c r="FE41" s="20">
        <f t="shared" si="72"/>
        <v>76476</v>
      </c>
      <c r="FF41" s="53">
        <f t="shared" si="73"/>
        <v>26.268273300190355</v>
      </c>
      <c r="FG41" s="53">
        <f t="shared" si="74"/>
        <v>36.96552303363708</v>
      </c>
      <c r="FH41" s="53">
        <f t="shared" si="75"/>
        <v>31.8721593783961</v>
      </c>
      <c r="FI41" s="41">
        <f t="shared" si="76"/>
        <v>32.989890776026165</v>
      </c>
      <c r="FJ41" s="41">
        <f t="shared" si="77"/>
        <v>34.24600008398774</v>
      </c>
      <c r="FK41" s="41">
        <f t="shared" si="78"/>
        <v>33.647919114056045</v>
      </c>
      <c r="FL41" s="20">
        <f t="shared" si="155"/>
        <v>4262</v>
      </c>
      <c r="FM41" s="20">
        <f t="shared" si="156"/>
        <v>4274</v>
      </c>
      <c r="FN41" s="20">
        <f t="shared" si="157"/>
        <v>8536</v>
      </c>
      <c r="FO41" s="42">
        <v>1060</v>
      </c>
      <c r="FP41" s="42">
        <v>1219</v>
      </c>
      <c r="FQ41" s="20">
        <f t="shared" si="82"/>
        <v>2279</v>
      </c>
      <c r="FR41" s="20">
        <v>1491</v>
      </c>
      <c r="FS41" s="20">
        <v>1493</v>
      </c>
      <c r="FT41" s="20">
        <f t="shared" si="83"/>
        <v>2984</v>
      </c>
      <c r="FU41" s="53">
        <f t="shared" si="161"/>
        <v>24.870952604411077</v>
      </c>
      <c r="FV41" s="53">
        <f t="shared" si="84"/>
        <v>28.5212915301825</v>
      </c>
      <c r="FW41" s="53">
        <f t="shared" si="85"/>
        <v>26.698687910028116</v>
      </c>
      <c r="FX41" s="41">
        <f t="shared" si="86"/>
        <v>34.983575786015955</v>
      </c>
      <c r="FY41" s="41">
        <f t="shared" si="87"/>
        <v>34.93214787084698</v>
      </c>
      <c r="FZ41" s="41">
        <f t="shared" si="88"/>
        <v>34.957825679475164</v>
      </c>
    </row>
    <row r="42" spans="1:182" ht="29.25" customHeight="1">
      <c r="A42" s="3">
        <v>33</v>
      </c>
      <c r="B42" s="69" t="s">
        <v>77</v>
      </c>
      <c r="C42" s="110">
        <v>262187</v>
      </c>
      <c r="D42" s="7">
        <v>257307</v>
      </c>
      <c r="E42" s="16">
        <f t="shared" si="131"/>
        <v>519494</v>
      </c>
      <c r="F42" s="111">
        <v>222063</v>
      </c>
      <c r="G42" s="7">
        <v>222745</v>
      </c>
      <c r="H42" s="8">
        <f t="shared" si="164"/>
        <v>444808</v>
      </c>
      <c r="I42" s="98"/>
      <c r="J42" s="98"/>
      <c r="K42" s="103">
        <v>0</v>
      </c>
      <c r="L42" s="7">
        <f>SUM(F42,I42)</f>
        <v>222063</v>
      </c>
      <c r="M42" s="7">
        <f>SUM(G42,J42)</f>
        <v>222745</v>
      </c>
      <c r="N42" s="7">
        <f>SUM(H42,K42)</f>
        <v>444808</v>
      </c>
      <c r="O42" s="29">
        <f>L42/C42*100</f>
        <v>84.69641896814106</v>
      </c>
      <c r="P42" s="29">
        <f>M42/D42*100</f>
        <v>86.56779644549118</v>
      </c>
      <c r="Q42" s="29">
        <f>N42/E42*100</f>
        <v>85.62331807489596</v>
      </c>
      <c r="R42" s="112">
        <v>21590</v>
      </c>
      <c r="S42" s="83">
        <v>14180</v>
      </c>
      <c r="T42" s="8">
        <f>R42+S42</f>
        <v>35770</v>
      </c>
      <c r="U42" s="113">
        <v>8364</v>
      </c>
      <c r="V42" s="6">
        <v>5771</v>
      </c>
      <c r="W42" s="8">
        <f t="shared" si="24"/>
        <v>14135</v>
      </c>
      <c r="X42" s="6">
        <v>31897</v>
      </c>
      <c r="Y42" s="6">
        <v>26843</v>
      </c>
      <c r="Z42" s="10">
        <f t="shared" si="114"/>
        <v>58740</v>
      </c>
      <c r="AA42" s="7">
        <f t="shared" si="25"/>
        <v>40261</v>
      </c>
      <c r="AB42" s="7">
        <f t="shared" si="25"/>
        <v>32614</v>
      </c>
      <c r="AC42" s="10">
        <f t="shared" si="115"/>
        <v>72875</v>
      </c>
      <c r="AD42" s="100"/>
      <c r="AE42" s="100"/>
      <c r="AF42" s="100"/>
      <c r="AG42" s="10">
        <f>C42+R42</f>
        <v>283777</v>
      </c>
      <c r="AH42" s="10">
        <f>D42+S42</f>
        <v>271487</v>
      </c>
      <c r="AI42" s="10">
        <f>AG42+AH42</f>
        <v>555264</v>
      </c>
      <c r="AJ42" s="10">
        <f>F42+U42</f>
        <v>230427</v>
      </c>
      <c r="AK42" s="10">
        <f>G42+V42</f>
        <v>228516</v>
      </c>
      <c r="AL42" s="10">
        <f>AJ42+AK42</f>
        <v>458943</v>
      </c>
      <c r="AM42" s="10">
        <f>I42+X42</f>
        <v>31897</v>
      </c>
      <c r="AN42" s="10">
        <f>J42+Y42</f>
        <v>26843</v>
      </c>
      <c r="AO42" s="10">
        <f>AM42+AN42</f>
        <v>58740</v>
      </c>
      <c r="AP42" s="7">
        <f>SUM(AJ42,AM42)</f>
        <v>262324</v>
      </c>
      <c r="AQ42" s="7">
        <f>SUM(AK42,AN42)</f>
        <v>255359</v>
      </c>
      <c r="AR42" s="10">
        <f>SUM(AP42,AQ42)</f>
        <v>517683</v>
      </c>
      <c r="AS42" s="29">
        <f>IF(AG42=0,"",AP42/AG42*100)</f>
        <v>92.44019071313038</v>
      </c>
      <c r="AT42" s="29">
        <f>IF(AH42=0,"",AQ42/AH42*100)</f>
        <v>94.05938405890521</v>
      </c>
      <c r="AU42" s="29">
        <f>IF(AI42=0,"",AR42/AI42*100)</f>
        <v>93.23186808437067</v>
      </c>
      <c r="AV42" s="9">
        <v>45452</v>
      </c>
      <c r="AW42" s="9">
        <v>46293</v>
      </c>
      <c r="AX42" s="10">
        <f t="shared" si="32"/>
        <v>91745</v>
      </c>
      <c r="AY42" s="9">
        <v>37043</v>
      </c>
      <c r="AZ42" s="9">
        <v>38644</v>
      </c>
      <c r="BA42" s="10">
        <f t="shared" si="33"/>
        <v>75687</v>
      </c>
      <c r="BB42" s="98"/>
      <c r="BC42" s="98"/>
      <c r="BD42" s="97"/>
      <c r="BE42" s="7">
        <f t="shared" si="34"/>
        <v>37043</v>
      </c>
      <c r="BF42" s="7">
        <f t="shared" si="34"/>
        <v>38644</v>
      </c>
      <c r="BG42" s="10">
        <f t="shared" si="100"/>
        <v>75687</v>
      </c>
      <c r="BH42" s="29">
        <f t="shared" si="101"/>
        <v>81.49916395318138</v>
      </c>
      <c r="BI42" s="29">
        <f t="shared" si="101"/>
        <v>83.47698356122956</v>
      </c>
      <c r="BJ42" s="29">
        <f t="shared" si="101"/>
        <v>82.49713880865443</v>
      </c>
      <c r="BK42" s="9">
        <v>4216</v>
      </c>
      <c r="BL42" s="9">
        <v>3064</v>
      </c>
      <c r="BM42" s="10">
        <f>BK42+BL42</f>
        <v>7280</v>
      </c>
      <c r="BN42" s="9">
        <v>1476</v>
      </c>
      <c r="BO42" s="9">
        <v>1136</v>
      </c>
      <c r="BP42" s="10">
        <f t="shared" si="37"/>
        <v>2612</v>
      </c>
      <c r="BQ42" s="6">
        <v>6780</v>
      </c>
      <c r="BR42" s="6">
        <v>6159</v>
      </c>
      <c r="BS42" s="10">
        <f t="shared" si="118"/>
        <v>12939</v>
      </c>
      <c r="BT42" s="7">
        <f>SUM(BN42,BQ42)</f>
        <v>8256</v>
      </c>
      <c r="BU42" s="7">
        <f>SUM(BO42,BR42)</f>
        <v>7295</v>
      </c>
      <c r="BV42" s="10">
        <f>SUM(BT42,BU42)</f>
        <v>15551</v>
      </c>
      <c r="BW42" s="108"/>
      <c r="BX42" s="108"/>
      <c r="BY42" s="100"/>
      <c r="BZ42" s="10">
        <f>AV42+BK42</f>
        <v>49668</v>
      </c>
      <c r="CA42" s="10">
        <f>AW42+BL42</f>
        <v>49357</v>
      </c>
      <c r="CB42" s="10">
        <f>BZ42+CA42</f>
        <v>99025</v>
      </c>
      <c r="CC42" s="10">
        <f>AY42+BN42</f>
        <v>38519</v>
      </c>
      <c r="CD42" s="10">
        <f>AZ42+BO42</f>
        <v>39780</v>
      </c>
      <c r="CE42" s="10">
        <f>CC42+CD42</f>
        <v>78299</v>
      </c>
      <c r="CF42" s="10">
        <f>BB42+BQ42</f>
        <v>6780</v>
      </c>
      <c r="CG42" s="10">
        <f>BC42+BR42</f>
        <v>6159</v>
      </c>
      <c r="CH42" s="10">
        <f>CF42+CG42</f>
        <v>12939</v>
      </c>
      <c r="CI42" s="7">
        <f>SUM(CC42,CF42)</f>
        <v>45299</v>
      </c>
      <c r="CJ42" s="7">
        <f>SUM(CD42,CG42)</f>
        <v>45939</v>
      </c>
      <c r="CK42" s="10">
        <f>SUM(CI42,CJ42)</f>
        <v>91238</v>
      </c>
      <c r="CL42" s="29">
        <f>IF(BZ42=0,"",CI42/BZ42*100)</f>
        <v>91.20359184988322</v>
      </c>
      <c r="CM42" s="29">
        <f>IF(CA42=0,"",CJ42/CA42*100)</f>
        <v>93.07494377697186</v>
      </c>
      <c r="CN42" s="29">
        <f>IF(CB42=0,"",CK42/CB42*100)</f>
        <v>92.1363292097955</v>
      </c>
      <c r="CO42" s="9">
        <v>25380</v>
      </c>
      <c r="CP42" s="9">
        <v>23479</v>
      </c>
      <c r="CQ42" s="10">
        <f t="shared" si="160"/>
        <v>48859</v>
      </c>
      <c r="CR42" s="9">
        <v>21374</v>
      </c>
      <c r="CS42" s="9">
        <v>19702</v>
      </c>
      <c r="CT42" s="10">
        <f t="shared" si="163"/>
        <v>41076</v>
      </c>
      <c r="CU42" s="98"/>
      <c r="CV42" s="98"/>
      <c r="CW42" s="97"/>
      <c r="CX42" s="7">
        <f t="shared" si="45"/>
        <v>21374</v>
      </c>
      <c r="CY42" s="7">
        <f t="shared" si="46"/>
        <v>19702</v>
      </c>
      <c r="CZ42" s="10">
        <f t="shared" si="104"/>
        <v>41076</v>
      </c>
      <c r="DA42" s="29">
        <f t="shared" si="105"/>
        <v>84.21591804570528</v>
      </c>
      <c r="DB42" s="29">
        <f t="shared" si="106"/>
        <v>83.91328421142298</v>
      </c>
      <c r="DC42" s="29">
        <f t="shared" si="107"/>
        <v>84.0704885486809</v>
      </c>
      <c r="DD42" s="9">
        <v>2045</v>
      </c>
      <c r="DE42" s="9">
        <v>1568</v>
      </c>
      <c r="DF42" s="10">
        <f t="shared" si="48"/>
        <v>3613</v>
      </c>
      <c r="DG42" s="9">
        <v>770</v>
      </c>
      <c r="DH42" s="9">
        <v>620</v>
      </c>
      <c r="DI42" s="10">
        <f t="shared" si="49"/>
        <v>1390</v>
      </c>
      <c r="DJ42" s="6">
        <v>3203</v>
      </c>
      <c r="DK42" s="6">
        <v>2954</v>
      </c>
      <c r="DL42" s="6">
        <f t="shared" si="123"/>
        <v>6157</v>
      </c>
      <c r="DM42" s="7">
        <f>SUM(DG42,DJ42)</f>
        <v>3973</v>
      </c>
      <c r="DN42" s="7">
        <f>SUM(DH42,DK42)</f>
        <v>3574</v>
      </c>
      <c r="DO42" s="10">
        <f>SUM(DM42,DN42)</f>
        <v>7547</v>
      </c>
      <c r="DP42" s="100"/>
      <c r="DQ42" s="100"/>
      <c r="DR42" s="100"/>
      <c r="DS42" s="10">
        <f>CO42+DD42</f>
        <v>27425</v>
      </c>
      <c r="DT42" s="10">
        <f>CP42+DE42</f>
        <v>25047</v>
      </c>
      <c r="DU42" s="10">
        <f>DS42+DT42</f>
        <v>52472</v>
      </c>
      <c r="DV42" s="10">
        <f>CR42+DG42</f>
        <v>22144</v>
      </c>
      <c r="DW42" s="10">
        <f>CS42+DH42</f>
        <v>20322</v>
      </c>
      <c r="DX42" s="10">
        <f>DV42+DW42</f>
        <v>42466</v>
      </c>
      <c r="DY42" s="10">
        <f>CU42+DJ42</f>
        <v>3203</v>
      </c>
      <c r="DZ42" s="10">
        <f>CV42+DK42</f>
        <v>2954</v>
      </c>
      <c r="EA42" s="10">
        <f>DY42+DZ42</f>
        <v>6157</v>
      </c>
      <c r="EB42" s="8">
        <f>SUM(DV42,DY42)</f>
        <v>25347</v>
      </c>
      <c r="EC42" s="8">
        <f>SUM(DW42,DZ42)</f>
        <v>23276</v>
      </c>
      <c r="ED42" s="10">
        <f>SUM(EB42,EC42)</f>
        <v>48623</v>
      </c>
      <c r="EE42" s="29">
        <f>IF(DS42=0,"",EB42/DS42*100)</f>
        <v>92.42297174111212</v>
      </c>
      <c r="EF42" s="29">
        <f>IF(DT42=0,"",EC42/DT42*100)</f>
        <v>92.92929292929293</v>
      </c>
      <c r="EG42" s="29">
        <f>IF(DU42=0,"",ED42/DU42*100)</f>
        <v>92.66465924683641</v>
      </c>
      <c r="EH42" s="20">
        <f>AP42</f>
        <v>262324</v>
      </c>
      <c r="EI42" s="20">
        <f>AQ42</f>
        <v>255359</v>
      </c>
      <c r="EJ42" s="20">
        <f>AR42</f>
        <v>517683</v>
      </c>
      <c r="EK42" s="42">
        <v>416</v>
      </c>
      <c r="EL42" s="42">
        <v>297</v>
      </c>
      <c r="EM42" s="20">
        <f>EK42+EL42</f>
        <v>713</v>
      </c>
      <c r="EN42" s="20">
        <v>954</v>
      </c>
      <c r="EO42" s="20">
        <v>800</v>
      </c>
      <c r="EP42" s="20">
        <f>EN42+EO42</f>
        <v>1754</v>
      </c>
      <c r="EQ42" s="53">
        <f aca="true" t="shared" si="165" ref="EQ42:ES43">EK42/EH42%</f>
        <v>0.1585825162775804</v>
      </c>
      <c r="ER42" s="53">
        <f t="shared" si="165"/>
        <v>0.1163068464397182</v>
      </c>
      <c r="ES42" s="53">
        <f t="shared" si="165"/>
        <v>0.13772907358364095</v>
      </c>
      <c r="ET42" s="41">
        <f aca="true" t="shared" si="166" ref="ET42:EV43">EN42/EH42%</f>
        <v>0.36367240511733584</v>
      </c>
      <c r="EU42" s="41">
        <f t="shared" si="166"/>
        <v>0.3132844348544598</v>
      </c>
      <c r="EV42" s="41">
        <f t="shared" si="166"/>
        <v>0.3388173843838797</v>
      </c>
      <c r="EW42" s="20">
        <f>CI42</f>
        <v>45299</v>
      </c>
      <c r="EX42" s="20">
        <f>CJ42</f>
        <v>45939</v>
      </c>
      <c r="EY42" s="20">
        <f>CK42</f>
        <v>91238</v>
      </c>
      <c r="EZ42" s="101"/>
      <c r="FA42" s="101"/>
      <c r="FB42" s="101"/>
      <c r="FC42" s="101"/>
      <c r="FD42" s="101"/>
      <c r="FE42" s="101"/>
      <c r="FF42" s="100"/>
      <c r="FG42" s="100"/>
      <c r="FH42" s="100"/>
      <c r="FI42" s="102"/>
      <c r="FJ42" s="102"/>
      <c r="FK42" s="102"/>
      <c r="FL42" s="20">
        <f>EB42</f>
        <v>25347</v>
      </c>
      <c r="FM42" s="20">
        <f>EC42</f>
        <v>23276</v>
      </c>
      <c r="FN42" s="20">
        <f>ED42</f>
        <v>48623</v>
      </c>
      <c r="FO42" s="101"/>
      <c r="FP42" s="101"/>
      <c r="FQ42" s="101"/>
      <c r="FR42" s="101"/>
      <c r="FS42" s="101"/>
      <c r="FT42" s="101"/>
      <c r="FU42" s="100"/>
      <c r="FV42" s="100"/>
      <c r="FW42" s="100"/>
      <c r="FX42" s="102"/>
      <c r="FY42" s="102"/>
      <c r="FZ42" s="102"/>
    </row>
    <row r="43" spans="1:182" ht="29.25" customHeight="1">
      <c r="A43" s="3">
        <v>34</v>
      </c>
      <c r="B43" s="4" t="s">
        <v>34</v>
      </c>
      <c r="C43" s="13">
        <v>16575</v>
      </c>
      <c r="D43" s="9">
        <v>16166</v>
      </c>
      <c r="E43" s="16">
        <f t="shared" si="131"/>
        <v>32741</v>
      </c>
      <c r="F43" s="14">
        <v>11364</v>
      </c>
      <c r="G43" s="9">
        <v>10292</v>
      </c>
      <c r="H43" s="8">
        <f t="shared" si="164"/>
        <v>21656</v>
      </c>
      <c r="I43" s="98"/>
      <c r="J43" s="98"/>
      <c r="K43" s="103">
        <f t="shared" si="113"/>
        <v>0</v>
      </c>
      <c r="L43" s="7">
        <f t="shared" si="23"/>
        <v>11364</v>
      </c>
      <c r="M43" s="7">
        <f t="shared" si="23"/>
        <v>10292</v>
      </c>
      <c r="N43" s="7">
        <f t="shared" si="23"/>
        <v>21656</v>
      </c>
      <c r="O43" s="29">
        <f t="shared" si="20"/>
        <v>68.56108597285068</v>
      </c>
      <c r="P43" s="29">
        <f t="shared" si="20"/>
        <v>63.66448100952616</v>
      </c>
      <c r="Q43" s="29">
        <f t="shared" si="20"/>
        <v>66.1433676430164</v>
      </c>
      <c r="R43" s="13">
        <v>6476</v>
      </c>
      <c r="S43" s="9">
        <v>6318</v>
      </c>
      <c r="T43" s="8">
        <f>R43+S43</f>
        <v>12794</v>
      </c>
      <c r="U43" s="14">
        <v>1729</v>
      </c>
      <c r="V43" s="9">
        <v>1831</v>
      </c>
      <c r="W43" s="8">
        <f t="shared" si="24"/>
        <v>3560</v>
      </c>
      <c r="X43" s="98"/>
      <c r="Y43" s="98"/>
      <c r="Z43" s="97"/>
      <c r="AA43" s="7">
        <f>SUM(U43,X43)</f>
        <v>1729</v>
      </c>
      <c r="AB43" s="7">
        <f>SUM(V43,Y43)</f>
        <v>1831</v>
      </c>
      <c r="AC43" s="10">
        <f>SUM(AA43,AB43)</f>
        <v>3560</v>
      </c>
      <c r="AD43" s="29">
        <f>IF(R43=0,"",AA43/R43*100)</f>
        <v>26.698579369981466</v>
      </c>
      <c r="AE43" s="29">
        <f>IF(S43=0,"",AB43/S43*100)</f>
        <v>28.980690091801204</v>
      </c>
      <c r="AF43" s="29">
        <f>IF(T43=0,"",AC43/T43*100)</f>
        <v>27.825543223385964</v>
      </c>
      <c r="AG43" s="10">
        <f t="shared" si="26"/>
        <v>23051</v>
      </c>
      <c r="AH43" s="10">
        <f t="shared" si="26"/>
        <v>22484</v>
      </c>
      <c r="AI43" s="10">
        <f t="shared" si="27"/>
        <v>45535</v>
      </c>
      <c r="AJ43" s="10">
        <f t="shared" si="28"/>
        <v>13093</v>
      </c>
      <c r="AK43" s="10">
        <f t="shared" si="28"/>
        <v>12123</v>
      </c>
      <c r="AL43" s="10">
        <f t="shared" si="29"/>
        <v>25216</v>
      </c>
      <c r="AM43" s="10">
        <f t="shared" si="116"/>
        <v>0</v>
      </c>
      <c r="AN43" s="10">
        <f t="shared" si="116"/>
        <v>0</v>
      </c>
      <c r="AO43" s="10">
        <f t="shared" si="117"/>
        <v>0</v>
      </c>
      <c r="AP43" s="7">
        <f t="shared" si="30"/>
        <v>13093</v>
      </c>
      <c r="AQ43" s="7">
        <f t="shared" si="30"/>
        <v>12123</v>
      </c>
      <c r="AR43" s="10">
        <f t="shared" si="98"/>
        <v>25216</v>
      </c>
      <c r="AS43" s="29">
        <f t="shared" si="99"/>
        <v>56.800138822610734</v>
      </c>
      <c r="AT43" s="29">
        <f t="shared" si="99"/>
        <v>53.91834193204056</v>
      </c>
      <c r="AU43" s="29">
        <f t="shared" si="99"/>
        <v>55.377182387174706</v>
      </c>
      <c r="AV43" s="9">
        <v>3209</v>
      </c>
      <c r="AW43" s="9">
        <v>3060</v>
      </c>
      <c r="AX43" s="10">
        <f t="shared" si="32"/>
        <v>6269</v>
      </c>
      <c r="AY43" s="9">
        <v>2420</v>
      </c>
      <c r="AZ43" s="9">
        <v>2196</v>
      </c>
      <c r="BA43" s="10">
        <f t="shared" si="33"/>
        <v>4616</v>
      </c>
      <c r="BB43" s="98"/>
      <c r="BC43" s="98"/>
      <c r="BD43" s="97"/>
      <c r="BE43" s="7">
        <f t="shared" si="34"/>
        <v>2420</v>
      </c>
      <c r="BF43" s="7">
        <f t="shared" si="34"/>
        <v>2196</v>
      </c>
      <c r="BG43" s="10">
        <f t="shared" si="100"/>
        <v>4616</v>
      </c>
      <c r="BH43" s="29">
        <f t="shared" si="101"/>
        <v>75.41290121533189</v>
      </c>
      <c r="BI43" s="29">
        <f t="shared" si="101"/>
        <v>71.76470588235294</v>
      </c>
      <c r="BJ43" s="29">
        <f t="shared" si="101"/>
        <v>73.63215823895358</v>
      </c>
      <c r="BK43" s="9">
        <v>1042</v>
      </c>
      <c r="BL43" s="9">
        <v>978</v>
      </c>
      <c r="BM43" s="10">
        <f t="shared" si="36"/>
        <v>2020</v>
      </c>
      <c r="BN43" s="9">
        <v>259</v>
      </c>
      <c r="BO43" s="9">
        <v>306</v>
      </c>
      <c r="BP43" s="10">
        <f t="shared" si="37"/>
        <v>565</v>
      </c>
      <c r="BQ43" s="98"/>
      <c r="BR43" s="98"/>
      <c r="BS43" s="97"/>
      <c r="BT43" s="7">
        <f t="shared" si="38"/>
        <v>259</v>
      </c>
      <c r="BU43" s="7">
        <f t="shared" si="38"/>
        <v>306</v>
      </c>
      <c r="BV43" s="10">
        <f t="shared" si="119"/>
        <v>565</v>
      </c>
      <c r="BW43" s="76">
        <f t="shared" si="133"/>
        <v>24.856046065259115</v>
      </c>
      <c r="BX43" s="76">
        <f t="shared" si="133"/>
        <v>31.28834355828221</v>
      </c>
      <c r="BY43" s="29">
        <f t="shared" si="133"/>
        <v>27.970297029702973</v>
      </c>
      <c r="BZ43" s="10">
        <f t="shared" si="39"/>
        <v>4251</v>
      </c>
      <c r="CA43" s="10">
        <f t="shared" si="39"/>
        <v>4038</v>
      </c>
      <c r="CB43" s="10">
        <f t="shared" si="40"/>
        <v>8289</v>
      </c>
      <c r="CC43" s="10">
        <f t="shared" si="41"/>
        <v>2679</v>
      </c>
      <c r="CD43" s="10">
        <f t="shared" si="41"/>
        <v>2502</v>
      </c>
      <c r="CE43" s="10">
        <f t="shared" si="42"/>
        <v>5181</v>
      </c>
      <c r="CF43" s="97"/>
      <c r="CG43" s="97"/>
      <c r="CH43" s="97"/>
      <c r="CI43" s="7">
        <f t="shared" si="43"/>
        <v>2679</v>
      </c>
      <c r="CJ43" s="7">
        <f t="shared" si="43"/>
        <v>2502</v>
      </c>
      <c r="CK43" s="10">
        <f t="shared" si="102"/>
        <v>5181</v>
      </c>
      <c r="CL43" s="29">
        <f t="shared" si="103"/>
        <v>63.02046577275935</v>
      </c>
      <c r="CM43" s="29">
        <f t="shared" si="103"/>
        <v>61.96136701337296</v>
      </c>
      <c r="CN43" s="29">
        <f t="shared" si="103"/>
        <v>62.50452406804199</v>
      </c>
      <c r="CO43" s="9">
        <v>5141</v>
      </c>
      <c r="CP43" s="9">
        <v>4681</v>
      </c>
      <c r="CQ43" s="10">
        <f t="shared" si="160"/>
        <v>9822</v>
      </c>
      <c r="CR43" s="9">
        <v>2314</v>
      </c>
      <c r="CS43" s="9">
        <v>1711</v>
      </c>
      <c r="CT43" s="10">
        <f t="shared" si="163"/>
        <v>4025</v>
      </c>
      <c r="CU43" s="98"/>
      <c r="CV43" s="98"/>
      <c r="CW43" s="97"/>
      <c r="CX43" s="7">
        <f t="shared" si="45"/>
        <v>2314</v>
      </c>
      <c r="CY43" s="7">
        <f t="shared" si="46"/>
        <v>1711</v>
      </c>
      <c r="CZ43" s="10">
        <f t="shared" si="104"/>
        <v>4025</v>
      </c>
      <c r="DA43" s="29">
        <f t="shared" si="105"/>
        <v>45.01069830772224</v>
      </c>
      <c r="DB43" s="29">
        <f t="shared" si="106"/>
        <v>36.552018799401836</v>
      </c>
      <c r="DC43" s="29">
        <f t="shared" si="107"/>
        <v>40.97943392384443</v>
      </c>
      <c r="DD43" s="9">
        <v>3149</v>
      </c>
      <c r="DE43" s="9">
        <v>2876</v>
      </c>
      <c r="DF43" s="10">
        <f t="shared" si="48"/>
        <v>6025</v>
      </c>
      <c r="DG43" s="9">
        <v>904</v>
      </c>
      <c r="DH43" s="9">
        <v>767</v>
      </c>
      <c r="DI43" s="10">
        <f t="shared" si="49"/>
        <v>1671</v>
      </c>
      <c r="DJ43" s="98"/>
      <c r="DK43" s="98"/>
      <c r="DL43" s="98"/>
      <c r="DM43" s="7">
        <f t="shared" si="124"/>
        <v>904</v>
      </c>
      <c r="DN43" s="7">
        <f t="shared" si="125"/>
        <v>767</v>
      </c>
      <c r="DO43" s="10">
        <f t="shared" si="126"/>
        <v>1671</v>
      </c>
      <c r="DP43" s="29">
        <f t="shared" si="127"/>
        <v>28.707526198793264</v>
      </c>
      <c r="DQ43" s="29">
        <f t="shared" si="128"/>
        <v>26.668984700973574</v>
      </c>
      <c r="DR43" s="29">
        <f t="shared" si="129"/>
        <v>27.734439834024897</v>
      </c>
      <c r="DS43" s="10">
        <f t="shared" si="140"/>
        <v>8290</v>
      </c>
      <c r="DT43" s="10">
        <f t="shared" si="141"/>
        <v>7557</v>
      </c>
      <c r="DU43" s="10">
        <f t="shared" si="142"/>
        <v>15847</v>
      </c>
      <c r="DV43" s="10">
        <f t="shared" si="143"/>
        <v>3218</v>
      </c>
      <c r="DW43" s="10">
        <f t="shared" si="144"/>
        <v>2478</v>
      </c>
      <c r="DX43" s="10">
        <f t="shared" si="145"/>
        <v>5696</v>
      </c>
      <c r="DY43" s="97"/>
      <c r="DZ43" s="97"/>
      <c r="EA43" s="97"/>
      <c r="EB43" s="8">
        <f t="shared" si="149"/>
        <v>3218</v>
      </c>
      <c r="EC43" s="8">
        <f t="shared" si="150"/>
        <v>2478</v>
      </c>
      <c r="ED43" s="10">
        <f t="shared" si="151"/>
        <v>5696</v>
      </c>
      <c r="EE43" s="29">
        <f t="shared" si="152"/>
        <v>38.81785283474065</v>
      </c>
      <c r="EF43" s="29">
        <f t="shared" si="153"/>
        <v>32.79078999603017</v>
      </c>
      <c r="EG43" s="29">
        <f t="shared" si="154"/>
        <v>35.943711743547674</v>
      </c>
      <c r="EH43" s="20">
        <f t="shared" si="108"/>
        <v>13093</v>
      </c>
      <c r="EI43" s="20">
        <f t="shared" si="109"/>
        <v>12123</v>
      </c>
      <c r="EJ43" s="20">
        <f t="shared" si="110"/>
        <v>25216</v>
      </c>
      <c r="EK43" s="42">
        <v>416</v>
      </c>
      <c r="EL43" s="42">
        <v>297</v>
      </c>
      <c r="EM43" s="20">
        <f t="shared" si="60"/>
        <v>713</v>
      </c>
      <c r="EN43" s="20">
        <v>954</v>
      </c>
      <c r="EO43" s="20">
        <v>800</v>
      </c>
      <c r="EP43" s="20">
        <f t="shared" si="61"/>
        <v>1754</v>
      </c>
      <c r="EQ43" s="53">
        <f t="shared" si="165"/>
        <v>3.1772702971053235</v>
      </c>
      <c r="ER43" s="53">
        <f t="shared" si="165"/>
        <v>2.4498886414253898</v>
      </c>
      <c r="ES43" s="53">
        <f t="shared" si="165"/>
        <v>2.8275697969543145</v>
      </c>
      <c r="ET43" s="41">
        <f t="shared" si="166"/>
        <v>7.28633621018865</v>
      </c>
      <c r="EU43" s="41">
        <f t="shared" si="166"/>
        <v>6.599026643570073</v>
      </c>
      <c r="EV43" s="41">
        <f t="shared" si="166"/>
        <v>6.955901015228426</v>
      </c>
      <c r="EW43" s="20">
        <f t="shared" si="68"/>
        <v>2679</v>
      </c>
      <c r="EX43" s="20">
        <f t="shared" si="69"/>
        <v>2502</v>
      </c>
      <c r="EY43" s="20">
        <f t="shared" si="70"/>
        <v>5181</v>
      </c>
      <c r="EZ43" s="42">
        <v>59</v>
      </c>
      <c r="FA43" s="42">
        <v>42</v>
      </c>
      <c r="FB43" s="20">
        <f t="shared" si="71"/>
        <v>101</v>
      </c>
      <c r="FC43" s="20">
        <v>193</v>
      </c>
      <c r="FD43" s="20">
        <v>154</v>
      </c>
      <c r="FE43" s="20">
        <f t="shared" si="72"/>
        <v>347</v>
      </c>
      <c r="FF43" s="53">
        <f t="shared" si="73"/>
        <v>2.202314296379246</v>
      </c>
      <c r="FG43" s="53">
        <f t="shared" si="74"/>
        <v>1.6786570743405276</v>
      </c>
      <c r="FH43" s="53">
        <f t="shared" si="75"/>
        <v>1.9494306118509939</v>
      </c>
      <c r="FI43" s="41">
        <f t="shared" si="76"/>
        <v>7.204180664427025</v>
      </c>
      <c r="FJ43" s="41">
        <f t="shared" si="77"/>
        <v>6.155075939248602</v>
      </c>
      <c r="FK43" s="41">
        <f t="shared" si="78"/>
        <v>6.697548735765296</v>
      </c>
      <c r="FL43" s="20">
        <f t="shared" si="155"/>
        <v>3218</v>
      </c>
      <c r="FM43" s="20">
        <f t="shared" si="156"/>
        <v>2478</v>
      </c>
      <c r="FN43" s="20">
        <f t="shared" si="157"/>
        <v>5696</v>
      </c>
      <c r="FO43" s="42">
        <v>12</v>
      </c>
      <c r="FP43" s="42">
        <v>7</v>
      </c>
      <c r="FQ43" s="20">
        <f t="shared" si="82"/>
        <v>19</v>
      </c>
      <c r="FR43" s="20">
        <v>40</v>
      </c>
      <c r="FS43" s="20">
        <v>40</v>
      </c>
      <c r="FT43" s="20">
        <f t="shared" si="83"/>
        <v>80</v>
      </c>
      <c r="FU43" s="53">
        <f>FO43/FL43%</f>
        <v>0.3729024238657551</v>
      </c>
      <c r="FV43" s="53">
        <f t="shared" si="84"/>
        <v>0.2824858757062147</v>
      </c>
      <c r="FW43" s="53">
        <f t="shared" si="85"/>
        <v>0.33356741573033705</v>
      </c>
      <c r="FX43" s="41">
        <f t="shared" si="86"/>
        <v>1.2430080795525171</v>
      </c>
      <c r="FY43" s="41">
        <f t="shared" si="87"/>
        <v>1.6142050040355125</v>
      </c>
      <c r="FZ43" s="41">
        <f t="shared" si="88"/>
        <v>1.4044943820224718</v>
      </c>
    </row>
    <row r="44" spans="1:182" ht="29.25" customHeight="1">
      <c r="A44" s="3">
        <v>35</v>
      </c>
      <c r="B44" s="4" t="s">
        <v>35</v>
      </c>
      <c r="C44" s="7">
        <v>1722671</v>
      </c>
      <c r="D44" s="7">
        <v>1450079</v>
      </c>
      <c r="E44" s="16">
        <f t="shared" si="131"/>
        <v>3172750</v>
      </c>
      <c r="F44" s="7">
        <v>1466706</v>
      </c>
      <c r="G44" s="7">
        <v>1325391</v>
      </c>
      <c r="H44" s="8">
        <f t="shared" si="164"/>
        <v>2792097</v>
      </c>
      <c r="I44" s="114"/>
      <c r="J44" s="114"/>
      <c r="K44" s="115"/>
      <c r="L44" s="7">
        <f t="shared" si="23"/>
        <v>1466706</v>
      </c>
      <c r="M44" s="7">
        <f t="shared" si="23"/>
        <v>1325391</v>
      </c>
      <c r="N44" s="7">
        <f t="shared" si="23"/>
        <v>2792097</v>
      </c>
      <c r="O44" s="29">
        <f t="shared" si="20"/>
        <v>85.14138799573453</v>
      </c>
      <c r="P44" s="29">
        <f t="shared" si="20"/>
        <v>91.40129606731772</v>
      </c>
      <c r="Q44" s="29">
        <f t="shared" si="20"/>
        <v>88.00242691671262</v>
      </c>
      <c r="R44" s="7">
        <v>58713</v>
      </c>
      <c r="S44" s="7">
        <v>14085</v>
      </c>
      <c r="T44" s="8">
        <f t="shared" si="111"/>
        <v>72798</v>
      </c>
      <c r="U44" s="7">
        <v>46715</v>
      </c>
      <c r="V44" s="7">
        <v>11445</v>
      </c>
      <c r="W44" s="8">
        <f t="shared" si="24"/>
        <v>58160</v>
      </c>
      <c r="X44" s="98"/>
      <c r="Y44" s="98"/>
      <c r="Z44" s="97">
        <f t="shared" si="114"/>
        <v>0</v>
      </c>
      <c r="AA44" s="7">
        <f t="shared" si="25"/>
        <v>46715</v>
      </c>
      <c r="AB44" s="7">
        <f t="shared" si="25"/>
        <v>11445</v>
      </c>
      <c r="AC44" s="10">
        <f t="shared" si="115"/>
        <v>58160</v>
      </c>
      <c r="AD44" s="29">
        <f t="shared" si="112"/>
        <v>79.56500263996048</v>
      </c>
      <c r="AE44" s="29">
        <f t="shared" si="112"/>
        <v>81.2566560170394</v>
      </c>
      <c r="AF44" s="29">
        <f t="shared" si="112"/>
        <v>79.89230473364653</v>
      </c>
      <c r="AG44" s="10">
        <f t="shared" si="26"/>
        <v>1781384</v>
      </c>
      <c r="AH44" s="10">
        <f t="shared" si="26"/>
        <v>1464164</v>
      </c>
      <c r="AI44" s="10">
        <f t="shared" si="27"/>
        <v>3245548</v>
      </c>
      <c r="AJ44" s="10">
        <f t="shared" si="28"/>
        <v>1513421</v>
      </c>
      <c r="AK44" s="10">
        <f t="shared" si="28"/>
        <v>1336836</v>
      </c>
      <c r="AL44" s="10">
        <f t="shared" si="29"/>
        <v>2850257</v>
      </c>
      <c r="AM44" s="97">
        <f t="shared" si="116"/>
        <v>0</v>
      </c>
      <c r="AN44" s="97">
        <f t="shared" si="116"/>
        <v>0</v>
      </c>
      <c r="AO44" s="97">
        <f t="shared" si="117"/>
        <v>0</v>
      </c>
      <c r="AP44" s="7">
        <f t="shared" si="30"/>
        <v>1513421</v>
      </c>
      <c r="AQ44" s="7">
        <f t="shared" si="30"/>
        <v>1336836</v>
      </c>
      <c r="AR44" s="10">
        <f t="shared" si="98"/>
        <v>2850257</v>
      </c>
      <c r="AS44" s="29">
        <f t="shared" si="99"/>
        <v>84.95759476901105</v>
      </c>
      <c r="AT44" s="29">
        <f t="shared" si="99"/>
        <v>91.30370641540155</v>
      </c>
      <c r="AU44" s="29">
        <f t="shared" si="99"/>
        <v>87.82051598066028</v>
      </c>
      <c r="AV44" s="9">
        <v>377637</v>
      </c>
      <c r="AW44" s="9">
        <v>318623</v>
      </c>
      <c r="AX44" s="10">
        <f t="shared" si="32"/>
        <v>696260</v>
      </c>
      <c r="AY44" s="9">
        <v>304564</v>
      </c>
      <c r="AZ44" s="9">
        <v>275876</v>
      </c>
      <c r="BA44" s="10">
        <f t="shared" si="33"/>
        <v>580440</v>
      </c>
      <c r="BB44" s="98"/>
      <c r="BC44" s="98"/>
      <c r="BD44" s="97"/>
      <c r="BE44" s="7">
        <f t="shared" si="34"/>
        <v>304564</v>
      </c>
      <c r="BF44" s="7">
        <f t="shared" si="34"/>
        <v>275876</v>
      </c>
      <c r="BG44" s="10">
        <f t="shared" si="100"/>
        <v>580440</v>
      </c>
      <c r="BH44" s="29">
        <f t="shared" si="101"/>
        <v>80.64993631450308</v>
      </c>
      <c r="BI44" s="29">
        <f t="shared" si="101"/>
        <v>86.58383104797834</v>
      </c>
      <c r="BJ44" s="29">
        <f t="shared" si="101"/>
        <v>83.36540947347255</v>
      </c>
      <c r="BK44" s="9">
        <v>12405</v>
      </c>
      <c r="BL44" s="9">
        <v>3304</v>
      </c>
      <c r="BM44" s="10">
        <f t="shared" si="36"/>
        <v>15709</v>
      </c>
      <c r="BN44" s="9">
        <v>9338</v>
      </c>
      <c r="BO44" s="9">
        <v>2515</v>
      </c>
      <c r="BP44" s="10">
        <f t="shared" si="37"/>
        <v>11853</v>
      </c>
      <c r="BQ44" s="98"/>
      <c r="BR44" s="98"/>
      <c r="BS44" s="97">
        <f t="shared" si="118"/>
        <v>0</v>
      </c>
      <c r="BT44" s="7">
        <f t="shared" si="38"/>
        <v>9338</v>
      </c>
      <c r="BU44" s="7">
        <f t="shared" si="38"/>
        <v>2515</v>
      </c>
      <c r="BV44" s="10">
        <f t="shared" si="119"/>
        <v>11853</v>
      </c>
      <c r="BW44" s="76">
        <f t="shared" si="133"/>
        <v>75.27609834744055</v>
      </c>
      <c r="BX44" s="76">
        <f t="shared" si="133"/>
        <v>76.11985472154964</v>
      </c>
      <c r="BY44" s="29">
        <f t="shared" si="133"/>
        <v>75.45356165255586</v>
      </c>
      <c r="BZ44" s="10">
        <f t="shared" si="39"/>
        <v>390042</v>
      </c>
      <c r="CA44" s="10">
        <f t="shared" si="39"/>
        <v>321927</v>
      </c>
      <c r="CB44" s="10">
        <f t="shared" si="40"/>
        <v>711969</v>
      </c>
      <c r="CC44" s="10">
        <f t="shared" si="41"/>
        <v>313902</v>
      </c>
      <c r="CD44" s="10">
        <f t="shared" si="41"/>
        <v>278391</v>
      </c>
      <c r="CE44" s="10">
        <f t="shared" si="42"/>
        <v>592293</v>
      </c>
      <c r="CF44" s="97">
        <f t="shared" si="120"/>
        <v>0</v>
      </c>
      <c r="CG44" s="97">
        <f t="shared" si="120"/>
        <v>0</v>
      </c>
      <c r="CH44" s="97">
        <f t="shared" si="121"/>
        <v>0</v>
      </c>
      <c r="CI44" s="7">
        <f t="shared" si="43"/>
        <v>313902</v>
      </c>
      <c r="CJ44" s="7">
        <f t="shared" si="43"/>
        <v>278391</v>
      </c>
      <c r="CK44" s="10">
        <f t="shared" si="102"/>
        <v>592293</v>
      </c>
      <c r="CL44" s="29">
        <f t="shared" si="103"/>
        <v>80.47902533573308</v>
      </c>
      <c r="CM44" s="29">
        <f t="shared" si="103"/>
        <v>86.4764372047079</v>
      </c>
      <c r="CN44" s="29">
        <f t="shared" si="103"/>
        <v>83.1908411742646</v>
      </c>
      <c r="CO44" s="9">
        <v>12683</v>
      </c>
      <c r="CP44" s="9">
        <v>9806</v>
      </c>
      <c r="CQ44" s="10">
        <f t="shared" si="160"/>
        <v>22489</v>
      </c>
      <c r="CR44" s="9">
        <v>10710</v>
      </c>
      <c r="CS44" s="9">
        <v>8636</v>
      </c>
      <c r="CT44" s="10">
        <f t="shared" si="163"/>
        <v>19346</v>
      </c>
      <c r="CU44" s="98"/>
      <c r="CV44" s="98"/>
      <c r="CW44" s="97">
        <f>CU44+CV44</f>
        <v>0</v>
      </c>
      <c r="CX44" s="7">
        <f t="shared" si="45"/>
        <v>10710</v>
      </c>
      <c r="CY44" s="7">
        <f t="shared" si="46"/>
        <v>8636</v>
      </c>
      <c r="CZ44" s="10">
        <f t="shared" si="104"/>
        <v>19346</v>
      </c>
      <c r="DA44" s="29">
        <f t="shared" si="105"/>
        <v>84.44374359378696</v>
      </c>
      <c r="DB44" s="29">
        <f t="shared" si="106"/>
        <v>88.06852947175199</v>
      </c>
      <c r="DC44" s="29">
        <f t="shared" si="107"/>
        <v>86.02427853617324</v>
      </c>
      <c r="DD44" s="9">
        <v>537</v>
      </c>
      <c r="DE44" s="9">
        <v>169</v>
      </c>
      <c r="DF44" s="10">
        <f t="shared" si="48"/>
        <v>706</v>
      </c>
      <c r="DG44" s="9">
        <v>426</v>
      </c>
      <c r="DH44" s="9">
        <v>144</v>
      </c>
      <c r="DI44" s="10">
        <f t="shared" si="49"/>
        <v>570</v>
      </c>
      <c r="DJ44" s="98"/>
      <c r="DK44" s="98"/>
      <c r="DL44" s="98">
        <f t="shared" si="123"/>
        <v>0</v>
      </c>
      <c r="DM44" s="7">
        <f t="shared" si="124"/>
        <v>426</v>
      </c>
      <c r="DN44" s="7">
        <f t="shared" si="125"/>
        <v>144</v>
      </c>
      <c r="DO44" s="10">
        <f t="shared" si="126"/>
        <v>570</v>
      </c>
      <c r="DP44" s="29">
        <f t="shared" si="127"/>
        <v>79.3296089385475</v>
      </c>
      <c r="DQ44" s="29">
        <f t="shared" si="128"/>
        <v>85.20710059171599</v>
      </c>
      <c r="DR44" s="29">
        <f t="shared" si="129"/>
        <v>80.73654390934844</v>
      </c>
      <c r="DS44" s="10">
        <f t="shared" si="140"/>
        <v>13220</v>
      </c>
      <c r="DT44" s="10">
        <f t="shared" si="141"/>
        <v>9975</v>
      </c>
      <c r="DU44" s="10">
        <f t="shared" si="142"/>
        <v>23195</v>
      </c>
      <c r="DV44" s="10">
        <f t="shared" si="143"/>
        <v>11136</v>
      </c>
      <c r="DW44" s="10">
        <f t="shared" si="144"/>
        <v>8780</v>
      </c>
      <c r="DX44" s="10">
        <f t="shared" si="145"/>
        <v>19916</v>
      </c>
      <c r="DY44" s="97">
        <f t="shared" si="146"/>
        <v>0</v>
      </c>
      <c r="DZ44" s="97">
        <f t="shared" si="147"/>
        <v>0</v>
      </c>
      <c r="EA44" s="97">
        <f t="shared" si="148"/>
        <v>0</v>
      </c>
      <c r="EB44" s="8">
        <f t="shared" si="149"/>
        <v>11136</v>
      </c>
      <c r="EC44" s="8">
        <f t="shared" si="150"/>
        <v>8780</v>
      </c>
      <c r="ED44" s="10">
        <f t="shared" si="151"/>
        <v>19916</v>
      </c>
      <c r="EE44" s="29">
        <f t="shared" si="152"/>
        <v>84.23600605143722</v>
      </c>
      <c r="EF44" s="29">
        <f t="shared" si="153"/>
        <v>88.02005012531329</v>
      </c>
      <c r="EG44" s="29">
        <f t="shared" si="154"/>
        <v>85.86333261478767</v>
      </c>
      <c r="EH44" s="20">
        <f t="shared" si="108"/>
        <v>1513421</v>
      </c>
      <c r="EI44" s="20">
        <f t="shared" si="109"/>
        <v>1336836</v>
      </c>
      <c r="EJ44" s="20">
        <f t="shared" si="110"/>
        <v>2850257</v>
      </c>
      <c r="EK44" s="42">
        <v>356073</v>
      </c>
      <c r="EL44" s="42">
        <v>389932</v>
      </c>
      <c r="EM44" s="20">
        <f t="shared" si="60"/>
        <v>746005</v>
      </c>
      <c r="EN44" s="20">
        <v>795954</v>
      </c>
      <c r="EO44" s="20">
        <v>723765</v>
      </c>
      <c r="EP44" s="20">
        <f t="shared" si="61"/>
        <v>1519719</v>
      </c>
      <c r="EQ44" s="53">
        <f t="shared" si="62"/>
        <v>23.527689915760387</v>
      </c>
      <c r="ER44" s="53">
        <f t="shared" si="63"/>
        <v>29.16827494172808</v>
      </c>
      <c r="ES44" s="53">
        <f t="shared" si="64"/>
        <v>26.173253850442258</v>
      </c>
      <c r="ET44" s="41">
        <f t="shared" si="65"/>
        <v>52.59303260626092</v>
      </c>
      <c r="EU44" s="41">
        <f t="shared" si="66"/>
        <v>54.140148829026145</v>
      </c>
      <c r="EV44" s="41">
        <f t="shared" si="67"/>
        <v>53.318665650150145</v>
      </c>
      <c r="EW44" s="20">
        <f t="shared" si="68"/>
        <v>313902</v>
      </c>
      <c r="EX44" s="20">
        <f t="shared" si="69"/>
        <v>278391</v>
      </c>
      <c r="EY44" s="20">
        <f t="shared" si="70"/>
        <v>592293</v>
      </c>
      <c r="EZ44" s="42">
        <v>55941</v>
      </c>
      <c r="FA44" s="42">
        <v>54925</v>
      </c>
      <c r="FB44" s="20">
        <f t="shared" si="71"/>
        <v>110866</v>
      </c>
      <c r="FC44" s="20">
        <v>165019</v>
      </c>
      <c r="FD44" s="20">
        <v>158124</v>
      </c>
      <c r="FE44" s="20">
        <f t="shared" si="72"/>
        <v>323143</v>
      </c>
      <c r="FF44" s="53">
        <f t="shared" si="73"/>
        <v>17.821167115851445</v>
      </c>
      <c r="FG44" s="53">
        <f t="shared" si="74"/>
        <v>19.72944527660736</v>
      </c>
      <c r="FH44" s="53">
        <f t="shared" si="75"/>
        <v>18.71810066976986</v>
      </c>
      <c r="FI44" s="41">
        <f t="shared" si="76"/>
        <v>52.5702289249511</v>
      </c>
      <c r="FJ44" s="41">
        <f t="shared" si="77"/>
        <v>56.79924997575353</v>
      </c>
      <c r="FK44" s="41">
        <f t="shared" si="78"/>
        <v>54.5579637105284</v>
      </c>
      <c r="FL44" s="20">
        <f t="shared" si="155"/>
        <v>11136</v>
      </c>
      <c r="FM44" s="20">
        <f t="shared" si="156"/>
        <v>8780</v>
      </c>
      <c r="FN44" s="20">
        <f t="shared" si="157"/>
        <v>19916</v>
      </c>
      <c r="FO44" s="42">
        <v>2563</v>
      </c>
      <c r="FP44" s="42">
        <v>2290</v>
      </c>
      <c r="FQ44" s="20">
        <f t="shared" si="82"/>
        <v>4853</v>
      </c>
      <c r="FR44" s="20">
        <v>5973</v>
      </c>
      <c r="FS44" s="20">
        <v>4834</v>
      </c>
      <c r="FT44" s="20">
        <f t="shared" si="83"/>
        <v>10807</v>
      </c>
      <c r="FU44" s="53">
        <f>FO44/FL44%</f>
        <v>23.01544540229885</v>
      </c>
      <c r="FV44" s="53">
        <f t="shared" si="84"/>
        <v>26.082004555808656</v>
      </c>
      <c r="FW44" s="53">
        <f t="shared" si="85"/>
        <v>24.367342839927698</v>
      </c>
      <c r="FX44" s="41">
        <f t="shared" si="86"/>
        <v>53.636853448275865</v>
      </c>
      <c r="FY44" s="41">
        <f t="shared" si="87"/>
        <v>55.05694760820046</v>
      </c>
      <c r="FZ44" s="41">
        <f t="shared" si="88"/>
        <v>54.26290419763005</v>
      </c>
    </row>
    <row r="45" spans="1:182" ht="29.25" customHeight="1">
      <c r="A45" s="3">
        <v>36</v>
      </c>
      <c r="B45" s="69" t="s">
        <v>78</v>
      </c>
      <c r="C45" s="7">
        <v>13512</v>
      </c>
      <c r="D45" s="7">
        <v>5832</v>
      </c>
      <c r="E45" s="16">
        <f t="shared" si="131"/>
        <v>19344</v>
      </c>
      <c r="F45" s="7">
        <v>12889</v>
      </c>
      <c r="G45" s="7">
        <v>5787</v>
      </c>
      <c r="H45" s="8">
        <f t="shared" si="164"/>
        <v>18676</v>
      </c>
      <c r="I45" s="114"/>
      <c r="J45" s="114"/>
      <c r="K45" s="115"/>
      <c r="L45" s="7">
        <f t="shared" si="23"/>
        <v>12889</v>
      </c>
      <c r="M45" s="7">
        <f t="shared" si="23"/>
        <v>5787</v>
      </c>
      <c r="N45" s="7">
        <f t="shared" si="23"/>
        <v>18676</v>
      </c>
      <c r="O45" s="29">
        <f t="shared" si="20"/>
        <v>95.38928359976317</v>
      </c>
      <c r="P45" s="29">
        <f t="shared" si="20"/>
        <v>99.22839506172839</v>
      </c>
      <c r="Q45" s="29">
        <f t="shared" si="20"/>
        <v>96.54673283705542</v>
      </c>
      <c r="R45" s="7">
        <v>594</v>
      </c>
      <c r="S45" s="7">
        <v>561</v>
      </c>
      <c r="T45" s="8">
        <f t="shared" si="111"/>
        <v>1155</v>
      </c>
      <c r="U45" s="7">
        <v>565</v>
      </c>
      <c r="V45" s="7">
        <v>530</v>
      </c>
      <c r="W45" s="8">
        <f t="shared" si="24"/>
        <v>1095</v>
      </c>
      <c r="X45" s="98"/>
      <c r="Y45" s="98"/>
      <c r="Z45" s="97"/>
      <c r="AA45" s="7">
        <f>SUM(U45,X45)</f>
        <v>565</v>
      </c>
      <c r="AB45" s="7">
        <f>SUM(V45,Y45)</f>
        <v>530</v>
      </c>
      <c r="AC45" s="10">
        <f>SUM(AA45,AB45)</f>
        <v>1095</v>
      </c>
      <c r="AD45" s="29">
        <f aca="true" t="shared" si="167" ref="AD45:AF47">IF(R45=0,"",AA45/R45*100)</f>
        <v>95.1178451178451</v>
      </c>
      <c r="AE45" s="29">
        <f t="shared" si="167"/>
        <v>94.4741532976827</v>
      </c>
      <c r="AF45" s="29">
        <f t="shared" si="167"/>
        <v>94.8051948051948</v>
      </c>
      <c r="AG45" s="10">
        <f aca="true" t="shared" si="168" ref="AG45:AH47">C45+R45</f>
        <v>14106</v>
      </c>
      <c r="AH45" s="10">
        <f t="shared" si="168"/>
        <v>6393</v>
      </c>
      <c r="AI45" s="10">
        <f>AG45+AH45</f>
        <v>20499</v>
      </c>
      <c r="AJ45" s="10">
        <f aca="true" t="shared" si="169" ref="AJ45:AK47">F45+U45</f>
        <v>13454</v>
      </c>
      <c r="AK45" s="10">
        <f t="shared" si="169"/>
        <v>6317</v>
      </c>
      <c r="AL45" s="10">
        <f>AJ45+AK45</f>
        <v>19771</v>
      </c>
      <c r="AM45" s="97">
        <f aca="true" t="shared" si="170" ref="AM45:AN47">I45+X45</f>
        <v>0</v>
      </c>
      <c r="AN45" s="97">
        <f t="shared" si="170"/>
        <v>0</v>
      </c>
      <c r="AO45" s="97">
        <f>AM45+AN45</f>
        <v>0</v>
      </c>
      <c r="AP45" s="7">
        <f aca="true" t="shared" si="171" ref="AP45:AQ47">SUM(AJ45,AM45)</f>
        <v>13454</v>
      </c>
      <c r="AQ45" s="7">
        <f t="shared" si="171"/>
        <v>6317</v>
      </c>
      <c r="AR45" s="10">
        <f>SUM(AP45,AQ45)</f>
        <v>19771</v>
      </c>
      <c r="AS45" s="29">
        <f aca="true" t="shared" si="172" ref="AS45:AU46">IF(AG45=0,"",AP45/AG45*100)</f>
        <v>95.37785339571813</v>
      </c>
      <c r="AT45" s="29">
        <f t="shared" si="172"/>
        <v>98.81119974972627</v>
      </c>
      <c r="AU45" s="29">
        <f t="shared" si="172"/>
        <v>96.4486072491341</v>
      </c>
      <c r="AV45" s="9">
        <v>1479</v>
      </c>
      <c r="AW45" s="9">
        <v>800</v>
      </c>
      <c r="AX45" s="10">
        <f t="shared" si="32"/>
        <v>2279</v>
      </c>
      <c r="AY45" s="9">
        <v>1382</v>
      </c>
      <c r="AZ45" s="9">
        <v>727</v>
      </c>
      <c r="BA45" s="10">
        <f t="shared" si="33"/>
        <v>2109</v>
      </c>
      <c r="BB45" s="98"/>
      <c r="BC45" s="98"/>
      <c r="BD45" s="97"/>
      <c r="BE45" s="7">
        <f t="shared" si="34"/>
        <v>1382</v>
      </c>
      <c r="BF45" s="7">
        <f t="shared" si="34"/>
        <v>727</v>
      </c>
      <c r="BG45" s="10">
        <f t="shared" si="100"/>
        <v>2109</v>
      </c>
      <c r="BH45" s="29">
        <f t="shared" si="101"/>
        <v>93.44151453684923</v>
      </c>
      <c r="BI45" s="29">
        <f t="shared" si="101"/>
        <v>90.875</v>
      </c>
      <c r="BJ45" s="29">
        <f t="shared" si="101"/>
        <v>92.54058797718298</v>
      </c>
      <c r="BK45" s="9">
        <v>119</v>
      </c>
      <c r="BL45" s="9">
        <v>64</v>
      </c>
      <c r="BM45" s="10">
        <f t="shared" si="36"/>
        <v>183</v>
      </c>
      <c r="BN45" s="9">
        <v>104</v>
      </c>
      <c r="BO45" s="9">
        <v>62</v>
      </c>
      <c r="BP45" s="10">
        <f t="shared" si="37"/>
        <v>166</v>
      </c>
      <c r="BQ45" s="98"/>
      <c r="BR45" s="98"/>
      <c r="BS45" s="97"/>
      <c r="BT45" s="7">
        <f>SUM(BN45,BQ45)</f>
        <v>104</v>
      </c>
      <c r="BU45" s="7">
        <f>SUM(BO45,BR45)</f>
        <v>62</v>
      </c>
      <c r="BV45" s="10">
        <f>SUM(BT45,BU45)</f>
        <v>166</v>
      </c>
      <c r="BW45" s="76">
        <f aca="true" t="shared" si="173" ref="BW45:BY47">IF(BK45=0,"",BT45/BK45*100)</f>
        <v>87.39495798319328</v>
      </c>
      <c r="BX45" s="76">
        <f t="shared" si="173"/>
        <v>96.875</v>
      </c>
      <c r="BY45" s="29">
        <f t="shared" si="173"/>
        <v>90.7103825136612</v>
      </c>
      <c r="BZ45" s="10">
        <f aca="true" t="shared" si="174" ref="BZ45:CA47">AV45+BK45</f>
        <v>1598</v>
      </c>
      <c r="CA45" s="10">
        <f t="shared" si="174"/>
        <v>864</v>
      </c>
      <c r="CB45" s="10">
        <f>BZ45+CA45</f>
        <v>2462</v>
      </c>
      <c r="CC45" s="10">
        <f aca="true" t="shared" si="175" ref="CC45:CD47">AY45+BN45</f>
        <v>1486</v>
      </c>
      <c r="CD45" s="10">
        <f t="shared" si="175"/>
        <v>789</v>
      </c>
      <c r="CE45" s="10">
        <f>CC45+CD45</f>
        <v>2275</v>
      </c>
      <c r="CF45" s="97">
        <f aca="true" t="shared" si="176" ref="CF45:CG47">BB45+BQ45</f>
        <v>0</v>
      </c>
      <c r="CG45" s="97">
        <f t="shared" si="176"/>
        <v>0</v>
      </c>
      <c r="CH45" s="97">
        <f>CF45+CG45</f>
        <v>0</v>
      </c>
      <c r="CI45" s="7">
        <f aca="true" t="shared" si="177" ref="CI45:CJ47">SUM(CC45,CF45)</f>
        <v>1486</v>
      </c>
      <c r="CJ45" s="7">
        <f t="shared" si="177"/>
        <v>789</v>
      </c>
      <c r="CK45" s="10">
        <f>SUM(CI45,CJ45)</f>
        <v>2275</v>
      </c>
      <c r="CL45" s="29">
        <f aca="true" t="shared" si="178" ref="CL45:CN47">IF(BZ45=0,"",CI45/BZ45*100)</f>
        <v>92.99123904881101</v>
      </c>
      <c r="CM45" s="29">
        <f t="shared" si="178"/>
        <v>91.31944444444444</v>
      </c>
      <c r="CN45" s="29">
        <f t="shared" si="178"/>
        <v>92.40454914703493</v>
      </c>
      <c r="CO45" s="9">
        <v>12</v>
      </c>
      <c r="CP45" s="9">
        <v>6</v>
      </c>
      <c r="CQ45" s="10">
        <f>CO45+CP45</f>
        <v>18</v>
      </c>
      <c r="CR45" s="9">
        <v>10</v>
      </c>
      <c r="CS45" s="9">
        <v>4</v>
      </c>
      <c r="CT45" s="10">
        <f t="shared" si="163"/>
        <v>14</v>
      </c>
      <c r="CU45" s="98"/>
      <c r="CV45" s="98"/>
      <c r="CW45" s="97"/>
      <c r="CX45" s="7">
        <f t="shared" si="45"/>
        <v>10</v>
      </c>
      <c r="CY45" s="7">
        <f t="shared" si="46"/>
        <v>4</v>
      </c>
      <c r="CZ45" s="10">
        <f t="shared" si="104"/>
        <v>14</v>
      </c>
      <c r="DA45" s="29">
        <f t="shared" si="105"/>
        <v>83.33333333333334</v>
      </c>
      <c r="DB45" s="29">
        <f t="shared" si="106"/>
        <v>66.66666666666666</v>
      </c>
      <c r="DC45" s="29">
        <f t="shared" si="107"/>
        <v>77.77777777777779</v>
      </c>
      <c r="DD45" s="96"/>
      <c r="DE45" s="96"/>
      <c r="DF45" s="97"/>
      <c r="DG45" s="96"/>
      <c r="DH45" s="96"/>
      <c r="DI45" s="97"/>
      <c r="DJ45" s="98"/>
      <c r="DK45" s="98"/>
      <c r="DL45" s="98"/>
      <c r="DM45" s="99"/>
      <c r="DN45" s="99"/>
      <c r="DO45" s="97"/>
      <c r="DP45" s="100"/>
      <c r="DQ45" s="100"/>
      <c r="DR45" s="100"/>
      <c r="DS45" s="10">
        <f>CO45+DD45</f>
        <v>12</v>
      </c>
      <c r="DT45" s="10">
        <f>CP45+DE45</f>
        <v>6</v>
      </c>
      <c r="DU45" s="10">
        <f>DS45+DT45</f>
        <v>18</v>
      </c>
      <c r="DV45" s="10">
        <f>CR45+DG45</f>
        <v>10</v>
      </c>
      <c r="DW45" s="10">
        <f>CS45+DH45</f>
        <v>4</v>
      </c>
      <c r="DX45" s="10">
        <f>DV45+DW45</f>
        <v>14</v>
      </c>
      <c r="DY45" s="97">
        <f>CU45+DJ45</f>
        <v>0</v>
      </c>
      <c r="DZ45" s="97">
        <f>CV45+DK45</f>
        <v>0</v>
      </c>
      <c r="EA45" s="97">
        <f>DY45+DZ45</f>
        <v>0</v>
      </c>
      <c r="EB45" s="8">
        <f>SUM(DV45,DY45)</f>
        <v>10</v>
      </c>
      <c r="EC45" s="8">
        <f>SUM(DW45,DZ45)</f>
        <v>4</v>
      </c>
      <c r="ED45" s="10">
        <f>SUM(EB45,EC45)</f>
        <v>14</v>
      </c>
      <c r="EE45" s="29">
        <f aca="true" t="shared" si="179" ref="EE45:EG46">IF(DS45=0,"",EB45/DS45*100)</f>
        <v>83.33333333333334</v>
      </c>
      <c r="EF45" s="29">
        <f t="shared" si="179"/>
        <v>66.66666666666666</v>
      </c>
      <c r="EG45" s="29">
        <f t="shared" si="179"/>
        <v>77.77777777777779</v>
      </c>
      <c r="EH45" s="20">
        <f aca="true" t="shared" si="180" ref="EH45:EJ47">AP45</f>
        <v>13454</v>
      </c>
      <c r="EI45" s="20">
        <f t="shared" si="180"/>
        <v>6317</v>
      </c>
      <c r="EJ45" s="20">
        <f t="shared" si="180"/>
        <v>19771</v>
      </c>
      <c r="EK45" s="42">
        <v>1217</v>
      </c>
      <c r="EL45" s="42">
        <v>751</v>
      </c>
      <c r="EM45" s="20">
        <f t="shared" si="60"/>
        <v>1968</v>
      </c>
      <c r="EN45" s="20">
        <v>8048</v>
      </c>
      <c r="EO45" s="20">
        <v>3526</v>
      </c>
      <c r="EP45" s="20">
        <f t="shared" si="61"/>
        <v>11574</v>
      </c>
      <c r="EQ45" s="53">
        <f t="shared" si="62"/>
        <v>9.045636985283188</v>
      </c>
      <c r="ER45" s="53">
        <f t="shared" si="63"/>
        <v>11.88855469368371</v>
      </c>
      <c r="ES45" s="53">
        <f t="shared" si="64"/>
        <v>9.953972990744019</v>
      </c>
      <c r="ET45" s="41">
        <f t="shared" si="65"/>
        <v>59.81864129626877</v>
      </c>
      <c r="EU45" s="41">
        <f t="shared" si="66"/>
        <v>55.81763495330062</v>
      </c>
      <c r="EV45" s="41">
        <f t="shared" si="67"/>
        <v>58.54028627788174</v>
      </c>
      <c r="EW45" s="20">
        <f aca="true" t="shared" si="181" ref="EW45:EY47">CI45</f>
        <v>1486</v>
      </c>
      <c r="EX45" s="20">
        <f t="shared" si="181"/>
        <v>789</v>
      </c>
      <c r="EY45" s="20">
        <f t="shared" si="181"/>
        <v>2275</v>
      </c>
      <c r="EZ45" s="101"/>
      <c r="FA45" s="101"/>
      <c r="FB45" s="101"/>
      <c r="FC45" s="101"/>
      <c r="FD45" s="101"/>
      <c r="FE45" s="101"/>
      <c r="FF45" s="100"/>
      <c r="FG45" s="100"/>
      <c r="FH45" s="100"/>
      <c r="FI45" s="102"/>
      <c r="FJ45" s="102"/>
      <c r="FK45" s="102"/>
      <c r="FL45" s="20">
        <f aca="true" t="shared" si="182" ref="FL45:FN46">EB45</f>
        <v>10</v>
      </c>
      <c r="FM45" s="20">
        <f t="shared" si="182"/>
        <v>4</v>
      </c>
      <c r="FN45" s="20">
        <f t="shared" si="182"/>
        <v>14</v>
      </c>
      <c r="FO45" s="101"/>
      <c r="FP45" s="101"/>
      <c r="FQ45" s="101"/>
      <c r="FR45" s="101"/>
      <c r="FS45" s="101"/>
      <c r="FT45" s="101"/>
      <c r="FU45" s="100"/>
      <c r="FV45" s="100"/>
      <c r="FW45" s="100"/>
      <c r="FX45" s="102"/>
      <c r="FY45" s="102"/>
      <c r="FZ45" s="102"/>
    </row>
    <row r="46" spans="1:182" ht="29.25" customHeight="1">
      <c r="A46" s="3">
        <v>37</v>
      </c>
      <c r="B46" s="69" t="s">
        <v>74</v>
      </c>
      <c r="C46" s="7">
        <v>108</v>
      </c>
      <c r="D46" s="7">
        <v>91</v>
      </c>
      <c r="E46" s="16">
        <f t="shared" si="131"/>
        <v>199</v>
      </c>
      <c r="F46" s="7">
        <v>106</v>
      </c>
      <c r="G46" s="7">
        <v>89</v>
      </c>
      <c r="H46" s="8">
        <f t="shared" si="164"/>
        <v>195</v>
      </c>
      <c r="I46" s="9">
        <v>2</v>
      </c>
      <c r="J46" s="9">
        <v>2</v>
      </c>
      <c r="K46" s="11">
        <f>I46+J46</f>
        <v>4</v>
      </c>
      <c r="L46" s="7">
        <f t="shared" si="23"/>
        <v>108</v>
      </c>
      <c r="M46" s="7">
        <f t="shared" si="23"/>
        <v>91</v>
      </c>
      <c r="N46" s="7">
        <f t="shared" si="23"/>
        <v>199</v>
      </c>
      <c r="O46" s="29">
        <f t="shared" si="20"/>
        <v>100</v>
      </c>
      <c r="P46" s="29">
        <f t="shared" si="20"/>
        <v>100</v>
      </c>
      <c r="Q46" s="29">
        <f t="shared" si="20"/>
        <v>100</v>
      </c>
      <c r="R46" s="99"/>
      <c r="S46" s="99"/>
      <c r="T46" s="101"/>
      <c r="U46" s="99"/>
      <c r="V46" s="99"/>
      <c r="W46" s="101"/>
      <c r="X46" s="98"/>
      <c r="Y46" s="98"/>
      <c r="Z46" s="97"/>
      <c r="AA46" s="99"/>
      <c r="AB46" s="99"/>
      <c r="AC46" s="97"/>
      <c r="AD46" s="100"/>
      <c r="AE46" s="100"/>
      <c r="AF46" s="100"/>
      <c r="AG46" s="10">
        <f t="shared" si="168"/>
        <v>108</v>
      </c>
      <c r="AH46" s="10">
        <f t="shared" si="168"/>
        <v>91</v>
      </c>
      <c r="AI46" s="10">
        <f>AG46+AH46</f>
        <v>199</v>
      </c>
      <c r="AJ46" s="10">
        <f t="shared" si="169"/>
        <v>106</v>
      </c>
      <c r="AK46" s="10">
        <f t="shared" si="169"/>
        <v>89</v>
      </c>
      <c r="AL46" s="10">
        <f>AJ46+AK46</f>
        <v>195</v>
      </c>
      <c r="AM46" s="97">
        <f t="shared" si="170"/>
        <v>2</v>
      </c>
      <c r="AN46" s="97">
        <f t="shared" si="170"/>
        <v>2</v>
      </c>
      <c r="AO46" s="97">
        <f>AM46+AN46</f>
        <v>4</v>
      </c>
      <c r="AP46" s="7">
        <f t="shared" si="171"/>
        <v>108</v>
      </c>
      <c r="AQ46" s="7">
        <f t="shared" si="171"/>
        <v>91</v>
      </c>
      <c r="AR46" s="10">
        <f>SUM(AP46,AQ46)</f>
        <v>199</v>
      </c>
      <c r="AS46" s="29">
        <f t="shared" si="172"/>
        <v>100</v>
      </c>
      <c r="AT46" s="29">
        <f t="shared" si="172"/>
        <v>100</v>
      </c>
      <c r="AU46" s="29">
        <f t="shared" si="172"/>
        <v>100</v>
      </c>
      <c r="AV46" s="9">
        <v>17</v>
      </c>
      <c r="AW46" s="9">
        <v>9</v>
      </c>
      <c r="AX46" s="10">
        <f t="shared" si="32"/>
        <v>26</v>
      </c>
      <c r="AY46" s="9">
        <v>16</v>
      </c>
      <c r="AZ46" s="9">
        <v>9</v>
      </c>
      <c r="BA46" s="10">
        <f t="shared" si="33"/>
        <v>25</v>
      </c>
      <c r="BB46" s="98"/>
      <c r="BC46" s="98"/>
      <c r="BD46" s="97"/>
      <c r="BE46" s="7">
        <f t="shared" si="34"/>
        <v>16</v>
      </c>
      <c r="BF46" s="7">
        <f t="shared" si="34"/>
        <v>9</v>
      </c>
      <c r="BG46" s="10">
        <f t="shared" si="100"/>
        <v>25</v>
      </c>
      <c r="BH46" s="29">
        <f t="shared" si="101"/>
        <v>94.11764705882352</v>
      </c>
      <c r="BI46" s="29">
        <f t="shared" si="101"/>
        <v>100</v>
      </c>
      <c r="BJ46" s="29">
        <f t="shared" si="101"/>
        <v>96.15384615384616</v>
      </c>
      <c r="BK46" s="96"/>
      <c r="BL46" s="96"/>
      <c r="BM46" s="97"/>
      <c r="BN46" s="96"/>
      <c r="BO46" s="96"/>
      <c r="BP46" s="97"/>
      <c r="BQ46" s="98"/>
      <c r="BR46" s="98"/>
      <c r="BS46" s="97"/>
      <c r="BT46" s="99"/>
      <c r="BU46" s="99"/>
      <c r="BV46" s="97"/>
      <c r="BW46" s="108"/>
      <c r="BX46" s="108"/>
      <c r="BY46" s="100"/>
      <c r="BZ46" s="10">
        <f t="shared" si="174"/>
        <v>17</v>
      </c>
      <c r="CA46" s="10">
        <f t="shared" si="174"/>
        <v>9</v>
      </c>
      <c r="CB46" s="10">
        <f>BZ46+CA46</f>
        <v>26</v>
      </c>
      <c r="CC46" s="10">
        <f t="shared" si="175"/>
        <v>16</v>
      </c>
      <c r="CD46" s="10">
        <f t="shared" si="175"/>
        <v>9</v>
      </c>
      <c r="CE46" s="10">
        <f>CC46+CD46</f>
        <v>25</v>
      </c>
      <c r="CF46" s="97">
        <f t="shared" si="176"/>
        <v>0</v>
      </c>
      <c r="CG46" s="97">
        <f t="shared" si="176"/>
        <v>0</v>
      </c>
      <c r="CH46" s="97">
        <f>CF46+CG46</f>
        <v>0</v>
      </c>
      <c r="CI46" s="7">
        <f t="shared" si="177"/>
        <v>16</v>
      </c>
      <c r="CJ46" s="7">
        <f t="shared" si="177"/>
        <v>9</v>
      </c>
      <c r="CK46" s="10">
        <f>SUM(CI46,CJ46)</f>
        <v>25</v>
      </c>
      <c r="CL46" s="29">
        <f>IF(BZ46=0,"",CI46/BZ46*100)</f>
        <v>94.11764705882352</v>
      </c>
      <c r="CM46" s="29">
        <f>IF(CA46=0,"",CJ46/CA46*100)</f>
        <v>100</v>
      </c>
      <c r="CN46" s="29">
        <f>IF(CB46=0,"",CK46/CB46*100)</f>
        <v>96.15384615384616</v>
      </c>
      <c r="CO46" s="9">
        <v>21</v>
      </c>
      <c r="CP46" s="9">
        <v>9</v>
      </c>
      <c r="CQ46" s="10">
        <f>CO46+CP46</f>
        <v>30</v>
      </c>
      <c r="CR46" s="9">
        <v>20</v>
      </c>
      <c r="CS46" s="9">
        <v>9</v>
      </c>
      <c r="CT46" s="10">
        <f t="shared" si="163"/>
        <v>29</v>
      </c>
      <c r="CU46" s="6">
        <v>1</v>
      </c>
      <c r="CV46" s="6">
        <v>0</v>
      </c>
      <c r="CW46" s="10">
        <f>CU46+CV46</f>
        <v>1</v>
      </c>
      <c r="CX46" s="7">
        <f t="shared" si="45"/>
        <v>21</v>
      </c>
      <c r="CY46" s="7">
        <f t="shared" si="46"/>
        <v>9</v>
      </c>
      <c r="CZ46" s="10">
        <f t="shared" si="104"/>
        <v>30</v>
      </c>
      <c r="DA46" s="29">
        <f t="shared" si="105"/>
        <v>100</v>
      </c>
      <c r="DB46" s="29">
        <f t="shared" si="106"/>
        <v>100</v>
      </c>
      <c r="DC46" s="29">
        <f t="shared" si="107"/>
        <v>100</v>
      </c>
      <c r="DD46" s="96"/>
      <c r="DE46" s="96"/>
      <c r="DF46" s="97"/>
      <c r="DG46" s="96"/>
      <c r="DH46" s="96"/>
      <c r="DI46" s="97"/>
      <c r="DJ46" s="98"/>
      <c r="DK46" s="98"/>
      <c r="DL46" s="98"/>
      <c r="DM46" s="99"/>
      <c r="DN46" s="99"/>
      <c r="DO46" s="97"/>
      <c r="DP46" s="100"/>
      <c r="DQ46" s="100"/>
      <c r="DR46" s="100"/>
      <c r="DS46" s="10">
        <f>CO46+DD46</f>
        <v>21</v>
      </c>
      <c r="DT46" s="10">
        <f>CP46+DE46</f>
        <v>9</v>
      </c>
      <c r="DU46" s="10">
        <f>DS46+DT46</f>
        <v>30</v>
      </c>
      <c r="DV46" s="10">
        <f>CR46+DG46</f>
        <v>20</v>
      </c>
      <c r="DW46" s="10">
        <f>CS46+DH46</f>
        <v>9</v>
      </c>
      <c r="DX46" s="10">
        <f>DV46+DW46</f>
        <v>29</v>
      </c>
      <c r="DY46" s="97">
        <f>CU46+DJ46</f>
        <v>1</v>
      </c>
      <c r="DZ46" s="97">
        <f>CV46+DK46</f>
        <v>0</v>
      </c>
      <c r="EA46" s="97">
        <f>DY46+DZ46</f>
        <v>1</v>
      </c>
      <c r="EB46" s="8">
        <f>SUM(DV46,DY46)</f>
        <v>21</v>
      </c>
      <c r="EC46" s="8">
        <f>SUM(DW46,DZ46)</f>
        <v>9</v>
      </c>
      <c r="ED46" s="10">
        <f>SUM(EB46,EC46)</f>
        <v>30</v>
      </c>
      <c r="EE46" s="29">
        <f t="shared" si="179"/>
        <v>100</v>
      </c>
      <c r="EF46" s="29">
        <f t="shared" si="179"/>
        <v>100</v>
      </c>
      <c r="EG46" s="29">
        <f t="shared" si="179"/>
        <v>100</v>
      </c>
      <c r="EH46" s="20">
        <f>AP46</f>
        <v>108</v>
      </c>
      <c r="EI46" s="20">
        <f>AQ46</f>
        <v>91</v>
      </c>
      <c r="EJ46" s="20">
        <f>AR46</f>
        <v>199</v>
      </c>
      <c r="EK46" s="101"/>
      <c r="EL46" s="101"/>
      <c r="EM46" s="101"/>
      <c r="EN46" s="101"/>
      <c r="EO46" s="101"/>
      <c r="EP46" s="101"/>
      <c r="EQ46" s="100"/>
      <c r="ER46" s="100"/>
      <c r="ES46" s="100"/>
      <c r="ET46" s="102"/>
      <c r="EU46" s="102"/>
      <c r="EV46" s="102"/>
      <c r="EW46" s="20">
        <f t="shared" si="181"/>
        <v>16</v>
      </c>
      <c r="EX46" s="20">
        <f t="shared" si="181"/>
        <v>9</v>
      </c>
      <c r="EY46" s="20">
        <f t="shared" si="181"/>
        <v>25</v>
      </c>
      <c r="EZ46" s="101"/>
      <c r="FA46" s="101"/>
      <c r="FB46" s="101"/>
      <c r="FC46" s="101"/>
      <c r="FD46" s="101"/>
      <c r="FE46" s="101"/>
      <c r="FF46" s="100"/>
      <c r="FG46" s="100"/>
      <c r="FH46" s="100"/>
      <c r="FI46" s="102"/>
      <c r="FJ46" s="102"/>
      <c r="FK46" s="102"/>
      <c r="FL46" s="20">
        <f t="shared" si="182"/>
        <v>21</v>
      </c>
      <c r="FM46" s="20">
        <f t="shared" si="182"/>
        <v>9</v>
      </c>
      <c r="FN46" s="20">
        <f t="shared" si="182"/>
        <v>30</v>
      </c>
      <c r="FO46" s="101"/>
      <c r="FP46" s="101"/>
      <c r="FQ46" s="101"/>
      <c r="FR46" s="101"/>
      <c r="FS46" s="101"/>
      <c r="FT46" s="101"/>
      <c r="FU46" s="100"/>
      <c r="FV46" s="100"/>
      <c r="FW46" s="100"/>
      <c r="FX46" s="102"/>
      <c r="FY46" s="102"/>
      <c r="FZ46" s="102"/>
    </row>
    <row r="47" spans="1:182" ht="29.25" customHeight="1">
      <c r="A47" s="3">
        <v>38</v>
      </c>
      <c r="B47" s="69" t="s">
        <v>73</v>
      </c>
      <c r="C47" s="7">
        <v>881</v>
      </c>
      <c r="D47" s="7">
        <v>64</v>
      </c>
      <c r="E47" s="16">
        <f t="shared" si="131"/>
        <v>945</v>
      </c>
      <c r="F47" s="7">
        <v>805</v>
      </c>
      <c r="G47" s="7">
        <v>57</v>
      </c>
      <c r="H47" s="8">
        <f t="shared" si="164"/>
        <v>862</v>
      </c>
      <c r="I47" s="9">
        <v>2</v>
      </c>
      <c r="J47" s="9">
        <v>2</v>
      </c>
      <c r="K47" s="11">
        <f>I47+J47</f>
        <v>4</v>
      </c>
      <c r="L47" s="7">
        <f t="shared" si="23"/>
        <v>807</v>
      </c>
      <c r="M47" s="7">
        <f t="shared" si="23"/>
        <v>59</v>
      </c>
      <c r="N47" s="7">
        <f t="shared" si="23"/>
        <v>866</v>
      </c>
      <c r="O47" s="29">
        <f t="shared" si="20"/>
        <v>91.60045402951191</v>
      </c>
      <c r="P47" s="29">
        <f t="shared" si="20"/>
        <v>92.1875</v>
      </c>
      <c r="Q47" s="29">
        <f t="shared" si="20"/>
        <v>91.64021164021165</v>
      </c>
      <c r="R47" s="7">
        <v>54</v>
      </c>
      <c r="S47" s="7">
        <v>5</v>
      </c>
      <c r="T47" s="8">
        <f t="shared" si="111"/>
        <v>59</v>
      </c>
      <c r="U47" s="7">
        <v>43</v>
      </c>
      <c r="V47" s="7">
        <v>4</v>
      </c>
      <c r="W47" s="8">
        <f t="shared" si="24"/>
        <v>47</v>
      </c>
      <c r="X47" s="98"/>
      <c r="Y47" s="98"/>
      <c r="Z47" s="97"/>
      <c r="AA47" s="7">
        <f>SUM(U47,X47)</f>
        <v>43</v>
      </c>
      <c r="AB47" s="7">
        <f>SUM(V47,Y47)</f>
        <v>4</v>
      </c>
      <c r="AC47" s="10">
        <f>SUM(AA47,AB47)</f>
        <v>47</v>
      </c>
      <c r="AD47" s="29">
        <f t="shared" si="167"/>
        <v>79.62962962962963</v>
      </c>
      <c r="AE47" s="29">
        <f t="shared" si="167"/>
        <v>80</v>
      </c>
      <c r="AF47" s="29">
        <f t="shared" si="167"/>
        <v>79.66101694915254</v>
      </c>
      <c r="AG47" s="10">
        <f t="shared" si="168"/>
        <v>935</v>
      </c>
      <c r="AH47" s="10">
        <f t="shared" si="168"/>
        <v>69</v>
      </c>
      <c r="AI47" s="10">
        <f>AG47+AH47</f>
        <v>1004</v>
      </c>
      <c r="AJ47" s="10">
        <f t="shared" si="169"/>
        <v>848</v>
      </c>
      <c r="AK47" s="10">
        <f t="shared" si="169"/>
        <v>61</v>
      </c>
      <c r="AL47" s="10">
        <f>AJ47+AK47</f>
        <v>909</v>
      </c>
      <c r="AM47" s="97">
        <f t="shared" si="170"/>
        <v>2</v>
      </c>
      <c r="AN47" s="97">
        <f t="shared" si="170"/>
        <v>2</v>
      </c>
      <c r="AO47" s="97">
        <f>AM47+AN47</f>
        <v>4</v>
      </c>
      <c r="AP47" s="7">
        <f t="shared" si="171"/>
        <v>850</v>
      </c>
      <c r="AQ47" s="7">
        <f t="shared" si="171"/>
        <v>63</v>
      </c>
      <c r="AR47" s="10">
        <f>SUM(AP47,AQ47)</f>
        <v>913</v>
      </c>
      <c r="AS47" s="29">
        <f>IF(AG47=0,"",AP47/AG47*100)</f>
        <v>90.9090909090909</v>
      </c>
      <c r="AT47" s="29">
        <f>IF(AH47=0,"",AQ47/AH47*100)</f>
        <v>91.30434782608695</v>
      </c>
      <c r="AU47" s="29">
        <f>IF(AI47=0,"",AR47/AI47*100)</f>
        <v>90.93625498007968</v>
      </c>
      <c r="AV47" s="9">
        <v>39</v>
      </c>
      <c r="AW47" s="9">
        <v>9</v>
      </c>
      <c r="AX47" s="10">
        <f t="shared" si="32"/>
        <v>48</v>
      </c>
      <c r="AY47" s="9">
        <v>29</v>
      </c>
      <c r="AZ47" s="9">
        <v>8</v>
      </c>
      <c r="BA47" s="10">
        <f t="shared" si="33"/>
        <v>37</v>
      </c>
      <c r="BB47" s="98"/>
      <c r="BC47" s="98"/>
      <c r="BD47" s="97"/>
      <c r="BE47" s="7">
        <f t="shared" si="34"/>
        <v>29</v>
      </c>
      <c r="BF47" s="7">
        <f t="shared" si="34"/>
        <v>8</v>
      </c>
      <c r="BG47" s="10">
        <f t="shared" si="100"/>
        <v>37</v>
      </c>
      <c r="BH47" s="29">
        <f t="shared" si="101"/>
        <v>74.35897435897436</v>
      </c>
      <c r="BI47" s="29">
        <f t="shared" si="101"/>
        <v>88.88888888888889</v>
      </c>
      <c r="BJ47" s="29">
        <f t="shared" si="101"/>
        <v>77.08333333333334</v>
      </c>
      <c r="BK47" s="9">
        <v>2</v>
      </c>
      <c r="BL47" s="9">
        <v>1</v>
      </c>
      <c r="BM47" s="10">
        <f t="shared" si="36"/>
        <v>3</v>
      </c>
      <c r="BN47" s="9">
        <v>1</v>
      </c>
      <c r="BO47" s="9">
        <v>0</v>
      </c>
      <c r="BP47" s="10">
        <f t="shared" si="37"/>
        <v>1</v>
      </c>
      <c r="BQ47" s="98"/>
      <c r="BR47" s="98"/>
      <c r="BS47" s="97"/>
      <c r="BT47" s="7">
        <f>SUM(BN47,BQ47)</f>
        <v>1</v>
      </c>
      <c r="BU47" s="7">
        <f>SUM(BO47,BR47)</f>
        <v>0</v>
      </c>
      <c r="BV47" s="10">
        <f>SUM(BT47,BU47)</f>
        <v>1</v>
      </c>
      <c r="BW47" s="76">
        <f t="shared" si="173"/>
        <v>50</v>
      </c>
      <c r="BX47" s="76">
        <f t="shared" si="173"/>
        <v>0</v>
      </c>
      <c r="BY47" s="29">
        <f t="shared" si="173"/>
        <v>33.33333333333333</v>
      </c>
      <c r="BZ47" s="10">
        <f t="shared" si="174"/>
        <v>41</v>
      </c>
      <c r="CA47" s="10">
        <f t="shared" si="174"/>
        <v>10</v>
      </c>
      <c r="CB47" s="10">
        <f>BZ47+CA47</f>
        <v>51</v>
      </c>
      <c r="CC47" s="10">
        <f t="shared" si="175"/>
        <v>30</v>
      </c>
      <c r="CD47" s="10">
        <f t="shared" si="175"/>
        <v>8</v>
      </c>
      <c r="CE47" s="10">
        <f>CC47+CD47</f>
        <v>38</v>
      </c>
      <c r="CF47" s="97">
        <f t="shared" si="176"/>
        <v>0</v>
      </c>
      <c r="CG47" s="97">
        <f t="shared" si="176"/>
        <v>0</v>
      </c>
      <c r="CH47" s="97">
        <f>CF47+CG47</f>
        <v>0</v>
      </c>
      <c r="CI47" s="7">
        <f t="shared" si="177"/>
        <v>30</v>
      </c>
      <c r="CJ47" s="7">
        <f t="shared" si="177"/>
        <v>8</v>
      </c>
      <c r="CK47" s="10">
        <f>SUM(CI47,CJ47)</f>
        <v>38</v>
      </c>
      <c r="CL47" s="29">
        <f t="shared" si="178"/>
        <v>73.17073170731707</v>
      </c>
      <c r="CM47" s="29">
        <f t="shared" si="178"/>
        <v>80</v>
      </c>
      <c r="CN47" s="29">
        <f t="shared" si="178"/>
        <v>74.50980392156863</v>
      </c>
      <c r="CO47" s="96"/>
      <c r="CP47" s="96"/>
      <c r="CQ47" s="97"/>
      <c r="CR47" s="96"/>
      <c r="CS47" s="96"/>
      <c r="CT47" s="97"/>
      <c r="CU47" s="98"/>
      <c r="CV47" s="98"/>
      <c r="CW47" s="97"/>
      <c r="CX47" s="99"/>
      <c r="CY47" s="99"/>
      <c r="CZ47" s="97"/>
      <c r="DA47" s="100"/>
      <c r="DB47" s="100"/>
      <c r="DC47" s="100"/>
      <c r="DD47" s="96"/>
      <c r="DE47" s="96"/>
      <c r="DF47" s="97"/>
      <c r="DG47" s="96"/>
      <c r="DH47" s="96"/>
      <c r="DI47" s="97"/>
      <c r="DJ47" s="98"/>
      <c r="DK47" s="98"/>
      <c r="DL47" s="98"/>
      <c r="DM47" s="99"/>
      <c r="DN47" s="99"/>
      <c r="DO47" s="97"/>
      <c r="DP47" s="100"/>
      <c r="DQ47" s="100"/>
      <c r="DR47" s="100"/>
      <c r="DS47" s="97"/>
      <c r="DT47" s="97"/>
      <c r="DU47" s="97"/>
      <c r="DV47" s="97"/>
      <c r="DW47" s="97"/>
      <c r="DX47" s="97"/>
      <c r="DY47" s="97"/>
      <c r="DZ47" s="97"/>
      <c r="EA47" s="97"/>
      <c r="EB47" s="101"/>
      <c r="EC47" s="101"/>
      <c r="ED47" s="97"/>
      <c r="EE47" s="100"/>
      <c r="EF47" s="100"/>
      <c r="EG47" s="100"/>
      <c r="EH47" s="20">
        <f t="shared" si="180"/>
        <v>850</v>
      </c>
      <c r="EI47" s="20">
        <f t="shared" si="180"/>
        <v>63</v>
      </c>
      <c r="EJ47" s="20">
        <f t="shared" si="180"/>
        <v>913</v>
      </c>
      <c r="EK47" s="42">
        <v>4</v>
      </c>
      <c r="EL47" s="42">
        <v>1</v>
      </c>
      <c r="EM47" s="20">
        <f t="shared" si="60"/>
        <v>5</v>
      </c>
      <c r="EN47" s="20">
        <v>106</v>
      </c>
      <c r="EO47" s="20">
        <v>26</v>
      </c>
      <c r="EP47" s="20">
        <f t="shared" si="61"/>
        <v>132</v>
      </c>
      <c r="EQ47" s="53">
        <f t="shared" si="62"/>
        <v>0.47058823529411764</v>
      </c>
      <c r="ER47" s="53">
        <f t="shared" si="63"/>
        <v>1.5873015873015872</v>
      </c>
      <c r="ES47" s="53">
        <f t="shared" si="64"/>
        <v>0.5476451259583789</v>
      </c>
      <c r="ET47" s="41">
        <f t="shared" si="65"/>
        <v>12.470588235294118</v>
      </c>
      <c r="EU47" s="41">
        <f t="shared" si="66"/>
        <v>41.26984126984127</v>
      </c>
      <c r="EV47" s="41">
        <f t="shared" si="67"/>
        <v>14.457831325301203</v>
      </c>
      <c r="EW47" s="20">
        <f t="shared" si="181"/>
        <v>30</v>
      </c>
      <c r="EX47" s="20">
        <f t="shared" si="181"/>
        <v>8</v>
      </c>
      <c r="EY47" s="20">
        <f t="shared" si="181"/>
        <v>38</v>
      </c>
      <c r="EZ47" s="101"/>
      <c r="FA47" s="101"/>
      <c r="FB47" s="101"/>
      <c r="FC47" s="101"/>
      <c r="FD47" s="101"/>
      <c r="FE47" s="101"/>
      <c r="FF47" s="100"/>
      <c r="FG47" s="100"/>
      <c r="FH47" s="100"/>
      <c r="FI47" s="102"/>
      <c r="FJ47" s="102"/>
      <c r="FK47" s="102"/>
      <c r="FL47" s="101"/>
      <c r="FM47" s="101"/>
      <c r="FN47" s="101"/>
      <c r="FO47" s="101"/>
      <c r="FP47" s="101"/>
      <c r="FQ47" s="101"/>
      <c r="FR47" s="101"/>
      <c r="FS47" s="101"/>
      <c r="FT47" s="101"/>
      <c r="FU47" s="100"/>
      <c r="FV47" s="100"/>
      <c r="FW47" s="100"/>
      <c r="FX47" s="102"/>
      <c r="FY47" s="102"/>
      <c r="FZ47" s="102"/>
    </row>
    <row r="48" spans="1:182" ht="29.25" customHeight="1">
      <c r="A48" s="3">
        <v>39</v>
      </c>
      <c r="B48" s="4" t="s">
        <v>36</v>
      </c>
      <c r="C48" s="7">
        <v>78296</v>
      </c>
      <c r="D48" s="7">
        <v>78241</v>
      </c>
      <c r="E48" s="16">
        <f t="shared" si="131"/>
        <v>156537</v>
      </c>
      <c r="F48" s="7">
        <v>56480</v>
      </c>
      <c r="G48" s="7">
        <v>60655</v>
      </c>
      <c r="H48" s="8">
        <f t="shared" si="22"/>
        <v>117135</v>
      </c>
      <c r="I48" s="98"/>
      <c r="J48" s="98"/>
      <c r="K48" s="103"/>
      <c r="L48" s="7">
        <f t="shared" si="23"/>
        <v>56480</v>
      </c>
      <c r="M48" s="7">
        <f t="shared" si="23"/>
        <v>60655</v>
      </c>
      <c r="N48" s="7">
        <f t="shared" si="23"/>
        <v>117135</v>
      </c>
      <c r="O48" s="29">
        <f t="shared" si="20"/>
        <v>72.13650761213856</v>
      </c>
      <c r="P48" s="29">
        <f t="shared" si="20"/>
        <v>77.52329341393899</v>
      </c>
      <c r="Q48" s="29">
        <f t="shared" si="20"/>
        <v>74.82895417696774</v>
      </c>
      <c r="R48" s="7">
        <v>4138</v>
      </c>
      <c r="S48" s="7">
        <v>2190</v>
      </c>
      <c r="T48" s="8">
        <f t="shared" si="111"/>
        <v>6328</v>
      </c>
      <c r="U48" s="7">
        <v>1624</v>
      </c>
      <c r="V48" s="7">
        <v>908</v>
      </c>
      <c r="W48" s="8">
        <f t="shared" si="24"/>
        <v>2532</v>
      </c>
      <c r="X48" s="98"/>
      <c r="Y48" s="98"/>
      <c r="Z48" s="97"/>
      <c r="AA48" s="7">
        <f t="shared" si="25"/>
        <v>1624</v>
      </c>
      <c r="AB48" s="7">
        <f t="shared" si="25"/>
        <v>908</v>
      </c>
      <c r="AC48" s="10">
        <f t="shared" si="115"/>
        <v>2532</v>
      </c>
      <c r="AD48" s="29">
        <f t="shared" si="112"/>
        <v>39.246012566457225</v>
      </c>
      <c r="AE48" s="29">
        <f t="shared" si="112"/>
        <v>41.46118721461187</v>
      </c>
      <c r="AF48" s="29">
        <f t="shared" si="112"/>
        <v>40.012642225031605</v>
      </c>
      <c r="AG48" s="10">
        <f t="shared" si="26"/>
        <v>82434</v>
      </c>
      <c r="AH48" s="10">
        <f t="shared" si="26"/>
        <v>80431</v>
      </c>
      <c r="AI48" s="10">
        <f t="shared" si="27"/>
        <v>162865</v>
      </c>
      <c r="AJ48" s="10">
        <f t="shared" si="28"/>
        <v>58104</v>
      </c>
      <c r="AK48" s="10">
        <f t="shared" si="28"/>
        <v>61563</v>
      </c>
      <c r="AL48" s="10">
        <f t="shared" si="29"/>
        <v>119667</v>
      </c>
      <c r="AM48" s="97"/>
      <c r="AN48" s="97"/>
      <c r="AO48" s="97"/>
      <c r="AP48" s="7">
        <f t="shared" si="30"/>
        <v>58104</v>
      </c>
      <c r="AQ48" s="7">
        <f t="shared" si="30"/>
        <v>61563</v>
      </c>
      <c r="AR48" s="10">
        <f t="shared" si="98"/>
        <v>119667</v>
      </c>
      <c r="AS48" s="29">
        <f t="shared" si="99"/>
        <v>70.48547929252493</v>
      </c>
      <c r="AT48" s="29">
        <f t="shared" si="99"/>
        <v>76.5413832974848</v>
      </c>
      <c r="AU48" s="29">
        <f t="shared" si="99"/>
        <v>73.47619193810824</v>
      </c>
      <c r="AV48" s="6">
        <v>22389</v>
      </c>
      <c r="AW48" s="6">
        <v>22273</v>
      </c>
      <c r="AX48" s="10">
        <f t="shared" si="32"/>
        <v>44662</v>
      </c>
      <c r="AY48" s="6">
        <v>14494</v>
      </c>
      <c r="AZ48" s="6">
        <v>15225</v>
      </c>
      <c r="BA48" s="11">
        <f>AY48+AZ48</f>
        <v>29719</v>
      </c>
      <c r="BB48" s="98"/>
      <c r="BC48" s="98"/>
      <c r="BD48" s="97"/>
      <c r="BE48" s="7">
        <f t="shared" si="34"/>
        <v>14494</v>
      </c>
      <c r="BF48" s="7">
        <f t="shared" si="34"/>
        <v>15225</v>
      </c>
      <c r="BG48" s="10">
        <f t="shared" si="100"/>
        <v>29719</v>
      </c>
      <c r="BH48" s="29">
        <f t="shared" si="101"/>
        <v>64.73714770646299</v>
      </c>
      <c r="BI48" s="29">
        <f t="shared" si="101"/>
        <v>68.35630584115296</v>
      </c>
      <c r="BJ48" s="29">
        <f t="shared" si="101"/>
        <v>66.54202677891719</v>
      </c>
      <c r="BK48" s="9">
        <v>1666</v>
      </c>
      <c r="BL48" s="9">
        <v>806</v>
      </c>
      <c r="BM48" s="10">
        <f t="shared" si="36"/>
        <v>2472</v>
      </c>
      <c r="BN48" s="9">
        <v>643</v>
      </c>
      <c r="BO48" s="9">
        <v>291</v>
      </c>
      <c r="BP48" s="10">
        <f t="shared" si="37"/>
        <v>934</v>
      </c>
      <c r="BQ48" s="98"/>
      <c r="BR48" s="98"/>
      <c r="BS48" s="97"/>
      <c r="BT48" s="7">
        <f t="shared" si="38"/>
        <v>643</v>
      </c>
      <c r="BU48" s="7">
        <f t="shared" si="38"/>
        <v>291</v>
      </c>
      <c r="BV48" s="10">
        <f t="shared" si="119"/>
        <v>934</v>
      </c>
      <c r="BW48" s="76">
        <f t="shared" si="133"/>
        <v>38.59543817527011</v>
      </c>
      <c r="BX48" s="76">
        <f t="shared" si="133"/>
        <v>36.10421836228288</v>
      </c>
      <c r="BY48" s="29">
        <f t="shared" si="133"/>
        <v>37.7831715210356</v>
      </c>
      <c r="BZ48" s="10">
        <f t="shared" si="39"/>
        <v>24055</v>
      </c>
      <c r="CA48" s="10">
        <f t="shared" si="39"/>
        <v>23079</v>
      </c>
      <c r="CB48" s="10">
        <f t="shared" si="40"/>
        <v>47134</v>
      </c>
      <c r="CC48" s="10">
        <f t="shared" si="41"/>
        <v>15137</v>
      </c>
      <c r="CD48" s="10">
        <f t="shared" si="41"/>
        <v>15516</v>
      </c>
      <c r="CE48" s="10">
        <f t="shared" si="42"/>
        <v>30653</v>
      </c>
      <c r="CF48" s="97"/>
      <c r="CG48" s="97"/>
      <c r="CH48" s="97"/>
      <c r="CI48" s="7">
        <f t="shared" si="43"/>
        <v>15137</v>
      </c>
      <c r="CJ48" s="7">
        <f t="shared" si="43"/>
        <v>15516</v>
      </c>
      <c r="CK48" s="10">
        <f t="shared" si="102"/>
        <v>30653</v>
      </c>
      <c r="CL48" s="29">
        <f t="shared" si="103"/>
        <v>62.926626480981085</v>
      </c>
      <c r="CM48" s="29">
        <f t="shared" si="103"/>
        <v>67.22994930456258</v>
      </c>
      <c r="CN48" s="29">
        <f t="shared" si="103"/>
        <v>65.03373361055714</v>
      </c>
      <c r="CO48" s="9">
        <v>2746</v>
      </c>
      <c r="CP48" s="9">
        <v>3015</v>
      </c>
      <c r="CQ48" s="10">
        <f t="shared" si="160"/>
        <v>5761</v>
      </c>
      <c r="CR48" s="9">
        <v>1962</v>
      </c>
      <c r="CS48" s="9">
        <v>2340</v>
      </c>
      <c r="CT48" s="10">
        <f t="shared" si="163"/>
        <v>4302</v>
      </c>
      <c r="CU48" s="98"/>
      <c r="CV48" s="98"/>
      <c r="CW48" s="97"/>
      <c r="CX48" s="7">
        <f t="shared" si="45"/>
        <v>1962</v>
      </c>
      <c r="CY48" s="7">
        <f t="shared" si="46"/>
        <v>2340</v>
      </c>
      <c r="CZ48" s="10">
        <f t="shared" si="104"/>
        <v>4302</v>
      </c>
      <c r="DA48" s="29">
        <f t="shared" si="105"/>
        <v>71.44938091769846</v>
      </c>
      <c r="DB48" s="29">
        <f t="shared" si="106"/>
        <v>77.61194029850746</v>
      </c>
      <c r="DC48" s="29">
        <f t="shared" si="107"/>
        <v>74.67453567089048</v>
      </c>
      <c r="DD48" s="9">
        <v>88</v>
      </c>
      <c r="DE48" s="9">
        <v>66</v>
      </c>
      <c r="DF48" s="10">
        <f t="shared" si="48"/>
        <v>154</v>
      </c>
      <c r="DG48" s="9">
        <v>26</v>
      </c>
      <c r="DH48" s="9">
        <v>26</v>
      </c>
      <c r="DI48" s="10">
        <f t="shared" si="49"/>
        <v>52</v>
      </c>
      <c r="DJ48" s="98"/>
      <c r="DK48" s="98"/>
      <c r="DL48" s="98">
        <f t="shared" si="123"/>
        <v>0</v>
      </c>
      <c r="DM48" s="7">
        <f t="shared" si="124"/>
        <v>26</v>
      </c>
      <c r="DN48" s="7">
        <f t="shared" si="125"/>
        <v>26</v>
      </c>
      <c r="DO48" s="10">
        <f t="shared" si="126"/>
        <v>52</v>
      </c>
      <c r="DP48" s="29">
        <f t="shared" si="127"/>
        <v>29.545454545454547</v>
      </c>
      <c r="DQ48" s="29">
        <f t="shared" si="128"/>
        <v>39.39393939393939</v>
      </c>
      <c r="DR48" s="29">
        <f t="shared" si="129"/>
        <v>33.76623376623377</v>
      </c>
      <c r="DS48" s="10">
        <f t="shared" si="140"/>
        <v>2834</v>
      </c>
      <c r="DT48" s="10">
        <f t="shared" si="141"/>
        <v>3081</v>
      </c>
      <c r="DU48" s="10">
        <f t="shared" si="142"/>
        <v>5915</v>
      </c>
      <c r="DV48" s="10">
        <f t="shared" si="143"/>
        <v>1988</v>
      </c>
      <c r="DW48" s="10">
        <f t="shared" si="144"/>
        <v>2366</v>
      </c>
      <c r="DX48" s="10">
        <f t="shared" si="145"/>
        <v>4354</v>
      </c>
      <c r="DY48" s="97"/>
      <c r="DZ48" s="97"/>
      <c r="EA48" s="97"/>
      <c r="EB48" s="8">
        <f t="shared" si="149"/>
        <v>1988</v>
      </c>
      <c r="EC48" s="8">
        <f t="shared" si="150"/>
        <v>2366</v>
      </c>
      <c r="ED48" s="10">
        <f t="shared" si="151"/>
        <v>4354</v>
      </c>
      <c r="EE48" s="29">
        <f t="shared" si="152"/>
        <v>70.14820042342978</v>
      </c>
      <c r="EF48" s="29">
        <f t="shared" si="153"/>
        <v>76.79324894514767</v>
      </c>
      <c r="EG48" s="29">
        <f t="shared" si="154"/>
        <v>73.6094674556213</v>
      </c>
      <c r="EH48" s="20">
        <f t="shared" si="108"/>
        <v>58104</v>
      </c>
      <c r="EI48" s="20">
        <f t="shared" si="109"/>
        <v>61563</v>
      </c>
      <c r="EJ48" s="20">
        <f t="shared" si="110"/>
        <v>119667</v>
      </c>
      <c r="EK48" s="42">
        <v>2454</v>
      </c>
      <c r="EL48" s="42">
        <v>2454</v>
      </c>
      <c r="EM48" s="20">
        <f t="shared" si="60"/>
        <v>4908</v>
      </c>
      <c r="EN48" s="20">
        <v>9728</v>
      </c>
      <c r="EO48" s="20">
        <v>14624</v>
      </c>
      <c r="EP48" s="20">
        <f t="shared" si="61"/>
        <v>24352</v>
      </c>
      <c r="EQ48" s="53">
        <f t="shared" si="62"/>
        <v>4.223461379595209</v>
      </c>
      <c r="ER48" s="53">
        <f t="shared" si="63"/>
        <v>3.986160518493251</v>
      </c>
      <c r="ES48" s="53">
        <f t="shared" si="64"/>
        <v>4.101381333199629</v>
      </c>
      <c r="ET48" s="41">
        <f t="shared" si="65"/>
        <v>16.74239295057139</v>
      </c>
      <c r="EU48" s="41">
        <f t="shared" si="66"/>
        <v>23.75452788200705</v>
      </c>
      <c r="EV48" s="41">
        <f t="shared" si="67"/>
        <v>20.349804039543063</v>
      </c>
      <c r="EW48" s="20">
        <f t="shared" si="68"/>
        <v>15137</v>
      </c>
      <c r="EX48" s="20">
        <f t="shared" si="69"/>
        <v>15516</v>
      </c>
      <c r="EY48" s="20">
        <f t="shared" si="70"/>
        <v>30653</v>
      </c>
      <c r="EZ48" s="42">
        <v>244</v>
      </c>
      <c r="FA48" s="42">
        <v>251</v>
      </c>
      <c r="FB48" s="20">
        <f t="shared" si="71"/>
        <v>495</v>
      </c>
      <c r="FC48" s="20">
        <v>1669</v>
      </c>
      <c r="FD48" s="20">
        <v>2622</v>
      </c>
      <c r="FE48" s="20">
        <f t="shared" si="72"/>
        <v>4291</v>
      </c>
      <c r="FF48" s="53">
        <f t="shared" si="73"/>
        <v>1.6119442425843957</v>
      </c>
      <c r="FG48" s="53">
        <f t="shared" si="74"/>
        <v>1.617684970353184</v>
      </c>
      <c r="FH48" s="53">
        <f t="shared" si="75"/>
        <v>1.6148500962385413</v>
      </c>
      <c r="FI48" s="41">
        <f t="shared" si="76"/>
        <v>11.025962872431789</v>
      </c>
      <c r="FJ48" s="41">
        <f t="shared" si="77"/>
        <v>16.898685228151585</v>
      </c>
      <c r="FK48" s="41">
        <f t="shared" si="78"/>
        <v>13.99862982416077</v>
      </c>
      <c r="FL48" s="20">
        <f t="shared" si="155"/>
        <v>1988</v>
      </c>
      <c r="FM48" s="20">
        <f t="shared" si="156"/>
        <v>2366</v>
      </c>
      <c r="FN48" s="20">
        <f t="shared" si="157"/>
        <v>4354</v>
      </c>
      <c r="FO48" s="42">
        <v>94</v>
      </c>
      <c r="FP48" s="42">
        <v>68</v>
      </c>
      <c r="FQ48" s="20">
        <f t="shared" si="82"/>
        <v>162</v>
      </c>
      <c r="FR48" s="20">
        <v>370</v>
      </c>
      <c r="FS48" s="20">
        <v>535</v>
      </c>
      <c r="FT48" s="20">
        <f t="shared" si="83"/>
        <v>905</v>
      </c>
      <c r="FU48" s="53">
        <f>FO48/FL48%</f>
        <v>4.728370221327968</v>
      </c>
      <c r="FV48" s="53">
        <f t="shared" si="84"/>
        <v>2.8740490278951816</v>
      </c>
      <c r="FW48" s="53">
        <f t="shared" si="85"/>
        <v>3.720716582452917</v>
      </c>
      <c r="FX48" s="41">
        <f t="shared" si="86"/>
        <v>18.611670020120727</v>
      </c>
      <c r="FY48" s="41">
        <f t="shared" si="87"/>
        <v>22.61200338123415</v>
      </c>
      <c r="FZ48" s="41">
        <f t="shared" si="88"/>
        <v>20.78548461185117</v>
      </c>
    </row>
    <row r="49" spans="1:182" ht="29.25" customHeight="1">
      <c r="A49" s="3">
        <v>40</v>
      </c>
      <c r="B49" s="4" t="s">
        <v>37</v>
      </c>
      <c r="C49" s="7">
        <v>519261</v>
      </c>
      <c r="D49" s="7">
        <v>624111</v>
      </c>
      <c r="E49" s="16">
        <f>C49+D49</f>
        <v>1143372</v>
      </c>
      <c r="F49" s="7">
        <v>442014</v>
      </c>
      <c r="G49" s="7">
        <v>485449</v>
      </c>
      <c r="H49" s="8">
        <f>F49+G49</f>
        <v>927463</v>
      </c>
      <c r="I49" s="98"/>
      <c r="J49" s="98"/>
      <c r="K49" s="103"/>
      <c r="L49" s="7">
        <f aca="true" t="shared" si="183" ref="L49:N51">SUM(F49,I49)</f>
        <v>442014</v>
      </c>
      <c r="M49" s="7">
        <f t="shared" si="183"/>
        <v>485449</v>
      </c>
      <c r="N49" s="7">
        <f t="shared" si="183"/>
        <v>927463</v>
      </c>
      <c r="O49" s="29">
        <f aca="true" t="shared" si="184" ref="O49:Q50">L49/C49*100</f>
        <v>85.12366613321625</v>
      </c>
      <c r="P49" s="29">
        <f t="shared" si="184"/>
        <v>77.78247779641762</v>
      </c>
      <c r="Q49" s="29">
        <f t="shared" si="184"/>
        <v>81.11646953047652</v>
      </c>
      <c r="R49" s="7">
        <v>529</v>
      </c>
      <c r="S49" s="7">
        <v>196</v>
      </c>
      <c r="T49" s="8">
        <f t="shared" si="111"/>
        <v>725</v>
      </c>
      <c r="U49" s="7">
        <v>447</v>
      </c>
      <c r="V49" s="7">
        <v>145</v>
      </c>
      <c r="W49" s="8">
        <f t="shared" si="24"/>
        <v>592</v>
      </c>
      <c r="X49" s="98"/>
      <c r="Y49" s="98"/>
      <c r="Z49" s="97"/>
      <c r="AA49" s="7">
        <f>SUM(U49,X49)</f>
        <v>447</v>
      </c>
      <c r="AB49" s="7">
        <f>SUM(V49,Y49)</f>
        <v>145</v>
      </c>
      <c r="AC49" s="10">
        <f>SUM(AA49,AB49)</f>
        <v>592</v>
      </c>
      <c r="AD49" s="29">
        <f aca="true" t="shared" si="185" ref="AD49:AF50">IF(R49=0,"",AA49/R49*100)</f>
        <v>84.49905482041588</v>
      </c>
      <c r="AE49" s="29">
        <f t="shared" si="185"/>
        <v>73.9795918367347</v>
      </c>
      <c r="AF49" s="29">
        <f t="shared" si="185"/>
        <v>81.65517241379311</v>
      </c>
      <c r="AG49" s="10">
        <f aca="true" t="shared" si="186" ref="AG49:AH51">C49+R49</f>
        <v>519790</v>
      </c>
      <c r="AH49" s="10">
        <f t="shared" si="186"/>
        <v>624307</v>
      </c>
      <c r="AI49" s="10">
        <f>AG49+AH49</f>
        <v>1144097</v>
      </c>
      <c r="AJ49" s="10">
        <f aca="true" t="shared" si="187" ref="AJ49:AK51">F49+U49</f>
        <v>442461</v>
      </c>
      <c r="AK49" s="10">
        <f t="shared" si="187"/>
        <v>485594</v>
      </c>
      <c r="AL49" s="10">
        <f>AJ49+AK49</f>
        <v>928055</v>
      </c>
      <c r="AM49" s="97"/>
      <c r="AN49" s="97"/>
      <c r="AO49" s="97"/>
      <c r="AP49" s="7">
        <f aca="true" t="shared" si="188" ref="AP49:AQ51">SUM(AJ49,AM49)</f>
        <v>442461</v>
      </c>
      <c r="AQ49" s="7">
        <f t="shared" si="188"/>
        <v>485594</v>
      </c>
      <c r="AR49" s="10">
        <f>SUM(AP49,AQ49)</f>
        <v>928055</v>
      </c>
      <c r="AS49" s="29">
        <f aca="true" t="shared" si="189" ref="AS49:AU50">IF(AG49=0,"",AP49/AG49*100)</f>
        <v>85.12303045460666</v>
      </c>
      <c r="AT49" s="29">
        <f t="shared" si="189"/>
        <v>77.78128388757453</v>
      </c>
      <c r="AU49" s="29">
        <f t="shared" si="189"/>
        <v>81.1168108997751</v>
      </c>
      <c r="AV49" s="13">
        <v>156783</v>
      </c>
      <c r="AW49" s="9">
        <v>177489</v>
      </c>
      <c r="AX49" s="10">
        <f t="shared" si="32"/>
        <v>334272</v>
      </c>
      <c r="AY49" s="14">
        <v>127367</v>
      </c>
      <c r="AZ49" s="9">
        <v>129414</v>
      </c>
      <c r="BA49" s="11">
        <f>AY49+AZ49</f>
        <v>256781</v>
      </c>
      <c r="BB49" s="98"/>
      <c r="BC49" s="98"/>
      <c r="BD49" s="97"/>
      <c r="BE49" s="7">
        <f>SUM(AY49,BB49)</f>
        <v>127367</v>
      </c>
      <c r="BF49" s="7">
        <f>SUM(AZ49,BC49)</f>
        <v>129414</v>
      </c>
      <c r="BG49" s="10">
        <f>SUM(BE49,BF49)</f>
        <v>256781</v>
      </c>
      <c r="BH49" s="29">
        <f aca="true" t="shared" si="190" ref="BH49:BJ50">IF(AV49=0,"",BE49/AV49*100)</f>
        <v>81.2377617471282</v>
      </c>
      <c r="BI49" s="29">
        <f t="shared" si="190"/>
        <v>72.91381437722902</v>
      </c>
      <c r="BJ49" s="29">
        <f t="shared" si="190"/>
        <v>76.8179805667241</v>
      </c>
      <c r="BK49" s="9">
        <v>98</v>
      </c>
      <c r="BL49" s="9">
        <v>21</v>
      </c>
      <c r="BM49" s="10">
        <f t="shared" si="36"/>
        <v>119</v>
      </c>
      <c r="BN49" s="9">
        <v>83</v>
      </c>
      <c r="BO49" s="9">
        <v>20</v>
      </c>
      <c r="BP49" s="10">
        <f t="shared" si="37"/>
        <v>103</v>
      </c>
      <c r="BQ49" s="98"/>
      <c r="BR49" s="98"/>
      <c r="BS49" s="97"/>
      <c r="BT49" s="7">
        <f>SUM(BN49,BQ49)</f>
        <v>83</v>
      </c>
      <c r="BU49" s="7">
        <f>SUM(BO49,BR49)</f>
        <v>20</v>
      </c>
      <c r="BV49" s="10">
        <f>SUM(BT49,BU49)</f>
        <v>103</v>
      </c>
      <c r="BW49" s="76">
        <f t="shared" si="133"/>
        <v>84.6938775510204</v>
      </c>
      <c r="BX49" s="76">
        <f t="shared" si="133"/>
        <v>95.23809523809523</v>
      </c>
      <c r="BY49" s="29">
        <f>IF(BM49=0,"",BV49/BM49*100)</f>
        <v>86.5546218487395</v>
      </c>
      <c r="BZ49" s="10">
        <f>AV49+BK49</f>
        <v>156881</v>
      </c>
      <c r="CA49" s="10">
        <f>AW49+BL49</f>
        <v>177510</v>
      </c>
      <c r="CB49" s="10">
        <f>BZ49+CA49</f>
        <v>334391</v>
      </c>
      <c r="CC49" s="10">
        <f>AY49+BN49</f>
        <v>127450</v>
      </c>
      <c r="CD49" s="10">
        <f>AZ49+BO49</f>
        <v>129434</v>
      </c>
      <c r="CE49" s="10">
        <f>CC49+CD49</f>
        <v>256884</v>
      </c>
      <c r="CF49" s="97"/>
      <c r="CG49" s="97"/>
      <c r="CH49" s="97"/>
      <c r="CI49" s="7">
        <f>SUM(CC49,CF49)</f>
        <v>127450</v>
      </c>
      <c r="CJ49" s="7">
        <f>SUM(CD49,CG49)</f>
        <v>129434</v>
      </c>
      <c r="CK49" s="10">
        <f>SUM(CI49,CJ49)</f>
        <v>256884</v>
      </c>
      <c r="CL49" s="29">
        <f aca="true" t="shared" si="191" ref="CL49:CN50">IF(BZ49=0,"",CI49/BZ49*100)</f>
        <v>81.23992070422804</v>
      </c>
      <c r="CM49" s="29">
        <f t="shared" si="191"/>
        <v>72.91645541096277</v>
      </c>
      <c r="CN49" s="29">
        <f t="shared" si="191"/>
        <v>76.82144555325951</v>
      </c>
      <c r="CO49" s="9">
        <v>32412</v>
      </c>
      <c r="CP49" s="9">
        <v>38958</v>
      </c>
      <c r="CQ49" s="10">
        <f t="shared" si="160"/>
        <v>71370</v>
      </c>
      <c r="CR49" s="14">
        <v>23391</v>
      </c>
      <c r="CS49" s="9">
        <v>23818</v>
      </c>
      <c r="CT49" s="10">
        <f t="shared" si="163"/>
        <v>47209</v>
      </c>
      <c r="CU49" s="98"/>
      <c r="CV49" s="98"/>
      <c r="CW49" s="97"/>
      <c r="CX49" s="7">
        <f>SUM(CR49,CU49)</f>
        <v>23391</v>
      </c>
      <c r="CY49" s="7">
        <f>SUM(CS49,CV49)</f>
        <v>23818</v>
      </c>
      <c r="CZ49" s="10">
        <f>SUM(CX49,CY49)</f>
        <v>47209</v>
      </c>
      <c r="DA49" s="29">
        <f t="shared" si="105"/>
        <v>72.16771566086635</v>
      </c>
      <c r="DB49" s="29">
        <f t="shared" si="106"/>
        <v>61.13763540222804</v>
      </c>
      <c r="DC49" s="29">
        <f t="shared" si="107"/>
        <v>66.14684040913549</v>
      </c>
      <c r="DD49" s="9">
        <v>15</v>
      </c>
      <c r="DE49" s="9">
        <v>16</v>
      </c>
      <c r="DF49" s="10">
        <f t="shared" si="48"/>
        <v>31</v>
      </c>
      <c r="DG49" s="9">
        <v>14</v>
      </c>
      <c r="DH49" s="9">
        <v>12</v>
      </c>
      <c r="DI49" s="10">
        <f t="shared" si="49"/>
        <v>26</v>
      </c>
      <c r="DJ49" s="98"/>
      <c r="DK49" s="98"/>
      <c r="DL49" s="98">
        <f t="shared" si="123"/>
        <v>0</v>
      </c>
      <c r="DM49" s="7">
        <f>SUM(DG49,DJ49)</f>
        <v>14</v>
      </c>
      <c r="DN49" s="7">
        <f>SUM(DH49,DK49)</f>
        <v>12</v>
      </c>
      <c r="DO49" s="10">
        <f>SUM(DM49,DN49)</f>
        <v>26</v>
      </c>
      <c r="DP49" s="29">
        <f t="shared" si="127"/>
        <v>93.33333333333333</v>
      </c>
      <c r="DQ49" s="29">
        <f t="shared" si="128"/>
        <v>75</v>
      </c>
      <c r="DR49" s="29">
        <f t="shared" si="129"/>
        <v>83.87096774193549</v>
      </c>
      <c r="DS49" s="10">
        <f t="shared" si="140"/>
        <v>32427</v>
      </c>
      <c r="DT49" s="10">
        <f t="shared" si="141"/>
        <v>38974</v>
      </c>
      <c r="DU49" s="10">
        <f t="shared" si="142"/>
        <v>71401</v>
      </c>
      <c r="DV49" s="10">
        <f t="shared" si="143"/>
        <v>23405</v>
      </c>
      <c r="DW49" s="10">
        <f t="shared" si="144"/>
        <v>23830</v>
      </c>
      <c r="DX49" s="10">
        <f t="shared" si="145"/>
        <v>47235</v>
      </c>
      <c r="DY49" s="97"/>
      <c r="DZ49" s="97"/>
      <c r="EA49" s="97"/>
      <c r="EB49" s="8">
        <f t="shared" si="149"/>
        <v>23405</v>
      </c>
      <c r="EC49" s="8">
        <f t="shared" si="150"/>
        <v>23830</v>
      </c>
      <c r="ED49" s="10">
        <f t="shared" si="151"/>
        <v>47235</v>
      </c>
      <c r="EE49" s="29">
        <f t="shared" si="152"/>
        <v>72.1775063989885</v>
      </c>
      <c r="EF49" s="29">
        <f t="shared" si="153"/>
        <v>61.143326320110845</v>
      </c>
      <c r="EG49" s="29">
        <f t="shared" si="154"/>
        <v>66.15453565076119</v>
      </c>
      <c r="EH49" s="20">
        <f t="shared" si="108"/>
        <v>442461</v>
      </c>
      <c r="EI49" s="20">
        <f t="shared" si="109"/>
        <v>485594</v>
      </c>
      <c r="EJ49" s="20">
        <f t="shared" si="110"/>
        <v>928055</v>
      </c>
      <c r="EK49" s="42">
        <v>28169</v>
      </c>
      <c r="EL49" s="42">
        <v>20060</v>
      </c>
      <c r="EM49" s="20">
        <f t="shared" si="60"/>
        <v>48229</v>
      </c>
      <c r="EN49" s="20">
        <v>37555</v>
      </c>
      <c r="EO49" s="20">
        <v>33938</v>
      </c>
      <c r="EP49" s="20">
        <f t="shared" si="61"/>
        <v>71493</v>
      </c>
      <c r="EQ49" s="53">
        <f t="shared" si="62"/>
        <v>6.366436815900159</v>
      </c>
      <c r="ER49" s="53">
        <f t="shared" si="63"/>
        <v>4.131023035704725</v>
      </c>
      <c r="ES49" s="53">
        <f t="shared" si="64"/>
        <v>5.196782518277473</v>
      </c>
      <c r="ET49" s="41">
        <f t="shared" si="65"/>
        <v>8.487753722926993</v>
      </c>
      <c r="EU49" s="41">
        <f t="shared" si="66"/>
        <v>6.988966091014305</v>
      </c>
      <c r="EV49" s="41">
        <f t="shared" si="67"/>
        <v>7.703530501963785</v>
      </c>
      <c r="EW49" s="20">
        <f t="shared" si="68"/>
        <v>127450</v>
      </c>
      <c r="EX49" s="20">
        <f t="shared" si="69"/>
        <v>129434</v>
      </c>
      <c r="EY49" s="20">
        <f t="shared" si="70"/>
        <v>256884</v>
      </c>
      <c r="EZ49" s="42">
        <v>4235</v>
      </c>
      <c r="FA49" s="42">
        <v>2481</v>
      </c>
      <c r="FB49" s="20">
        <f t="shared" si="71"/>
        <v>6716</v>
      </c>
      <c r="FC49" s="20">
        <v>7224</v>
      </c>
      <c r="FD49" s="20">
        <v>5402</v>
      </c>
      <c r="FE49" s="20">
        <f t="shared" si="72"/>
        <v>12626</v>
      </c>
      <c r="FF49" s="53">
        <f t="shared" si="73"/>
        <v>3.3228717143978033</v>
      </c>
      <c r="FG49" s="53">
        <f t="shared" si="74"/>
        <v>1.916807021339061</v>
      </c>
      <c r="FH49" s="53">
        <f t="shared" si="75"/>
        <v>2.614409616792015</v>
      </c>
      <c r="FI49" s="41">
        <f t="shared" si="76"/>
        <v>5.668105139270302</v>
      </c>
      <c r="FJ49" s="41">
        <f t="shared" si="77"/>
        <v>4.173555634531885</v>
      </c>
      <c r="FK49" s="41">
        <f t="shared" si="78"/>
        <v>4.9150589371077995</v>
      </c>
      <c r="FL49" s="20">
        <f t="shared" si="155"/>
        <v>23405</v>
      </c>
      <c r="FM49" s="20">
        <f t="shared" si="156"/>
        <v>23830</v>
      </c>
      <c r="FN49" s="20">
        <f t="shared" si="157"/>
        <v>47235</v>
      </c>
      <c r="FO49" s="42">
        <v>281</v>
      </c>
      <c r="FP49" s="42">
        <v>191</v>
      </c>
      <c r="FQ49" s="20">
        <f t="shared" si="82"/>
        <v>472</v>
      </c>
      <c r="FR49" s="20">
        <v>658</v>
      </c>
      <c r="FS49" s="20">
        <v>494</v>
      </c>
      <c r="FT49" s="20">
        <f t="shared" si="83"/>
        <v>1152</v>
      </c>
      <c r="FU49" s="53">
        <f>FO49/FL49%</f>
        <v>1.2005981627857294</v>
      </c>
      <c r="FV49" s="53">
        <f t="shared" si="84"/>
        <v>0.8015107007973142</v>
      </c>
      <c r="FW49" s="53">
        <f t="shared" si="85"/>
        <v>0.9992590240287922</v>
      </c>
      <c r="FX49" s="41">
        <f t="shared" si="86"/>
        <v>2.8113650929288614</v>
      </c>
      <c r="FY49" s="41">
        <f t="shared" si="87"/>
        <v>2.073017205203525</v>
      </c>
      <c r="FZ49" s="41">
        <f t="shared" si="88"/>
        <v>2.438869482375357</v>
      </c>
    </row>
    <row r="50" spans="1:182" ht="29.25" customHeight="1">
      <c r="A50" s="3">
        <v>41</v>
      </c>
      <c r="B50" s="70" t="s">
        <v>96</v>
      </c>
      <c r="C50" s="117">
        <v>14434</v>
      </c>
      <c r="D50" s="117">
        <v>35401</v>
      </c>
      <c r="E50" s="118">
        <f>C50+D50</f>
        <v>49835</v>
      </c>
      <c r="F50" s="117">
        <v>12072</v>
      </c>
      <c r="G50" s="117">
        <v>26427</v>
      </c>
      <c r="H50" s="119">
        <f>F50+G50</f>
        <v>38499</v>
      </c>
      <c r="I50" s="142"/>
      <c r="J50" s="142"/>
      <c r="K50" s="143"/>
      <c r="L50" s="117">
        <f t="shared" si="183"/>
        <v>12072</v>
      </c>
      <c r="M50" s="117">
        <f t="shared" si="183"/>
        <v>26427</v>
      </c>
      <c r="N50" s="117">
        <f t="shared" si="183"/>
        <v>38499</v>
      </c>
      <c r="O50" s="144">
        <f t="shared" si="184"/>
        <v>83.63585977553</v>
      </c>
      <c r="P50" s="144">
        <f t="shared" si="184"/>
        <v>74.65043360357052</v>
      </c>
      <c r="Q50" s="144">
        <f t="shared" si="184"/>
        <v>77.25293468445872</v>
      </c>
      <c r="R50" s="117">
        <v>1116</v>
      </c>
      <c r="S50" s="117">
        <v>727</v>
      </c>
      <c r="T50" s="119">
        <f t="shared" si="111"/>
        <v>1843</v>
      </c>
      <c r="U50" s="117">
        <v>728</v>
      </c>
      <c r="V50" s="117">
        <v>615</v>
      </c>
      <c r="W50" s="119">
        <f t="shared" si="24"/>
        <v>1343</v>
      </c>
      <c r="X50" s="142"/>
      <c r="Y50" s="142"/>
      <c r="Z50" s="147"/>
      <c r="AA50" s="117">
        <f>SUM(U50,X50)</f>
        <v>728</v>
      </c>
      <c r="AB50" s="117">
        <f>SUM(V50,Y50)</f>
        <v>615</v>
      </c>
      <c r="AC50" s="119">
        <f>SUM(AA50,AB50)</f>
        <v>1343</v>
      </c>
      <c r="AD50" s="144">
        <f t="shared" si="185"/>
        <v>65.23297491039428</v>
      </c>
      <c r="AE50" s="144">
        <f t="shared" si="185"/>
        <v>84.59422283356258</v>
      </c>
      <c r="AF50" s="144">
        <f t="shared" si="185"/>
        <v>72.87032013022247</v>
      </c>
      <c r="AG50" s="119">
        <f t="shared" si="186"/>
        <v>15550</v>
      </c>
      <c r="AH50" s="119">
        <f t="shared" si="186"/>
        <v>36128</v>
      </c>
      <c r="AI50" s="119">
        <f>AG50+AH50</f>
        <v>51678</v>
      </c>
      <c r="AJ50" s="119">
        <f t="shared" si="187"/>
        <v>12800</v>
      </c>
      <c r="AK50" s="119">
        <f t="shared" si="187"/>
        <v>27042</v>
      </c>
      <c r="AL50" s="119">
        <f>AJ50+AK50</f>
        <v>39842</v>
      </c>
      <c r="AM50" s="147"/>
      <c r="AN50" s="147"/>
      <c r="AO50" s="147"/>
      <c r="AP50" s="117">
        <f t="shared" si="188"/>
        <v>12800</v>
      </c>
      <c r="AQ50" s="117">
        <f t="shared" si="188"/>
        <v>27042</v>
      </c>
      <c r="AR50" s="119">
        <f>SUM(AP50,AQ50)</f>
        <v>39842</v>
      </c>
      <c r="AS50" s="144">
        <f t="shared" si="189"/>
        <v>82.31511254019293</v>
      </c>
      <c r="AT50" s="144">
        <f t="shared" si="189"/>
        <v>74.85053144375554</v>
      </c>
      <c r="AU50" s="144">
        <f t="shared" si="189"/>
        <v>77.09663686675181</v>
      </c>
      <c r="AV50" s="117">
        <v>380</v>
      </c>
      <c r="AW50" s="117">
        <v>667</v>
      </c>
      <c r="AX50" s="119">
        <f t="shared" si="32"/>
        <v>1047</v>
      </c>
      <c r="AY50" s="117">
        <v>306</v>
      </c>
      <c r="AZ50" s="117">
        <v>457</v>
      </c>
      <c r="BA50" s="119">
        <f>AY50+AZ50</f>
        <v>763</v>
      </c>
      <c r="BB50" s="150"/>
      <c r="BC50" s="150"/>
      <c r="BD50" s="147"/>
      <c r="BE50" s="117">
        <f>SUM(AY50,BB50)</f>
        <v>306</v>
      </c>
      <c r="BF50" s="117">
        <f>SUM(AZ50,BC50)</f>
        <v>457</v>
      </c>
      <c r="BG50" s="119">
        <f>SUM(BE50,BF50)</f>
        <v>763</v>
      </c>
      <c r="BH50" s="144">
        <f t="shared" si="190"/>
        <v>80.52631578947368</v>
      </c>
      <c r="BI50" s="144">
        <f t="shared" si="190"/>
        <v>68.51574212893553</v>
      </c>
      <c r="BJ50" s="144">
        <f t="shared" si="190"/>
        <v>72.8748806112703</v>
      </c>
      <c r="BK50" s="117">
        <v>62</v>
      </c>
      <c r="BL50" s="117">
        <v>43</v>
      </c>
      <c r="BM50" s="119">
        <f t="shared" si="36"/>
        <v>105</v>
      </c>
      <c r="BN50" s="117">
        <v>37</v>
      </c>
      <c r="BO50" s="117">
        <v>33</v>
      </c>
      <c r="BP50" s="119">
        <f>BN50+BO50</f>
        <v>70</v>
      </c>
      <c r="BQ50" s="150"/>
      <c r="BR50" s="150"/>
      <c r="BS50" s="147"/>
      <c r="BT50" s="117">
        <f>SUM(BN50,BQ50)</f>
        <v>37</v>
      </c>
      <c r="BU50" s="117">
        <f>SUM(BO50,BR50)</f>
        <v>33</v>
      </c>
      <c r="BV50" s="119">
        <f>SUM(BT50,BU50)</f>
        <v>70</v>
      </c>
      <c r="BW50" s="144">
        <f t="shared" si="133"/>
        <v>59.67741935483871</v>
      </c>
      <c r="BX50" s="144">
        <f t="shared" si="133"/>
        <v>76.74418604651163</v>
      </c>
      <c r="BY50" s="144">
        <f t="shared" si="133"/>
        <v>66.66666666666666</v>
      </c>
      <c r="BZ50" s="119">
        <f>AV50+BK50</f>
        <v>442</v>
      </c>
      <c r="CA50" s="119">
        <f>AW50+BL50</f>
        <v>710</v>
      </c>
      <c r="CB50" s="119">
        <f>BZ50+CA50</f>
        <v>1152</v>
      </c>
      <c r="CC50" s="119">
        <f>AY50+BN50</f>
        <v>343</v>
      </c>
      <c r="CD50" s="119">
        <f>AZ50+BO50</f>
        <v>490</v>
      </c>
      <c r="CE50" s="119">
        <f>CC50+CD50</f>
        <v>833</v>
      </c>
      <c r="CF50" s="147"/>
      <c r="CG50" s="147"/>
      <c r="CH50" s="147"/>
      <c r="CI50" s="117">
        <f>SUM(CC50,CF50)</f>
        <v>343</v>
      </c>
      <c r="CJ50" s="117">
        <f>SUM(CD50,CG50)</f>
        <v>490</v>
      </c>
      <c r="CK50" s="119">
        <f>SUM(CI50,CJ50)</f>
        <v>833</v>
      </c>
      <c r="CL50" s="144">
        <f t="shared" si="191"/>
        <v>77.60180995475113</v>
      </c>
      <c r="CM50" s="144">
        <f t="shared" si="191"/>
        <v>69.01408450704226</v>
      </c>
      <c r="CN50" s="144">
        <f t="shared" si="191"/>
        <v>72.30902777777779</v>
      </c>
      <c r="CO50" s="117">
        <v>166</v>
      </c>
      <c r="CP50" s="117">
        <v>249</v>
      </c>
      <c r="CQ50" s="119">
        <f t="shared" si="160"/>
        <v>415</v>
      </c>
      <c r="CR50" s="117">
        <v>116</v>
      </c>
      <c r="CS50" s="117">
        <v>156</v>
      </c>
      <c r="CT50" s="119">
        <f t="shared" si="163"/>
        <v>272</v>
      </c>
      <c r="CU50" s="150"/>
      <c r="CV50" s="150"/>
      <c r="CW50" s="147"/>
      <c r="CX50" s="117">
        <f>SUM(CR50,CU50)</f>
        <v>116</v>
      </c>
      <c r="CY50" s="117">
        <f>SUM(CS50,CV50)</f>
        <v>156</v>
      </c>
      <c r="CZ50" s="119">
        <f>SUM(CX50,CY50)</f>
        <v>272</v>
      </c>
      <c r="DA50" s="144">
        <f t="shared" si="105"/>
        <v>69.87951807228916</v>
      </c>
      <c r="DB50" s="144">
        <f t="shared" si="106"/>
        <v>62.65060240963856</v>
      </c>
      <c r="DC50" s="144">
        <f t="shared" si="107"/>
        <v>65.5421686746988</v>
      </c>
      <c r="DD50" s="117">
        <v>45</v>
      </c>
      <c r="DE50" s="117">
        <v>20</v>
      </c>
      <c r="DF50" s="119">
        <f t="shared" si="48"/>
        <v>65</v>
      </c>
      <c r="DG50" s="117">
        <v>24</v>
      </c>
      <c r="DH50" s="117">
        <v>19</v>
      </c>
      <c r="DI50" s="119">
        <f t="shared" si="49"/>
        <v>43</v>
      </c>
      <c r="DJ50" s="150"/>
      <c r="DK50" s="150"/>
      <c r="DL50" s="150"/>
      <c r="DM50" s="117">
        <f>SUM(DG50,DJ50)</f>
        <v>24</v>
      </c>
      <c r="DN50" s="117">
        <f>SUM(DH50,DK50)</f>
        <v>19</v>
      </c>
      <c r="DO50" s="119">
        <f>SUM(DM50,DN50)</f>
        <v>43</v>
      </c>
      <c r="DP50" s="144">
        <f t="shared" si="127"/>
        <v>53.333333333333336</v>
      </c>
      <c r="DQ50" s="144">
        <f t="shared" si="128"/>
        <v>95</v>
      </c>
      <c r="DR50" s="144">
        <f t="shared" si="129"/>
        <v>66.15384615384615</v>
      </c>
      <c r="DS50" s="119">
        <f t="shared" si="140"/>
        <v>211</v>
      </c>
      <c r="DT50" s="119">
        <f t="shared" si="141"/>
        <v>269</v>
      </c>
      <c r="DU50" s="119">
        <f>DS50+DT50</f>
        <v>480</v>
      </c>
      <c r="DV50" s="119">
        <f t="shared" si="143"/>
        <v>140</v>
      </c>
      <c r="DW50" s="119">
        <f t="shared" si="144"/>
        <v>175</v>
      </c>
      <c r="DX50" s="119">
        <f>DV50+DW50</f>
        <v>315</v>
      </c>
      <c r="DY50" s="147"/>
      <c r="DZ50" s="147"/>
      <c r="EA50" s="147"/>
      <c r="EB50" s="117">
        <f>SUM(DV50,DY50)</f>
        <v>140</v>
      </c>
      <c r="EC50" s="117">
        <f>SUM(DW50,DZ50)</f>
        <v>175</v>
      </c>
      <c r="ED50" s="119">
        <f>SUM(EB50,EC50)</f>
        <v>315</v>
      </c>
      <c r="EE50" s="152"/>
      <c r="EF50" s="152"/>
      <c r="EG50" s="152"/>
      <c r="EH50" s="116">
        <f t="shared" si="108"/>
        <v>12800</v>
      </c>
      <c r="EI50" s="116">
        <f t="shared" si="109"/>
        <v>27042</v>
      </c>
      <c r="EJ50" s="116">
        <f t="shared" si="110"/>
        <v>39842</v>
      </c>
      <c r="EK50" s="120">
        <v>294</v>
      </c>
      <c r="EL50" s="120">
        <v>360</v>
      </c>
      <c r="EM50" s="116">
        <f t="shared" si="60"/>
        <v>654</v>
      </c>
      <c r="EN50" s="116">
        <v>1073</v>
      </c>
      <c r="EO50" s="116">
        <v>1369</v>
      </c>
      <c r="EP50" s="116">
        <f t="shared" si="61"/>
        <v>2442</v>
      </c>
      <c r="EQ50" s="53">
        <f>EK50/EH50%</f>
        <v>2.296875</v>
      </c>
      <c r="ER50" s="53">
        <f>EL50/EI50%</f>
        <v>1.3312624805857554</v>
      </c>
      <c r="ES50" s="53">
        <f>EM50/EJ50%</f>
        <v>1.6414838612519451</v>
      </c>
      <c r="ET50" s="41">
        <f>EN50/EH50%</f>
        <v>8.3828125</v>
      </c>
      <c r="EU50" s="41">
        <f>EO50/EI50%</f>
        <v>5.062495377560831</v>
      </c>
      <c r="EV50" s="41">
        <f>EP50/EJ50%</f>
        <v>6.129210381004969</v>
      </c>
      <c r="EW50" s="116">
        <f t="shared" si="68"/>
        <v>343</v>
      </c>
      <c r="EX50" s="116">
        <f t="shared" si="69"/>
        <v>490</v>
      </c>
      <c r="EY50" s="116">
        <f t="shared" si="70"/>
        <v>833</v>
      </c>
      <c r="EZ50" s="120">
        <v>4</v>
      </c>
      <c r="FA50" s="120">
        <v>0</v>
      </c>
      <c r="FB50" s="116">
        <f t="shared" si="71"/>
        <v>4</v>
      </c>
      <c r="FC50" s="116">
        <v>12</v>
      </c>
      <c r="FD50" s="116">
        <v>11</v>
      </c>
      <c r="FE50" s="116">
        <f t="shared" si="72"/>
        <v>23</v>
      </c>
      <c r="FF50" s="121">
        <f t="shared" si="73"/>
        <v>1.1661807580174925</v>
      </c>
      <c r="FG50" s="121">
        <f t="shared" si="74"/>
        <v>0</v>
      </c>
      <c r="FH50" s="121">
        <f t="shared" si="75"/>
        <v>0.4801920768307323</v>
      </c>
      <c r="FI50" s="121">
        <f t="shared" si="76"/>
        <v>3.498542274052478</v>
      </c>
      <c r="FJ50" s="121">
        <f t="shared" si="77"/>
        <v>2.2448979591836733</v>
      </c>
      <c r="FK50" s="121">
        <f t="shared" si="78"/>
        <v>2.7611044417767108</v>
      </c>
      <c r="FL50" s="116">
        <f t="shared" si="155"/>
        <v>140</v>
      </c>
      <c r="FM50" s="116">
        <f t="shared" si="156"/>
        <v>175</v>
      </c>
      <c r="FN50" s="116">
        <f t="shared" si="157"/>
        <v>315</v>
      </c>
      <c r="FO50" s="120">
        <v>0</v>
      </c>
      <c r="FP50" s="120">
        <v>0</v>
      </c>
      <c r="FQ50" s="116">
        <f t="shared" si="82"/>
        <v>0</v>
      </c>
      <c r="FR50" s="116">
        <v>6</v>
      </c>
      <c r="FS50" s="116">
        <v>0</v>
      </c>
      <c r="FT50" s="116">
        <f t="shared" si="83"/>
        <v>6</v>
      </c>
      <c r="FU50" s="121">
        <f>FO50/FL50%</f>
        <v>0</v>
      </c>
      <c r="FV50" s="121">
        <f>FP50/FM50%</f>
        <v>0</v>
      </c>
      <c r="FW50" s="121">
        <f>FQ50/FN50%</f>
        <v>0</v>
      </c>
      <c r="FX50" s="121">
        <f t="shared" si="86"/>
        <v>4.285714285714286</v>
      </c>
      <c r="FY50" s="121">
        <f t="shared" si="87"/>
        <v>0</v>
      </c>
      <c r="FZ50" s="121">
        <f t="shared" si="88"/>
        <v>1.9047619047619049</v>
      </c>
    </row>
    <row r="51" spans="1:182" ht="28.5" customHeight="1">
      <c r="A51" s="3">
        <v>42</v>
      </c>
      <c r="B51" s="70" t="s">
        <v>85</v>
      </c>
      <c r="C51" s="7">
        <v>872</v>
      </c>
      <c r="D51" s="7">
        <v>778</v>
      </c>
      <c r="E51" s="16">
        <v>1650</v>
      </c>
      <c r="F51" s="7">
        <v>850</v>
      </c>
      <c r="G51" s="7">
        <v>742</v>
      </c>
      <c r="H51" s="8">
        <f t="shared" si="22"/>
        <v>1592</v>
      </c>
      <c r="I51" s="9">
        <v>10</v>
      </c>
      <c r="J51" s="9">
        <v>10</v>
      </c>
      <c r="K51" s="11">
        <f t="shared" si="113"/>
        <v>20</v>
      </c>
      <c r="L51" s="7">
        <f t="shared" si="183"/>
        <v>860</v>
      </c>
      <c r="M51" s="7">
        <f t="shared" si="183"/>
        <v>752</v>
      </c>
      <c r="N51" s="7">
        <f t="shared" si="183"/>
        <v>1612</v>
      </c>
      <c r="O51" s="29">
        <f aca="true" t="shared" si="192" ref="O51:Q52">L51/C51*100</f>
        <v>98.62385321100918</v>
      </c>
      <c r="P51" s="29">
        <f t="shared" si="192"/>
        <v>96.65809768637533</v>
      </c>
      <c r="Q51" s="29">
        <f t="shared" si="192"/>
        <v>97.69696969696969</v>
      </c>
      <c r="R51" s="99"/>
      <c r="S51" s="99"/>
      <c r="T51" s="101"/>
      <c r="U51" s="99"/>
      <c r="V51" s="99"/>
      <c r="W51" s="101"/>
      <c r="X51" s="96"/>
      <c r="Y51" s="96"/>
      <c r="Z51" s="97"/>
      <c r="AA51" s="99"/>
      <c r="AB51" s="99"/>
      <c r="AC51" s="97"/>
      <c r="AD51" s="100"/>
      <c r="AE51" s="100"/>
      <c r="AF51" s="100"/>
      <c r="AG51" s="10">
        <f t="shared" si="186"/>
        <v>872</v>
      </c>
      <c r="AH51" s="10">
        <f t="shared" si="186"/>
        <v>778</v>
      </c>
      <c r="AI51" s="10">
        <f>AG51+AH51</f>
        <v>1650</v>
      </c>
      <c r="AJ51" s="10">
        <f t="shared" si="187"/>
        <v>850</v>
      </c>
      <c r="AK51" s="10">
        <f t="shared" si="187"/>
        <v>742</v>
      </c>
      <c r="AL51" s="10">
        <f>AJ51+AK51</f>
        <v>1592</v>
      </c>
      <c r="AM51" s="10">
        <f>I51+X51</f>
        <v>10</v>
      </c>
      <c r="AN51" s="10">
        <f>J51+Y51</f>
        <v>10</v>
      </c>
      <c r="AO51" s="10">
        <f>AM51+AN51</f>
        <v>20</v>
      </c>
      <c r="AP51" s="7">
        <f t="shared" si="188"/>
        <v>860</v>
      </c>
      <c r="AQ51" s="7">
        <f t="shared" si="188"/>
        <v>752</v>
      </c>
      <c r="AR51" s="10">
        <f>SUM(AP51,AQ51)</f>
        <v>1612</v>
      </c>
      <c r="AS51" s="29">
        <f>IF(AG51=0,"",AP51/AG51*100)</f>
        <v>98.62385321100918</v>
      </c>
      <c r="AT51" s="29">
        <f>IF(AH51=0,"",AQ51/AH51*100)</f>
        <v>96.65809768637533</v>
      </c>
      <c r="AU51" s="29">
        <f>IF(AI51=0,"",AR51/AI51*100)</f>
        <v>97.69696969696969</v>
      </c>
      <c r="AV51" s="159"/>
      <c r="AW51" s="96"/>
      <c r="AX51" s="96"/>
      <c r="AY51" s="97"/>
      <c r="AZ51" s="96"/>
      <c r="BA51" s="96"/>
      <c r="BB51" s="97"/>
      <c r="BC51" s="98"/>
      <c r="BD51" s="98"/>
      <c r="BE51" s="97"/>
      <c r="BF51" s="99"/>
      <c r="BG51" s="99"/>
      <c r="BH51" s="97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7"/>
      <c r="CA51" s="97"/>
      <c r="CB51" s="97"/>
      <c r="CC51" s="97"/>
      <c r="CD51" s="97"/>
      <c r="CE51" s="97"/>
      <c r="CF51" s="97"/>
      <c r="CG51" s="97"/>
      <c r="CH51" s="97"/>
      <c r="CI51" s="99"/>
      <c r="CJ51" s="99"/>
      <c r="CK51" s="97"/>
      <c r="CL51" s="100"/>
      <c r="CM51" s="100"/>
      <c r="CN51" s="100"/>
      <c r="CO51" s="96"/>
      <c r="CP51" s="96"/>
      <c r="CQ51" s="97"/>
      <c r="CR51" s="96"/>
      <c r="CS51" s="96"/>
      <c r="CT51" s="97"/>
      <c r="CU51" s="98"/>
      <c r="CV51" s="98"/>
      <c r="CW51" s="97"/>
      <c r="CX51" s="99"/>
      <c r="CY51" s="99"/>
      <c r="CZ51" s="97"/>
      <c r="DA51" s="100"/>
      <c r="DB51" s="100"/>
      <c r="DC51" s="100"/>
      <c r="DD51" s="96"/>
      <c r="DE51" s="96"/>
      <c r="DF51" s="97"/>
      <c r="DG51" s="96"/>
      <c r="DH51" s="96"/>
      <c r="DI51" s="97"/>
      <c r="DJ51" s="98"/>
      <c r="DK51" s="98"/>
      <c r="DL51" s="98"/>
      <c r="DM51" s="99"/>
      <c r="DN51" s="99"/>
      <c r="DO51" s="97"/>
      <c r="DP51" s="100"/>
      <c r="DQ51" s="100"/>
      <c r="DR51" s="100"/>
      <c r="DS51" s="97"/>
      <c r="DT51" s="97"/>
      <c r="DU51" s="97"/>
      <c r="DV51" s="97"/>
      <c r="DW51" s="97"/>
      <c r="DX51" s="97"/>
      <c r="DY51" s="97"/>
      <c r="DZ51" s="97"/>
      <c r="EA51" s="97"/>
      <c r="EB51" s="99"/>
      <c r="EC51" s="99"/>
      <c r="ED51" s="97"/>
      <c r="EE51" s="100"/>
      <c r="EF51" s="100"/>
      <c r="EG51" s="100"/>
      <c r="EH51" s="116">
        <f>AP51</f>
        <v>860</v>
      </c>
      <c r="EI51" s="116">
        <f>AQ51</f>
        <v>752</v>
      </c>
      <c r="EJ51" s="116">
        <f>AR51</f>
        <v>1612</v>
      </c>
      <c r="EK51" s="101"/>
      <c r="EL51" s="101"/>
      <c r="EM51" s="101"/>
      <c r="EN51" s="101"/>
      <c r="EO51" s="101"/>
      <c r="EP51" s="101"/>
      <c r="EQ51" s="100"/>
      <c r="ER51" s="100"/>
      <c r="ES51" s="100"/>
      <c r="ET51" s="102"/>
      <c r="EU51" s="102"/>
      <c r="EV51" s="102"/>
      <c r="EW51" s="101"/>
      <c r="EX51" s="101"/>
      <c r="EY51" s="101"/>
      <c r="EZ51" s="101"/>
      <c r="FA51" s="101"/>
      <c r="FB51" s="101"/>
      <c r="FC51" s="101"/>
      <c r="FD51" s="101"/>
      <c r="FE51" s="101"/>
      <c r="FF51" s="100"/>
      <c r="FG51" s="100"/>
      <c r="FH51" s="100"/>
      <c r="FI51" s="102"/>
      <c r="FJ51" s="102"/>
      <c r="FK51" s="102"/>
      <c r="FL51" s="101"/>
      <c r="FM51" s="101"/>
      <c r="FN51" s="101"/>
      <c r="FO51" s="101"/>
      <c r="FP51" s="101"/>
      <c r="FQ51" s="101"/>
      <c r="FR51" s="101"/>
      <c r="FS51" s="101"/>
      <c r="FT51" s="101"/>
      <c r="FU51" s="100"/>
      <c r="FV51" s="100"/>
      <c r="FW51" s="100"/>
      <c r="FX51" s="102"/>
      <c r="FY51" s="102"/>
      <c r="FZ51" s="102"/>
    </row>
    <row r="52" spans="1:182" s="33" customFormat="1" ht="19.5" customHeight="1">
      <c r="A52" s="184" t="s">
        <v>7</v>
      </c>
      <c r="B52" s="184"/>
      <c r="C52" s="30">
        <f>SUM(C9:C51)</f>
        <v>9727392</v>
      </c>
      <c r="D52" s="30">
        <f aca="true" t="shared" si="193" ref="D52:N52">SUM(D9:D51)</f>
        <v>8563734</v>
      </c>
      <c r="E52" s="30">
        <f t="shared" si="193"/>
        <v>18291126</v>
      </c>
      <c r="F52" s="30">
        <f t="shared" si="193"/>
        <v>7635363</v>
      </c>
      <c r="G52" s="30">
        <f t="shared" si="193"/>
        <v>6825900</v>
      </c>
      <c r="H52" s="30">
        <f t="shared" si="193"/>
        <v>14461263</v>
      </c>
      <c r="I52" s="30">
        <f t="shared" si="193"/>
        <v>167561</v>
      </c>
      <c r="J52" s="30">
        <f t="shared" si="193"/>
        <v>139208</v>
      </c>
      <c r="K52" s="30">
        <f t="shared" si="193"/>
        <v>306769</v>
      </c>
      <c r="L52" s="30">
        <f t="shared" si="193"/>
        <v>7802924</v>
      </c>
      <c r="M52" s="30">
        <f t="shared" si="193"/>
        <v>6965108</v>
      </c>
      <c r="N52" s="30">
        <f t="shared" si="193"/>
        <v>14768032</v>
      </c>
      <c r="O52" s="32">
        <f t="shared" si="192"/>
        <v>80.21599211792842</v>
      </c>
      <c r="P52" s="32">
        <f t="shared" si="192"/>
        <v>81.33260561339247</v>
      </c>
      <c r="Q52" s="32">
        <f t="shared" si="192"/>
        <v>80.73878010571902</v>
      </c>
      <c r="R52" s="30">
        <f aca="true" t="shared" si="194" ref="R52:AC52">SUM(R9:R51)</f>
        <v>719548</v>
      </c>
      <c r="S52" s="30">
        <f t="shared" si="194"/>
        <v>385144</v>
      </c>
      <c r="T52" s="30">
        <f t="shared" si="194"/>
        <v>1104692</v>
      </c>
      <c r="U52" s="30">
        <f t="shared" si="194"/>
        <v>256073</v>
      </c>
      <c r="V52" s="30">
        <f t="shared" si="194"/>
        <v>129608</v>
      </c>
      <c r="W52" s="30">
        <f t="shared" si="194"/>
        <v>385681</v>
      </c>
      <c r="X52" s="30">
        <f t="shared" si="194"/>
        <v>59496</v>
      </c>
      <c r="Y52" s="30">
        <f t="shared" si="194"/>
        <v>45839</v>
      </c>
      <c r="Z52" s="30">
        <f t="shared" si="194"/>
        <v>105335</v>
      </c>
      <c r="AA52" s="30">
        <f t="shared" si="194"/>
        <v>315569</v>
      </c>
      <c r="AB52" s="30">
        <f t="shared" si="194"/>
        <v>175447</v>
      </c>
      <c r="AC52" s="30">
        <f t="shared" si="194"/>
        <v>491016</v>
      </c>
      <c r="AD52" s="32">
        <f>AA52/R52*100</f>
        <v>43.85655995152513</v>
      </c>
      <c r="AE52" s="32">
        <f>AB52/S52*100</f>
        <v>45.55361111688096</v>
      </c>
      <c r="AF52" s="32">
        <f>AC52/T52*100</f>
        <v>44.448226292939566</v>
      </c>
      <c r="AG52" s="30">
        <f aca="true" t="shared" si="195" ref="AG52:AR52">SUM(AG9:AG51)</f>
        <v>10446940</v>
      </c>
      <c r="AH52" s="30">
        <f t="shared" si="195"/>
        <v>8948878</v>
      </c>
      <c r="AI52" s="30">
        <f t="shared" si="195"/>
        <v>19395818</v>
      </c>
      <c r="AJ52" s="30">
        <f t="shared" si="195"/>
        <v>7891436</v>
      </c>
      <c r="AK52" s="30">
        <f t="shared" si="195"/>
        <v>6955508</v>
      </c>
      <c r="AL52" s="30">
        <f t="shared" si="195"/>
        <v>14846944</v>
      </c>
      <c r="AM52" s="30">
        <f t="shared" si="195"/>
        <v>227057</v>
      </c>
      <c r="AN52" s="30">
        <f t="shared" si="195"/>
        <v>185047</v>
      </c>
      <c r="AO52" s="30">
        <f t="shared" si="195"/>
        <v>412104</v>
      </c>
      <c r="AP52" s="30">
        <f t="shared" si="195"/>
        <v>8118493</v>
      </c>
      <c r="AQ52" s="30">
        <f t="shared" si="195"/>
        <v>7140555</v>
      </c>
      <c r="AR52" s="30">
        <f t="shared" si="195"/>
        <v>15259048</v>
      </c>
      <c r="AS52" s="32">
        <f>AP52/AG52*100</f>
        <v>77.7116839955049</v>
      </c>
      <c r="AT52" s="32">
        <f>AQ52/AH52*100</f>
        <v>79.79274049774732</v>
      </c>
      <c r="AU52" s="32">
        <f>AR52/AI52*100</f>
        <v>78.67184565250098</v>
      </c>
      <c r="AV52" s="30">
        <f aca="true" t="shared" si="196" ref="AV52:BG52">SUM(AV9:AV51)</f>
        <v>1716856</v>
      </c>
      <c r="AW52" s="30">
        <f t="shared" si="196"/>
        <v>1532347</v>
      </c>
      <c r="AX52" s="30">
        <f t="shared" si="196"/>
        <v>3249203</v>
      </c>
      <c r="AY52" s="30">
        <f t="shared" si="196"/>
        <v>1246900</v>
      </c>
      <c r="AZ52" s="30">
        <f t="shared" si="196"/>
        <v>1138848</v>
      </c>
      <c r="BA52" s="30">
        <f t="shared" si="196"/>
        <v>2385748</v>
      </c>
      <c r="BB52" s="30">
        <f t="shared" si="196"/>
        <v>26651</v>
      </c>
      <c r="BC52" s="30">
        <f t="shared" si="196"/>
        <v>21949</v>
      </c>
      <c r="BD52" s="30">
        <f t="shared" si="196"/>
        <v>48600</v>
      </c>
      <c r="BE52" s="30">
        <f t="shared" si="196"/>
        <v>1273551</v>
      </c>
      <c r="BF52" s="30">
        <f t="shared" si="196"/>
        <v>1160797</v>
      </c>
      <c r="BG52" s="30">
        <f t="shared" si="196"/>
        <v>2434348</v>
      </c>
      <c r="BH52" s="32">
        <f>BE52/AV52*100</f>
        <v>74.17925556948283</v>
      </c>
      <c r="BI52" s="32">
        <f>BF52/AW52*100</f>
        <v>75.75288103804164</v>
      </c>
      <c r="BJ52" s="32">
        <f>BG52/AX52*100</f>
        <v>74.92138841432808</v>
      </c>
      <c r="BK52" s="30">
        <f aca="true" t="shared" si="197" ref="BK52:BV52">SUM(BK9:BK51)</f>
        <v>124010</v>
      </c>
      <c r="BL52" s="30">
        <f t="shared" si="197"/>
        <v>58469</v>
      </c>
      <c r="BM52" s="30">
        <f t="shared" si="197"/>
        <v>182479</v>
      </c>
      <c r="BN52" s="30">
        <f t="shared" si="197"/>
        <v>38938</v>
      </c>
      <c r="BO52" s="30">
        <f t="shared" si="197"/>
        <v>16315</v>
      </c>
      <c r="BP52" s="30">
        <f t="shared" si="197"/>
        <v>55253</v>
      </c>
      <c r="BQ52" s="30">
        <f t="shared" si="197"/>
        <v>12184</v>
      </c>
      <c r="BR52" s="30">
        <f t="shared" si="197"/>
        <v>9941</v>
      </c>
      <c r="BS52" s="30">
        <f t="shared" si="197"/>
        <v>22125</v>
      </c>
      <c r="BT52" s="30">
        <f t="shared" si="197"/>
        <v>51122</v>
      </c>
      <c r="BU52" s="30">
        <f t="shared" si="197"/>
        <v>26256</v>
      </c>
      <c r="BV52" s="30">
        <f t="shared" si="197"/>
        <v>77378</v>
      </c>
      <c r="BW52" s="32">
        <f>BT52/BK52*100</f>
        <v>41.22409483106201</v>
      </c>
      <c r="BX52" s="32">
        <f>BU52/BL52*100</f>
        <v>44.90584754314252</v>
      </c>
      <c r="BY52" s="32">
        <f>BV52/BM52*100</f>
        <v>42.40378344905441</v>
      </c>
      <c r="BZ52" s="30">
        <f aca="true" t="shared" si="198" ref="BZ52:CK52">SUM(BZ9:BZ51)</f>
        <v>1840866</v>
      </c>
      <c r="CA52" s="30">
        <f t="shared" si="198"/>
        <v>1590816</v>
      </c>
      <c r="CB52" s="30">
        <f t="shared" si="198"/>
        <v>3431682</v>
      </c>
      <c r="CC52" s="30">
        <f t="shared" si="198"/>
        <v>1285838</v>
      </c>
      <c r="CD52" s="30">
        <f t="shared" si="198"/>
        <v>1155163</v>
      </c>
      <c r="CE52" s="30">
        <f t="shared" si="198"/>
        <v>2441001</v>
      </c>
      <c r="CF52" s="30">
        <f t="shared" si="198"/>
        <v>38835</v>
      </c>
      <c r="CG52" s="30">
        <f t="shared" si="198"/>
        <v>31890</v>
      </c>
      <c r="CH52" s="30">
        <f t="shared" si="198"/>
        <v>70725</v>
      </c>
      <c r="CI52" s="30">
        <f t="shared" si="198"/>
        <v>1324673</v>
      </c>
      <c r="CJ52" s="30">
        <f t="shared" si="198"/>
        <v>1187053</v>
      </c>
      <c r="CK52" s="30">
        <f t="shared" si="198"/>
        <v>2511726</v>
      </c>
      <c r="CL52" s="32">
        <f>CI52/BZ52*100</f>
        <v>71.95923005802703</v>
      </c>
      <c r="CM52" s="32">
        <f>CJ52/CA52*100</f>
        <v>74.61912628487518</v>
      </c>
      <c r="CN52" s="32">
        <f>CK52/CB52*100</f>
        <v>73.19227131185232</v>
      </c>
      <c r="CO52" s="30">
        <f aca="true" t="shared" si="199" ref="CO52:CZ52">SUM(CO9:CO51)</f>
        <v>692362</v>
      </c>
      <c r="CP52" s="30">
        <f t="shared" si="199"/>
        <v>661661</v>
      </c>
      <c r="CQ52" s="30">
        <f t="shared" si="199"/>
        <v>1354023</v>
      </c>
      <c r="CR52" s="30">
        <f t="shared" si="199"/>
        <v>465385</v>
      </c>
      <c r="CS52" s="30">
        <f t="shared" si="199"/>
        <v>438897</v>
      </c>
      <c r="CT52" s="30">
        <f t="shared" si="199"/>
        <v>904282</v>
      </c>
      <c r="CU52" s="30">
        <f t="shared" si="199"/>
        <v>11981</v>
      </c>
      <c r="CV52" s="30">
        <f t="shared" si="199"/>
        <v>12575</v>
      </c>
      <c r="CW52" s="30">
        <f t="shared" si="199"/>
        <v>24556</v>
      </c>
      <c r="CX52" s="30">
        <f t="shared" si="199"/>
        <v>477366</v>
      </c>
      <c r="CY52" s="30">
        <f t="shared" si="199"/>
        <v>451472</v>
      </c>
      <c r="CZ52" s="30">
        <f t="shared" si="199"/>
        <v>928838</v>
      </c>
      <c r="DA52" s="32">
        <f>CX52/CO52*100</f>
        <v>68.94745812161845</v>
      </c>
      <c r="DB52" s="32">
        <f>CY52/CP52*100</f>
        <v>68.23312844492875</v>
      </c>
      <c r="DC52" s="32">
        <f>CZ52/CQ52*100</f>
        <v>68.5983916078235</v>
      </c>
      <c r="DD52" s="30">
        <f aca="true" t="shared" si="200" ref="DD52:DO52">SUM(DD9:DD51)</f>
        <v>86771</v>
      </c>
      <c r="DE52" s="30">
        <f t="shared" si="200"/>
        <v>72995</v>
      </c>
      <c r="DF52" s="30">
        <f t="shared" si="200"/>
        <v>159766</v>
      </c>
      <c r="DG52" s="30">
        <f t="shared" si="200"/>
        <v>22238</v>
      </c>
      <c r="DH52" s="30">
        <f t="shared" si="200"/>
        <v>18582</v>
      </c>
      <c r="DI52" s="30">
        <f t="shared" si="200"/>
        <v>40820</v>
      </c>
      <c r="DJ52" s="30">
        <f t="shared" si="200"/>
        <v>8069</v>
      </c>
      <c r="DK52" s="30">
        <f t="shared" si="200"/>
        <v>6823</v>
      </c>
      <c r="DL52" s="30">
        <f t="shared" si="200"/>
        <v>14892</v>
      </c>
      <c r="DM52" s="30">
        <f t="shared" si="200"/>
        <v>30307</v>
      </c>
      <c r="DN52" s="30">
        <f t="shared" si="200"/>
        <v>25405</v>
      </c>
      <c r="DO52" s="30">
        <f t="shared" si="200"/>
        <v>55712</v>
      </c>
      <c r="DP52" s="32">
        <f>DM52/DD52*100</f>
        <v>34.92756796625601</v>
      </c>
      <c r="DQ52" s="32">
        <f>DN52/DE52*100</f>
        <v>34.80375368175903</v>
      </c>
      <c r="DR52" s="32">
        <f>DO52/DF52*100</f>
        <v>34.87099883579735</v>
      </c>
      <c r="DS52" s="30">
        <f aca="true" t="shared" si="201" ref="DS52:ED52">SUM(DS9:DS51)</f>
        <v>779133</v>
      </c>
      <c r="DT52" s="30">
        <f t="shared" si="201"/>
        <v>734656</v>
      </c>
      <c r="DU52" s="30">
        <f t="shared" si="201"/>
        <v>1513789</v>
      </c>
      <c r="DV52" s="30">
        <f t="shared" si="201"/>
        <v>487623</v>
      </c>
      <c r="DW52" s="30">
        <f t="shared" si="201"/>
        <v>457479</v>
      </c>
      <c r="DX52" s="30">
        <f t="shared" si="201"/>
        <v>945102</v>
      </c>
      <c r="DY52" s="30">
        <f t="shared" si="201"/>
        <v>20050</v>
      </c>
      <c r="DZ52" s="30">
        <f t="shared" si="201"/>
        <v>19398</v>
      </c>
      <c r="EA52" s="30">
        <f t="shared" si="201"/>
        <v>39448</v>
      </c>
      <c r="EB52" s="30">
        <f t="shared" si="201"/>
        <v>507673</v>
      </c>
      <c r="EC52" s="30">
        <f t="shared" si="201"/>
        <v>476877</v>
      </c>
      <c r="ED52" s="30">
        <f t="shared" si="201"/>
        <v>984550</v>
      </c>
      <c r="EE52" s="32">
        <f>EB52/DS52*100</f>
        <v>65.15870846184157</v>
      </c>
      <c r="EF52" s="32">
        <f>EC52/DT52*100</f>
        <v>64.91160488718529</v>
      </c>
      <c r="EG52" s="32">
        <f>ED52/DU52*100</f>
        <v>65.03878677939923</v>
      </c>
      <c r="EH52" s="31">
        <f aca="true" t="shared" si="202" ref="EH52:EP52">SUM(EH9:EH51)</f>
        <v>8118493</v>
      </c>
      <c r="EI52" s="31">
        <f t="shared" si="202"/>
        <v>7140555</v>
      </c>
      <c r="EJ52" s="31">
        <f t="shared" si="202"/>
        <v>15259048</v>
      </c>
      <c r="EK52" s="31">
        <f t="shared" si="202"/>
        <v>1076632</v>
      </c>
      <c r="EL52" s="31">
        <f t="shared" si="202"/>
        <v>1208515</v>
      </c>
      <c r="EM52" s="31">
        <f t="shared" si="202"/>
        <v>2285166</v>
      </c>
      <c r="EN52" s="31">
        <f t="shared" si="202"/>
        <v>1981586</v>
      </c>
      <c r="EO52" s="31">
        <f t="shared" si="202"/>
        <v>1762860</v>
      </c>
      <c r="EP52" s="31">
        <f t="shared" si="202"/>
        <v>3744501</v>
      </c>
      <c r="EQ52" s="32">
        <f t="shared" si="62"/>
        <v>13.261475990679552</v>
      </c>
      <c r="ER52" s="32">
        <f t="shared" si="63"/>
        <v>16.924664819471314</v>
      </c>
      <c r="ES52" s="32">
        <f t="shared" si="64"/>
        <v>14.975809762181756</v>
      </c>
      <c r="ET52" s="32">
        <f t="shared" si="65"/>
        <v>24.40829843666799</v>
      </c>
      <c r="EU52" s="32">
        <f t="shared" si="66"/>
        <v>24.687996941414216</v>
      </c>
      <c r="EV52" s="32">
        <f t="shared" si="67"/>
        <v>24.539545324190602</v>
      </c>
      <c r="EW52" s="31">
        <f aca="true" t="shared" si="203" ref="EW52:FE52">SUM(EW9:EW51)</f>
        <v>1324673</v>
      </c>
      <c r="EX52" s="31">
        <f t="shared" si="203"/>
        <v>1187053</v>
      </c>
      <c r="EY52" s="31">
        <f t="shared" si="203"/>
        <v>2511726</v>
      </c>
      <c r="EZ52" s="31">
        <f t="shared" si="203"/>
        <v>134025</v>
      </c>
      <c r="FA52" s="31">
        <f t="shared" si="203"/>
        <v>149425</v>
      </c>
      <c r="FB52" s="31">
        <f t="shared" si="203"/>
        <v>283450</v>
      </c>
      <c r="FC52" s="31">
        <f t="shared" si="203"/>
        <v>335084</v>
      </c>
      <c r="FD52" s="31">
        <f t="shared" si="203"/>
        <v>314393</v>
      </c>
      <c r="FE52" s="31">
        <f t="shared" si="203"/>
        <v>649477</v>
      </c>
      <c r="FF52" s="32">
        <f>EZ52/EW52%</f>
        <v>10.11759128479255</v>
      </c>
      <c r="FG52" s="32">
        <f>FA52/EX52%</f>
        <v>12.587896243891384</v>
      </c>
      <c r="FH52" s="32">
        <f>FB52/EY52%</f>
        <v>11.285068514638938</v>
      </c>
      <c r="FI52" s="32">
        <f>FC52/EW52%</f>
        <v>25.295601254045337</v>
      </c>
      <c r="FJ52" s="32">
        <f>FD52/EX52%</f>
        <v>26.4851695754107</v>
      </c>
      <c r="FK52" s="32">
        <f>FE52/EY52%</f>
        <v>25.857796590870183</v>
      </c>
      <c r="FL52" s="31">
        <f aca="true" t="shared" si="204" ref="FL52:FT52">SUM(FL9:FL51)</f>
        <v>507673</v>
      </c>
      <c r="FM52" s="31">
        <f t="shared" si="204"/>
        <v>476877</v>
      </c>
      <c r="FN52" s="31">
        <f t="shared" si="204"/>
        <v>984550</v>
      </c>
      <c r="FO52" s="31">
        <f t="shared" si="204"/>
        <v>25560</v>
      </c>
      <c r="FP52" s="31">
        <f t="shared" si="204"/>
        <v>25254</v>
      </c>
      <c r="FQ52" s="31">
        <f t="shared" si="204"/>
        <v>50814</v>
      </c>
      <c r="FR52" s="31">
        <f t="shared" si="204"/>
        <v>83078</v>
      </c>
      <c r="FS52" s="31">
        <f t="shared" si="204"/>
        <v>76222</v>
      </c>
      <c r="FT52" s="31">
        <f t="shared" si="204"/>
        <v>159300</v>
      </c>
      <c r="FU52" s="32">
        <f>FO52/FL52%</f>
        <v>5.034736927116471</v>
      </c>
      <c r="FV52" s="32">
        <f>FP52/FM52%</f>
        <v>5.295705181839342</v>
      </c>
      <c r="FW52" s="32">
        <f>FQ52/FN52%</f>
        <v>5.161139606927023</v>
      </c>
      <c r="FX52" s="32">
        <f>FR52/FL52%</f>
        <v>16.364470830633106</v>
      </c>
      <c r="FY52" s="32">
        <f>FS52/FM52%</f>
        <v>15.983576477791965</v>
      </c>
      <c r="FZ52" s="32">
        <f>FT52/FN52%</f>
        <v>16.179980701843483</v>
      </c>
    </row>
    <row r="53" spans="1:182" s="124" customFormat="1" ht="20.25" customHeight="1">
      <c r="A53" s="122"/>
      <c r="B53" s="123"/>
      <c r="C53" s="183" t="s">
        <v>99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 t="str">
        <f>+C53</f>
        <v>** Figures pertains to 'ALIM' and 'High Madrasah' as both are equivalent to Secondary Examination.</v>
      </c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 t="str">
        <f>+C53</f>
        <v>** Figures pertains to 'ALIM' and 'High Madrasah' as both are equivalent to Secondary Examination.</v>
      </c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 t="str">
        <f>+C53</f>
        <v>** Figures pertains to 'ALIM' and 'High Madrasah' as both are equivalent to Secondary Examination.</v>
      </c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 t="str">
        <f>+C53</f>
        <v>** Figures pertains to 'ALIM' and 'High Madrasah' as both are equivalent to Secondary Examination.</v>
      </c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 t="str">
        <f>+BK53</f>
        <v>** Figures pertains to 'ALIM' and 'High Madrasah' as both are equivalent to Secondary Examination.</v>
      </c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 t="str">
        <f>+BZ53</f>
        <v>** Figures pertains to 'ALIM' and 'High Madrasah' as both are equivalent to Secondary Examination.</v>
      </c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 t="str">
        <f>+CO53</f>
        <v>** Figures pertains to 'ALIM' and 'High Madrasah' as both are equivalent to Secondary Examination.</v>
      </c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 t="str">
        <f>+DD53</f>
        <v>** Figures pertains to 'ALIM' and 'High Madrasah' as both are equivalent to Secondary Examination.</v>
      </c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 t="str">
        <f>+DS53</f>
        <v>** Figures pertains to 'ALIM' and 'High Madrasah' as both are equivalent to Secondary Examination.</v>
      </c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 t="str">
        <f>+EH53</f>
        <v>** Figures pertains to 'ALIM' and 'High Madrasah' as both are equivalent to Secondary Examination.</v>
      </c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 t="str">
        <f>+EW53</f>
        <v>** Figures pertains to 'ALIM' and 'High Madrasah' as both are equivalent to Secondary Examination.</v>
      </c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</row>
    <row r="54" spans="1:182" s="127" customFormat="1" ht="13.5" customHeight="1">
      <c r="A54" s="126"/>
      <c r="C54" s="183" t="s">
        <v>56</v>
      </c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 t="s">
        <v>56</v>
      </c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 t="s">
        <v>56</v>
      </c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25" t="s">
        <v>56</v>
      </c>
      <c r="BH54" s="128"/>
      <c r="BI54" s="128"/>
      <c r="BJ54" s="128"/>
      <c r="BK54" s="183" t="s">
        <v>56</v>
      </c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 t="s">
        <v>56</v>
      </c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 t="s">
        <v>56</v>
      </c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 t="s">
        <v>56</v>
      </c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 t="s">
        <v>56</v>
      </c>
      <c r="DT54" s="183"/>
      <c r="DU54" s="183"/>
      <c r="DV54" s="183"/>
      <c r="DW54" s="183"/>
      <c r="DX54" s="183"/>
      <c r="DY54" s="183"/>
      <c r="DZ54" s="183"/>
      <c r="EA54" s="183"/>
      <c r="EB54" s="183"/>
      <c r="EC54" s="183"/>
      <c r="ED54" s="183"/>
      <c r="EE54" s="183"/>
      <c r="EF54" s="183"/>
      <c r="EG54" s="183"/>
      <c r="EH54" s="183" t="s">
        <v>56</v>
      </c>
      <c r="EI54" s="183"/>
      <c r="EJ54" s="183"/>
      <c r="EK54" s="183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3" t="s">
        <v>56</v>
      </c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183"/>
      <c r="FK54" s="183"/>
      <c r="FL54" s="183" t="s">
        <v>56</v>
      </c>
      <c r="FM54" s="183"/>
      <c r="FN54" s="183"/>
      <c r="FO54" s="183"/>
      <c r="FP54" s="183"/>
      <c r="FQ54" s="183"/>
      <c r="FR54" s="183"/>
      <c r="FS54" s="183"/>
      <c r="FT54" s="183"/>
      <c r="FU54" s="183"/>
      <c r="FV54" s="183"/>
      <c r="FW54" s="183"/>
      <c r="FX54" s="183"/>
      <c r="FY54" s="183"/>
      <c r="FZ54" s="183"/>
    </row>
    <row r="55" spans="3:168" s="133" customFormat="1" ht="12" customHeight="1">
      <c r="C55" s="134" t="s">
        <v>92</v>
      </c>
      <c r="R55" s="134" t="s">
        <v>92</v>
      </c>
      <c r="AG55" s="134" t="s">
        <v>92</v>
      </c>
      <c r="AV55" s="134" t="s">
        <v>92</v>
      </c>
      <c r="AW55" s="135"/>
      <c r="AX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4" t="s">
        <v>92</v>
      </c>
      <c r="BZ55" s="134" t="s">
        <v>92</v>
      </c>
      <c r="CO55" s="134" t="s">
        <v>92</v>
      </c>
      <c r="DD55" s="134" t="s">
        <v>82</v>
      </c>
      <c r="DS55" s="134" t="s">
        <v>92</v>
      </c>
      <c r="EH55" s="134" t="s">
        <v>92</v>
      </c>
      <c r="EW55" s="134" t="s">
        <v>92</v>
      </c>
      <c r="FL55" s="134" t="s">
        <v>92</v>
      </c>
    </row>
    <row r="56" spans="1:182" s="127" customFormat="1" ht="12.75" customHeight="1">
      <c r="A56" s="181"/>
      <c r="B56" s="182"/>
      <c r="C56" s="183" t="s">
        <v>79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 t="s">
        <v>79</v>
      </c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 t="s">
        <v>79</v>
      </c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25" t="s">
        <v>79</v>
      </c>
      <c r="BH56" s="128"/>
      <c r="BI56" s="128"/>
      <c r="BJ56" s="128"/>
      <c r="BK56" s="183" t="s">
        <v>79</v>
      </c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 t="s">
        <v>79</v>
      </c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 t="s">
        <v>79</v>
      </c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 t="s">
        <v>79</v>
      </c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 t="s">
        <v>79</v>
      </c>
      <c r="DT56" s="183"/>
      <c r="DU56" s="183"/>
      <c r="DV56" s="183"/>
      <c r="DW56" s="183"/>
      <c r="DX56" s="183"/>
      <c r="DY56" s="183"/>
      <c r="DZ56" s="183"/>
      <c r="EA56" s="183"/>
      <c r="EB56" s="183"/>
      <c r="EC56" s="183"/>
      <c r="ED56" s="183"/>
      <c r="EE56" s="183"/>
      <c r="EF56" s="183"/>
      <c r="EG56" s="183"/>
      <c r="EH56" s="183" t="s">
        <v>79</v>
      </c>
      <c r="EI56" s="183"/>
      <c r="EJ56" s="183"/>
      <c r="EK56" s="183"/>
      <c r="EL56" s="183"/>
      <c r="EM56" s="183"/>
      <c r="EN56" s="183"/>
      <c r="EO56" s="183"/>
      <c r="EP56" s="183"/>
      <c r="EQ56" s="183"/>
      <c r="ER56" s="183"/>
      <c r="ES56" s="183"/>
      <c r="ET56" s="183"/>
      <c r="EU56" s="183"/>
      <c r="EV56" s="183"/>
      <c r="EW56" s="183" t="s">
        <v>79</v>
      </c>
      <c r="EX56" s="183"/>
      <c r="EY56" s="183"/>
      <c r="EZ56" s="183"/>
      <c r="FA56" s="183"/>
      <c r="FB56" s="183"/>
      <c r="FC56" s="183"/>
      <c r="FD56" s="183"/>
      <c r="FE56" s="183"/>
      <c r="FF56" s="183"/>
      <c r="FG56" s="183"/>
      <c r="FH56" s="183"/>
      <c r="FI56" s="183"/>
      <c r="FJ56" s="183"/>
      <c r="FK56" s="183"/>
      <c r="FL56" s="183" t="s">
        <v>79</v>
      </c>
      <c r="FM56" s="183"/>
      <c r="FN56" s="183"/>
      <c r="FO56" s="183"/>
      <c r="FP56" s="183"/>
      <c r="FQ56" s="183"/>
      <c r="FR56" s="183"/>
      <c r="FS56" s="183"/>
      <c r="FT56" s="183"/>
      <c r="FU56" s="183"/>
      <c r="FV56" s="183"/>
      <c r="FW56" s="183"/>
      <c r="FX56" s="183"/>
      <c r="FY56" s="183"/>
      <c r="FZ56" s="183"/>
    </row>
  </sheetData>
  <sheetProtection/>
  <protectedRanges>
    <protectedRange sqref="C10:D10" name="Range1"/>
    <protectedRange sqref="C12:D30 C32:D47" name="Range1_1"/>
    <protectedRange sqref="C31:D31" name="Range1_1_1"/>
  </protectedRanges>
  <mergeCells count="163">
    <mergeCell ref="EH3:EJ5"/>
    <mergeCell ref="EK5:EM5"/>
    <mergeCell ref="EN5:EP5"/>
    <mergeCell ref="EQ3:EV4"/>
    <mergeCell ref="EW3:EY5"/>
    <mergeCell ref="EZ3:FE4"/>
    <mergeCell ref="FC5:FE5"/>
    <mergeCell ref="FO5:FQ5"/>
    <mergeCell ref="FF3:FK4"/>
    <mergeCell ref="FF5:FH5"/>
    <mergeCell ref="FI5:FK5"/>
    <mergeCell ref="EQ5:ES5"/>
    <mergeCell ref="ET5:EV5"/>
    <mergeCell ref="EZ5:FB5"/>
    <mergeCell ref="FL3:FN5"/>
    <mergeCell ref="FL8:FZ8"/>
    <mergeCell ref="EW8:FK8"/>
    <mergeCell ref="EH8:EV8"/>
    <mergeCell ref="FL2:FZ2"/>
    <mergeCell ref="EW2:FK2"/>
    <mergeCell ref="FU5:FW5"/>
    <mergeCell ref="FX5:FZ5"/>
    <mergeCell ref="FU3:FZ4"/>
    <mergeCell ref="FR5:FT5"/>
    <mergeCell ref="FO3:FT4"/>
    <mergeCell ref="R1:AF1"/>
    <mergeCell ref="AG1:AU1"/>
    <mergeCell ref="AV1:BJ1"/>
    <mergeCell ref="BK1:BY1"/>
    <mergeCell ref="EK3:EP4"/>
    <mergeCell ref="BZ1:CN1"/>
    <mergeCell ref="CO1:DC1"/>
    <mergeCell ref="DD1:DR1"/>
    <mergeCell ref="DS1:EG1"/>
    <mergeCell ref="AG2:AU2"/>
    <mergeCell ref="AV2:BJ2"/>
    <mergeCell ref="BE5:BG5"/>
    <mergeCell ref="AJ4:AR4"/>
    <mergeCell ref="AM5:AO5"/>
    <mergeCell ref="AP5:AR5"/>
    <mergeCell ref="AV3:BG3"/>
    <mergeCell ref="AG3:AR3"/>
    <mergeCell ref="AV4:AX5"/>
    <mergeCell ref="AS3:AU5"/>
    <mergeCell ref="BB5:BD5"/>
    <mergeCell ref="C2:Q2"/>
    <mergeCell ref="R2:AF2"/>
    <mergeCell ref="F5:H5"/>
    <mergeCell ref="I5:K5"/>
    <mergeCell ref="L5:N5"/>
    <mergeCell ref="U5:W5"/>
    <mergeCell ref="F4:N4"/>
    <mergeCell ref="R4:T5"/>
    <mergeCell ref="U4:AC4"/>
    <mergeCell ref="X5:Z5"/>
    <mergeCell ref="A3:A6"/>
    <mergeCell ref="B3:B6"/>
    <mergeCell ref="C3:N3"/>
    <mergeCell ref="O3:Q5"/>
    <mergeCell ref="R3:AC3"/>
    <mergeCell ref="AD3:AF5"/>
    <mergeCell ref="C4:E5"/>
    <mergeCell ref="AA5:AC5"/>
    <mergeCell ref="EB5:ED5"/>
    <mergeCell ref="BK2:BY2"/>
    <mergeCell ref="BZ2:CN2"/>
    <mergeCell ref="DS2:EG2"/>
    <mergeCell ref="CO2:DC2"/>
    <mergeCell ref="DD2:DR2"/>
    <mergeCell ref="BZ3:CK3"/>
    <mergeCell ref="CL3:CN5"/>
    <mergeCell ref="CO3:CZ3"/>
    <mergeCell ref="DA3:DC5"/>
    <mergeCell ref="DD3:DO3"/>
    <mergeCell ref="DS4:DU5"/>
    <mergeCell ref="DD4:DF5"/>
    <mergeCell ref="DG5:DI5"/>
    <mergeCell ref="AJ5:AL5"/>
    <mergeCell ref="AG4:AI5"/>
    <mergeCell ref="BN5:BP5"/>
    <mergeCell ref="BN4:BV4"/>
    <mergeCell ref="BK4:BM5"/>
    <mergeCell ref="BH3:BJ5"/>
    <mergeCell ref="AY4:BG4"/>
    <mergeCell ref="AV8:BJ8"/>
    <mergeCell ref="AY5:BA5"/>
    <mergeCell ref="BZ4:CB5"/>
    <mergeCell ref="BQ5:BS5"/>
    <mergeCell ref="BT5:BV5"/>
    <mergeCell ref="CF5:CH5"/>
    <mergeCell ref="CI5:CK5"/>
    <mergeCell ref="CC5:CE5"/>
    <mergeCell ref="BW3:BY5"/>
    <mergeCell ref="CC4:CK4"/>
    <mergeCell ref="BK3:BV3"/>
    <mergeCell ref="DS3:ED3"/>
    <mergeCell ref="EE3:EG5"/>
    <mergeCell ref="A8:B8"/>
    <mergeCell ref="C8:Q8"/>
    <mergeCell ref="R8:AF8"/>
    <mergeCell ref="AG8:AU8"/>
    <mergeCell ref="BK8:BY8"/>
    <mergeCell ref="BZ8:CN8"/>
    <mergeCell ref="DJ5:DL5"/>
    <mergeCell ref="DM5:DO5"/>
    <mergeCell ref="DV5:DX5"/>
    <mergeCell ref="CO4:CQ5"/>
    <mergeCell ref="CR4:CZ4"/>
    <mergeCell ref="DV4:ED4"/>
    <mergeCell ref="CR5:CT5"/>
    <mergeCell ref="CU5:CW5"/>
    <mergeCell ref="CX5:CZ5"/>
    <mergeCell ref="DY5:EA5"/>
    <mergeCell ref="DP3:DR5"/>
    <mergeCell ref="DG4:DO4"/>
    <mergeCell ref="BK11:BY11"/>
    <mergeCell ref="BZ11:CN11"/>
    <mergeCell ref="CO11:DC11"/>
    <mergeCell ref="DD11:DR11"/>
    <mergeCell ref="DS11:EG11"/>
    <mergeCell ref="CO8:DC8"/>
    <mergeCell ref="DD8:DR8"/>
    <mergeCell ref="DS8:EG8"/>
    <mergeCell ref="A52:B52"/>
    <mergeCell ref="A11:B11"/>
    <mergeCell ref="C11:Q11"/>
    <mergeCell ref="R11:AF11"/>
    <mergeCell ref="AG11:AU11"/>
    <mergeCell ref="AV11:BJ11"/>
    <mergeCell ref="C54:Q54"/>
    <mergeCell ref="BZ54:CN54"/>
    <mergeCell ref="CO54:DC54"/>
    <mergeCell ref="DD54:DR54"/>
    <mergeCell ref="DS54:EG54"/>
    <mergeCell ref="C56:Q56"/>
    <mergeCell ref="BZ56:CN56"/>
    <mergeCell ref="CO56:DC56"/>
    <mergeCell ref="DD56:DR56"/>
    <mergeCell ref="DS56:EG56"/>
    <mergeCell ref="C53:Q53"/>
    <mergeCell ref="BZ53:CN53"/>
    <mergeCell ref="CO53:DC53"/>
    <mergeCell ref="DD53:DR53"/>
    <mergeCell ref="DS53:EG53"/>
    <mergeCell ref="R53:AF53"/>
    <mergeCell ref="AV53:BJ53"/>
    <mergeCell ref="R54:AF54"/>
    <mergeCell ref="R56:AF56"/>
    <mergeCell ref="AG53:AU53"/>
    <mergeCell ref="AG54:AU54"/>
    <mergeCell ref="AG56:AU56"/>
    <mergeCell ref="BK53:BY53"/>
    <mergeCell ref="BK54:BY54"/>
    <mergeCell ref="BK56:BY56"/>
    <mergeCell ref="FL53:FZ53"/>
    <mergeCell ref="FL54:FZ54"/>
    <mergeCell ref="FL56:FZ56"/>
    <mergeCell ref="EH53:EV53"/>
    <mergeCell ref="EH54:EV54"/>
    <mergeCell ref="EH56:EV56"/>
    <mergeCell ref="EW53:FK53"/>
    <mergeCell ref="EW54:FK54"/>
    <mergeCell ref="EW56:FK56"/>
  </mergeCells>
  <printOptions horizontalCentered="1"/>
  <pageMargins left="0" right="0" top="0.03937007874015748" bottom="0" header="0.31496062992125984" footer="0.5511811023622047"/>
  <pageSetup firstPageNumber="1" useFirstPageNumber="1" orientation="landscape" paperSize="9" scale="68" r:id="rId1"/>
  <headerFooter alignWithMargins="0">
    <oddFooter>&amp;CX-2016&amp;R&amp;P</oddFooter>
  </headerFooter>
  <rowBreaks count="1" manualBreakCount="1">
    <brk id="29" max="181" man="1"/>
  </rowBreaks>
  <colBreaks count="11" manualBreakCount="11">
    <brk id="17" max="55" man="1"/>
    <brk id="32" max="55" man="1"/>
    <brk id="47" max="55" man="1"/>
    <brk id="62" max="55" man="1"/>
    <brk id="77" max="55" man="1"/>
    <brk id="92" max="55" man="1"/>
    <brk id="107" max="55" man="1"/>
    <brk id="122" max="55" man="1"/>
    <brk id="137" max="55" man="1"/>
    <brk id="152" max="55" man="1"/>
    <brk id="167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H18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4.28125" style="0" customWidth="1"/>
    <col min="2" max="2" width="31.421875" style="0" customWidth="1"/>
    <col min="3" max="14" width="8.7109375" style="0" customWidth="1"/>
    <col min="15" max="20" width="8.8515625" style="0" customWidth="1"/>
    <col min="21" max="26" width="8.7109375" style="0" hidden="1" customWidth="1"/>
    <col min="27" max="27" width="8.8515625" style="21" customWidth="1"/>
    <col min="28" max="28" width="8.140625" style="21" customWidth="1"/>
    <col min="29" max="29" width="8.8515625" style="21" customWidth="1"/>
    <col min="30" max="30" width="8.140625" style="21" customWidth="1"/>
    <col min="31" max="31" width="6.8515625" style="21" customWidth="1"/>
    <col min="32" max="33" width="8.140625" style="21" customWidth="1"/>
    <col min="34" max="34" width="7.00390625" style="21" customWidth="1"/>
    <col min="35" max="35" width="8.140625" style="21" customWidth="1"/>
    <col min="36" max="36" width="10.00390625" style="21" customWidth="1"/>
    <col min="37" max="41" width="6.8515625" style="21" customWidth="1"/>
    <col min="42" max="42" width="8.8515625" style="21" customWidth="1"/>
    <col min="43" max="43" width="8.140625" style="21" customWidth="1"/>
    <col min="44" max="44" width="8.8515625" style="21" customWidth="1"/>
    <col min="45" max="45" width="8.140625" style="21" customWidth="1"/>
    <col min="46" max="46" width="6.8515625" style="21" customWidth="1"/>
    <col min="47" max="48" width="8.140625" style="21" customWidth="1"/>
    <col min="49" max="49" width="7.00390625" style="21" customWidth="1"/>
    <col min="50" max="50" width="8.140625" style="21" customWidth="1"/>
    <col min="51" max="53" width="6.8515625" style="21" customWidth="1"/>
    <col min="54" max="54" width="10.421875" style="21" customWidth="1"/>
    <col min="55" max="56" width="6.8515625" style="21" customWidth="1"/>
    <col min="57" max="57" width="8.8515625" style="21" customWidth="1"/>
    <col min="58" max="58" width="8.140625" style="21" customWidth="1"/>
    <col min="59" max="59" width="8.8515625" style="21" customWidth="1"/>
    <col min="60" max="60" width="8.140625" style="21" customWidth="1"/>
    <col min="61" max="61" width="6.8515625" style="21" customWidth="1"/>
    <col min="62" max="63" width="8.140625" style="21" customWidth="1"/>
    <col min="64" max="64" width="7.00390625" style="21" customWidth="1"/>
    <col min="65" max="65" width="8.140625" style="21" customWidth="1"/>
    <col min="66" max="71" width="6.8515625" style="21" customWidth="1"/>
    <col min="72" max="72" width="8.8515625" style="21" hidden="1" customWidth="1"/>
    <col min="73" max="73" width="8.140625" style="21" hidden="1" customWidth="1"/>
    <col min="74" max="74" width="8.8515625" style="21" hidden="1" customWidth="1"/>
    <col min="75" max="75" width="8.140625" style="21" hidden="1" customWidth="1"/>
    <col min="76" max="76" width="6.8515625" style="21" hidden="1" customWidth="1"/>
    <col min="77" max="78" width="8.140625" style="21" hidden="1" customWidth="1"/>
    <col min="79" max="79" width="7.00390625" style="21" hidden="1" customWidth="1"/>
    <col min="80" max="80" width="8.140625" style="21" hidden="1" customWidth="1"/>
    <col min="81" max="86" width="6.8515625" style="21" hidden="1" customWidth="1"/>
  </cols>
  <sheetData>
    <row r="1" spans="3:86" ht="23.25" customHeight="1">
      <c r="C1" s="44" t="str">
        <f>Board!C1</f>
        <v>RESULTS OF SECONDARY EXAMINATION- 2016</v>
      </c>
      <c r="O1" s="44"/>
      <c r="AA1" s="44" t="str">
        <f>C1</f>
        <v>RESULTS OF SECONDARY EXAMINATION- 2016</v>
      </c>
      <c r="AB1" s="44"/>
      <c r="AC1" s="44"/>
      <c r="AO1" s="44"/>
      <c r="AP1" s="44" t="str">
        <f>AA1</f>
        <v>RESULTS OF SECONDARY EXAMINATION- 2016</v>
      </c>
      <c r="AQ1" s="44"/>
      <c r="AR1" s="44"/>
      <c r="BD1" s="44"/>
      <c r="BE1" s="44" t="str">
        <f>AP1</f>
        <v>RESULTS OF SECONDARY EXAMINATION- 2016</v>
      </c>
      <c r="BF1" s="44"/>
      <c r="BG1" s="44"/>
      <c r="BS1" s="44"/>
      <c r="BT1" s="44" t="str">
        <f>BE1</f>
        <v>RESULTS OF SECONDARY EXAMINATION- 2016</v>
      </c>
      <c r="BU1" s="44"/>
      <c r="BV1" s="44"/>
      <c r="CH1" s="44"/>
    </row>
    <row r="2" spans="1:86" s="1" customFormat="1" ht="30" customHeight="1">
      <c r="A2" s="43"/>
      <c r="B2" s="43"/>
      <c r="C2" s="49" t="s">
        <v>101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4" t="s">
        <v>102</v>
      </c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54" t="s">
        <v>103</v>
      </c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54" t="s">
        <v>104</v>
      </c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54" t="s">
        <v>69</v>
      </c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</row>
    <row r="3" spans="1:86" s="2" customFormat="1" ht="19.5" customHeight="1">
      <c r="A3" s="184" t="s">
        <v>47</v>
      </c>
      <c r="B3" s="184" t="s">
        <v>0</v>
      </c>
      <c r="C3" s="207" t="s">
        <v>1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7" t="s">
        <v>1</v>
      </c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191" t="s">
        <v>61</v>
      </c>
      <c r="AB3" s="192"/>
      <c r="AC3" s="193"/>
      <c r="AD3" s="191" t="s">
        <v>62</v>
      </c>
      <c r="AE3" s="192"/>
      <c r="AF3" s="192"/>
      <c r="AG3" s="192"/>
      <c r="AH3" s="192"/>
      <c r="AI3" s="193"/>
      <c r="AJ3" s="191" t="s">
        <v>60</v>
      </c>
      <c r="AK3" s="192"/>
      <c r="AL3" s="192"/>
      <c r="AM3" s="192"/>
      <c r="AN3" s="192"/>
      <c r="AO3" s="193"/>
      <c r="AP3" s="191" t="s">
        <v>61</v>
      </c>
      <c r="AQ3" s="192"/>
      <c r="AR3" s="193"/>
      <c r="AS3" s="191" t="s">
        <v>62</v>
      </c>
      <c r="AT3" s="192"/>
      <c r="AU3" s="192"/>
      <c r="AV3" s="192"/>
      <c r="AW3" s="192"/>
      <c r="AX3" s="193"/>
      <c r="AY3" s="191" t="s">
        <v>60</v>
      </c>
      <c r="AZ3" s="192"/>
      <c r="BA3" s="192"/>
      <c r="BB3" s="192"/>
      <c r="BC3" s="192"/>
      <c r="BD3" s="193"/>
      <c r="BE3" s="191" t="s">
        <v>61</v>
      </c>
      <c r="BF3" s="192"/>
      <c r="BG3" s="193"/>
      <c r="BH3" s="191" t="s">
        <v>62</v>
      </c>
      <c r="BI3" s="192"/>
      <c r="BJ3" s="192"/>
      <c r="BK3" s="192"/>
      <c r="BL3" s="192"/>
      <c r="BM3" s="193"/>
      <c r="BN3" s="191" t="s">
        <v>60</v>
      </c>
      <c r="BO3" s="192"/>
      <c r="BP3" s="192"/>
      <c r="BQ3" s="192"/>
      <c r="BR3" s="192"/>
      <c r="BS3" s="193"/>
      <c r="BT3" s="191" t="s">
        <v>61</v>
      </c>
      <c r="BU3" s="192"/>
      <c r="BV3" s="193"/>
      <c r="BW3" s="191" t="s">
        <v>62</v>
      </c>
      <c r="BX3" s="192"/>
      <c r="BY3" s="192"/>
      <c r="BZ3" s="192"/>
      <c r="CA3" s="192"/>
      <c r="CB3" s="193"/>
      <c r="CC3" s="191" t="s">
        <v>60</v>
      </c>
      <c r="CD3" s="192"/>
      <c r="CE3" s="192"/>
      <c r="CF3" s="192"/>
      <c r="CG3" s="192"/>
      <c r="CH3" s="193"/>
    </row>
    <row r="4" spans="1:86" s="2" customFormat="1" ht="19.5" customHeight="1">
      <c r="A4" s="184"/>
      <c r="B4" s="184"/>
      <c r="C4" s="184" t="s">
        <v>52</v>
      </c>
      <c r="D4" s="184"/>
      <c r="E4" s="184"/>
      <c r="F4" s="184"/>
      <c r="G4" s="184"/>
      <c r="H4" s="184"/>
      <c r="I4" s="184" t="s">
        <v>53</v>
      </c>
      <c r="J4" s="184"/>
      <c r="K4" s="184"/>
      <c r="L4" s="184"/>
      <c r="M4" s="184"/>
      <c r="N4" s="184"/>
      <c r="O4" s="184" t="s">
        <v>54</v>
      </c>
      <c r="P4" s="184"/>
      <c r="Q4" s="184"/>
      <c r="R4" s="184"/>
      <c r="S4" s="184"/>
      <c r="T4" s="184"/>
      <c r="U4" s="184" t="s">
        <v>68</v>
      </c>
      <c r="V4" s="184"/>
      <c r="W4" s="184"/>
      <c r="X4" s="184"/>
      <c r="Y4" s="184"/>
      <c r="Z4" s="184"/>
      <c r="AA4" s="204"/>
      <c r="AB4" s="205"/>
      <c r="AC4" s="206"/>
      <c r="AD4" s="194"/>
      <c r="AE4" s="195"/>
      <c r="AF4" s="195"/>
      <c r="AG4" s="195"/>
      <c r="AH4" s="195"/>
      <c r="AI4" s="196"/>
      <c r="AJ4" s="194"/>
      <c r="AK4" s="195"/>
      <c r="AL4" s="195"/>
      <c r="AM4" s="195"/>
      <c r="AN4" s="195"/>
      <c r="AO4" s="196"/>
      <c r="AP4" s="204"/>
      <c r="AQ4" s="205"/>
      <c r="AR4" s="206"/>
      <c r="AS4" s="194"/>
      <c r="AT4" s="195"/>
      <c r="AU4" s="195"/>
      <c r="AV4" s="195"/>
      <c r="AW4" s="195"/>
      <c r="AX4" s="196"/>
      <c r="AY4" s="194"/>
      <c r="AZ4" s="195"/>
      <c r="BA4" s="195"/>
      <c r="BB4" s="195"/>
      <c r="BC4" s="195"/>
      <c r="BD4" s="196"/>
      <c r="BE4" s="204"/>
      <c r="BF4" s="205"/>
      <c r="BG4" s="206"/>
      <c r="BH4" s="194"/>
      <c r="BI4" s="195"/>
      <c r="BJ4" s="195"/>
      <c r="BK4" s="195"/>
      <c r="BL4" s="195"/>
      <c r="BM4" s="196"/>
      <c r="BN4" s="194"/>
      <c r="BO4" s="195"/>
      <c r="BP4" s="195"/>
      <c r="BQ4" s="195"/>
      <c r="BR4" s="195"/>
      <c r="BS4" s="196"/>
      <c r="BT4" s="204"/>
      <c r="BU4" s="205"/>
      <c r="BV4" s="206"/>
      <c r="BW4" s="194"/>
      <c r="BX4" s="195"/>
      <c r="BY4" s="195"/>
      <c r="BZ4" s="195"/>
      <c r="CA4" s="195"/>
      <c r="CB4" s="196"/>
      <c r="CC4" s="194"/>
      <c r="CD4" s="195"/>
      <c r="CE4" s="195"/>
      <c r="CF4" s="195"/>
      <c r="CG4" s="195"/>
      <c r="CH4" s="196"/>
    </row>
    <row r="5" spans="1:86" s="2" customFormat="1" ht="22.5" customHeight="1">
      <c r="A5" s="184"/>
      <c r="B5" s="184"/>
      <c r="C5" s="184" t="s">
        <v>2</v>
      </c>
      <c r="D5" s="184"/>
      <c r="E5" s="184"/>
      <c r="F5" s="184" t="s">
        <v>3</v>
      </c>
      <c r="G5" s="184"/>
      <c r="H5" s="184"/>
      <c r="I5" s="184" t="s">
        <v>2</v>
      </c>
      <c r="J5" s="184"/>
      <c r="K5" s="184"/>
      <c r="L5" s="184" t="s">
        <v>3</v>
      </c>
      <c r="M5" s="184"/>
      <c r="N5" s="184"/>
      <c r="O5" s="184" t="s">
        <v>2</v>
      </c>
      <c r="P5" s="184"/>
      <c r="Q5" s="184"/>
      <c r="R5" s="184" t="s">
        <v>3</v>
      </c>
      <c r="S5" s="184"/>
      <c r="T5" s="184"/>
      <c r="U5" s="184" t="s">
        <v>2</v>
      </c>
      <c r="V5" s="184"/>
      <c r="W5" s="184"/>
      <c r="X5" s="184" t="s">
        <v>3</v>
      </c>
      <c r="Y5" s="184"/>
      <c r="Z5" s="184"/>
      <c r="AA5" s="194"/>
      <c r="AB5" s="195"/>
      <c r="AC5" s="196"/>
      <c r="AD5" s="201" t="s">
        <v>66</v>
      </c>
      <c r="AE5" s="202"/>
      <c r="AF5" s="203"/>
      <c r="AG5" s="201" t="s">
        <v>67</v>
      </c>
      <c r="AH5" s="202"/>
      <c r="AI5" s="203"/>
      <c r="AJ5" s="201" t="s">
        <v>66</v>
      </c>
      <c r="AK5" s="202"/>
      <c r="AL5" s="203"/>
      <c r="AM5" s="201" t="s">
        <v>67</v>
      </c>
      <c r="AN5" s="202"/>
      <c r="AO5" s="203"/>
      <c r="AP5" s="194"/>
      <c r="AQ5" s="195"/>
      <c r="AR5" s="196"/>
      <c r="AS5" s="201" t="s">
        <v>66</v>
      </c>
      <c r="AT5" s="202"/>
      <c r="AU5" s="203"/>
      <c r="AV5" s="201" t="s">
        <v>67</v>
      </c>
      <c r="AW5" s="202"/>
      <c r="AX5" s="203"/>
      <c r="AY5" s="201" t="s">
        <v>66</v>
      </c>
      <c r="AZ5" s="202"/>
      <c r="BA5" s="203"/>
      <c r="BB5" s="201" t="s">
        <v>67</v>
      </c>
      <c r="BC5" s="202"/>
      <c r="BD5" s="203"/>
      <c r="BE5" s="194"/>
      <c r="BF5" s="195"/>
      <c r="BG5" s="196"/>
      <c r="BH5" s="201" t="s">
        <v>66</v>
      </c>
      <c r="BI5" s="202"/>
      <c r="BJ5" s="203"/>
      <c r="BK5" s="201" t="s">
        <v>67</v>
      </c>
      <c r="BL5" s="202"/>
      <c r="BM5" s="203"/>
      <c r="BN5" s="201" t="s">
        <v>66</v>
      </c>
      <c r="BO5" s="202"/>
      <c r="BP5" s="203"/>
      <c r="BQ5" s="201" t="s">
        <v>67</v>
      </c>
      <c r="BR5" s="202"/>
      <c r="BS5" s="203"/>
      <c r="BT5" s="194"/>
      <c r="BU5" s="195"/>
      <c r="BV5" s="196"/>
      <c r="BW5" s="201" t="s">
        <v>66</v>
      </c>
      <c r="BX5" s="202"/>
      <c r="BY5" s="203"/>
      <c r="BZ5" s="201" t="s">
        <v>67</v>
      </c>
      <c r="CA5" s="202"/>
      <c r="CB5" s="203"/>
      <c r="CC5" s="201" t="s">
        <v>66</v>
      </c>
      <c r="CD5" s="202"/>
      <c r="CE5" s="203"/>
      <c r="CF5" s="201" t="s">
        <v>67</v>
      </c>
      <c r="CG5" s="202"/>
      <c r="CH5" s="203"/>
    </row>
    <row r="6" spans="1:86" s="2" customFormat="1" ht="28.5" customHeight="1">
      <c r="A6" s="184"/>
      <c r="B6" s="184"/>
      <c r="C6" s="35" t="s">
        <v>5</v>
      </c>
      <c r="D6" s="35" t="s">
        <v>6</v>
      </c>
      <c r="E6" s="35" t="s">
        <v>7</v>
      </c>
      <c r="F6" s="35" t="s">
        <v>5</v>
      </c>
      <c r="G6" s="35" t="s">
        <v>6</v>
      </c>
      <c r="H6" s="35" t="s">
        <v>7</v>
      </c>
      <c r="I6" s="35" t="s">
        <v>5</v>
      </c>
      <c r="J6" s="35" t="s">
        <v>6</v>
      </c>
      <c r="K6" s="35" t="s">
        <v>7</v>
      </c>
      <c r="L6" s="35" t="s">
        <v>5</v>
      </c>
      <c r="M6" s="35" t="s">
        <v>6</v>
      </c>
      <c r="N6" s="35" t="s">
        <v>7</v>
      </c>
      <c r="O6" s="35" t="s">
        <v>5</v>
      </c>
      <c r="P6" s="35" t="s">
        <v>6</v>
      </c>
      <c r="Q6" s="35" t="s">
        <v>7</v>
      </c>
      <c r="R6" s="35" t="s">
        <v>5</v>
      </c>
      <c r="S6" s="35" t="s">
        <v>6</v>
      </c>
      <c r="T6" s="35" t="s">
        <v>7</v>
      </c>
      <c r="U6" s="35" t="s">
        <v>5</v>
      </c>
      <c r="V6" s="35" t="s">
        <v>6</v>
      </c>
      <c r="W6" s="35" t="s">
        <v>7</v>
      </c>
      <c r="X6" s="35" t="s">
        <v>5</v>
      </c>
      <c r="Y6" s="35" t="s">
        <v>6</v>
      </c>
      <c r="Z6" s="35" t="s">
        <v>7</v>
      </c>
      <c r="AA6" s="25" t="s">
        <v>5</v>
      </c>
      <c r="AB6" s="25" t="s">
        <v>6</v>
      </c>
      <c r="AC6" s="25" t="s">
        <v>7</v>
      </c>
      <c r="AD6" s="25" t="s">
        <v>5</v>
      </c>
      <c r="AE6" s="25" t="s">
        <v>6</v>
      </c>
      <c r="AF6" s="25" t="s">
        <v>7</v>
      </c>
      <c r="AG6" s="25" t="s">
        <v>5</v>
      </c>
      <c r="AH6" s="25" t="s">
        <v>6</v>
      </c>
      <c r="AI6" s="25" t="s">
        <v>7</v>
      </c>
      <c r="AJ6" s="25" t="s">
        <v>5</v>
      </c>
      <c r="AK6" s="25" t="s">
        <v>6</v>
      </c>
      <c r="AL6" s="25" t="s">
        <v>7</v>
      </c>
      <c r="AM6" s="25" t="s">
        <v>5</v>
      </c>
      <c r="AN6" s="25" t="s">
        <v>6</v>
      </c>
      <c r="AO6" s="25" t="s">
        <v>7</v>
      </c>
      <c r="AP6" s="25" t="s">
        <v>5</v>
      </c>
      <c r="AQ6" s="25" t="s">
        <v>6</v>
      </c>
      <c r="AR6" s="25" t="s">
        <v>7</v>
      </c>
      <c r="AS6" s="25" t="s">
        <v>5</v>
      </c>
      <c r="AT6" s="25" t="s">
        <v>6</v>
      </c>
      <c r="AU6" s="25" t="s">
        <v>7</v>
      </c>
      <c r="AV6" s="25" t="s">
        <v>5</v>
      </c>
      <c r="AW6" s="25" t="s">
        <v>6</v>
      </c>
      <c r="AX6" s="25" t="s">
        <v>7</v>
      </c>
      <c r="AY6" s="25" t="s">
        <v>5</v>
      </c>
      <c r="AZ6" s="25" t="s">
        <v>6</v>
      </c>
      <c r="BA6" s="25" t="s">
        <v>7</v>
      </c>
      <c r="BB6" s="25" t="s">
        <v>5</v>
      </c>
      <c r="BC6" s="25" t="s">
        <v>6</v>
      </c>
      <c r="BD6" s="25" t="s">
        <v>7</v>
      </c>
      <c r="BE6" s="25" t="s">
        <v>5</v>
      </c>
      <c r="BF6" s="25" t="s">
        <v>6</v>
      </c>
      <c r="BG6" s="25" t="s">
        <v>7</v>
      </c>
      <c r="BH6" s="25" t="s">
        <v>5</v>
      </c>
      <c r="BI6" s="25" t="s">
        <v>6</v>
      </c>
      <c r="BJ6" s="25" t="s">
        <v>7</v>
      </c>
      <c r="BK6" s="25" t="s">
        <v>5</v>
      </c>
      <c r="BL6" s="25" t="s">
        <v>6</v>
      </c>
      <c r="BM6" s="25" t="s">
        <v>7</v>
      </c>
      <c r="BN6" s="25" t="s">
        <v>5</v>
      </c>
      <c r="BO6" s="25" t="s">
        <v>6</v>
      </c>
      <c r="BP6" s="25" t="s">
        <v>7</v>
      </c>
      <c r="BQ6" s="25" t="s">
        <v>5</v>
      </c>
      <c r="BR6" s="25" t="s">
        <v>6</v>
      </c>
      <c r="BS6" s="25" t="s">
        <v>7</v>
      </c>
      <c r="BT6" s="25" t="s">
        <v>5</v>
      </c>
      <c r="BU6" s="25" t="s">
        <v>6</v>
      </c>
      <c r="BV6" s="25" t="s">
        <v>7</v>
      </c>
      <c r="BW6" s="25" t="s">
        <v>5</v>
      </c>
      <c r="BX6" s="25" t="s">
        <v>6</v>
      </c>
      <c r="BY6" s="25" t="s">
        <v>7</v>
      </c>
      <c r="BZ6" s="25" t="s">
        <v>5</v>
      </c>
      <c r="CA6" s="25" t="s">
        <v>6</v>
      </c>
      <c r="CB6" s="25" t="s">
        <v>7</v>
      </c>
      <c r="CC6" s="25" t="s">
        <v>5</v>
      </c>
      <c r="CD6" s="25" t="s">
        <v>6</v>
      </c>
      <c r="CE6" s="25" t="s">
        <v>7</v>
      </c>
      <c r="CF6" s="25" t="s">
        <v>5</v>
      </c>
      <c r="CG6" s="25" t="s">
        <v>6</v>
      </c>
      <c r="CH6" s="25" t="s">
        <v>7</v>
      </c>
    </row>
    <row r="7" spans="1:86" s="36" customFormat="1" ht="1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  <c r="M7" s="26">
        <v>13</v>
      </c>
      <c r="N7" s="26">
        <v>14</v>
      </c>
      <c r="O7" s="26">
        <v>15</v>
      </c>
      <c r="P7" s="26">
        <v>16</v>
      </c>
      <c r="Q7" s="26">
        <v>17</v>
      </c>
      <c r="R7" s="26">
        <v>18</v>
      </c>
      <c r="S7" s="26">
        <v>19</v>
      </c>
      <c r="T7" s="26">
        <v>20</v>
      </c>
      <c r="U7" s="26">
        <v>21</v>
      </c>
      <c r="V7" s="26">
        <v>22</v>
      </c>
      <c r="W7" s="26">
        <v>23</v>
      </c>
      <c r="X7" s="26">
        <v>24</v>
      </c>
      <c r="Y7" s="26">
        <v>25</v>
      </c>
      <c r="Z7" s="26">
        <v>26</v>
      </c>
      <c r="AA7" s="40">
        <v>3</v>
      </c>
      <c r="AB7" s="40">
        <v>4</v>
      </c>
      <c r="AC7" s="40">
        <v>5</v>
      </c>
      <c r="AD7" s="40">
        <v>6</v>
      </c>
      <c r="AE7" s="40">
        <v>7</v>
      </c>
      <c r="AF7" s="40">
        <v>8</v>
      </c>
      <c r="AG7" s="40">
        <v>9</v>
      </c>
      <c r="AH7" s="40">
        <v>10</v>
      </c>
      <c r="AI7" s="40">
        <v>11</v>
      </c>
      <c r="AJ7" s="40">
        <v>12</v>
      </c>
      <c r="AK7" s="40">
        <v>13</v>
      </c>
      <c r="AL7" s="40">
        <v>14</v>
      </c>
      <c r="AM7" s="40">
        <v>15</v>
      </c>
      <c r="AN7" s="40">
        <v>16</v>
      </c>
      <c r="AO7" s="40">
        <v>17</v>
      </c>
      <c r="AP7" s="40">
        <v>3</v>
      </c>
      <c r="AQ7" s="40">
        <v>4</v>
      </c>
      <c r="AR7" s="40">
        <v>5</v>
      </c>
      <c r="AS7" s="40">
        <v>6</v>
      </c>
      <c r="AT7" s="40">
        <v>7</v>
      </c>
      <c r="AU7" s="40">
        <v>8</v>
      </c>
      <c r="AV7" s="40">
        <v>9</v>
      </c>
      <c r="AW7" s="40">
        <v>10</v>
      </c>
      <c r="AX7" s="40">
        <v>11</v>
      </c>
      <c r="AY7" s="40">
        <v>12</v>
      </c>
      <c r="AZ7" s="40">
        <v>13</v>
      </c>
      <c r="BA7" s="40">
        <v>14</v>
      </c>
      <c r="BB7" s="40">
        <v>15</v>
      </c>
      <c r="BC7" s="40">
        <v>16</v>
      </c>
      <c r="BD7" s="40">
        <v>17</v>
      </c>
      <c r="BE7" s="40">
        <v>3</v>
      </c>
      <c r="BF7" s="40">
        <v>4</v>
      </c>
      <c r="BG7" s="40">
        <v>5</v>
      </c>
      <c r="BH7" s="40">
        <v>6</v>
      </c>
      <c r="BI7" s="40">
        <v>7</v>
      </c>
      <c r="BJ7" s="40">
        <v>8</v>
      </c>
      <c r="BK7" s="40">
        <v>9</v>
      </c>
      <c r="BL7" s="40">
        <v>10</v>
      </c>
      <c r="BM7" s="40">
        <v>11</v>
      </c>
      <c r="BN7" s="40">
        <v>12</v>
      </c>
      <c r="BO7" s="40">
        <v>13</v>
      </c>
      <c r="BP7" s="40">
        <v>14</v>
      </c>
      <c r="BQ7" s="40">
        <v>15</v>
      </c>
      <c r="BR7" s="40">
        <v>16</v>
      </c>
      <c r="BS7" s="40">
        <v>17</v>
      </c>
      <c r="BT7" s="40">
        <v>3</v>
      </c>
      <c r="BU7" s="40">
        <v>4</v>
      </c>
      <c r="BV7" s="40">
        <v>5</v>
      </c>
      <c r="BW7" s="40">
        <v>6</v>
      </c>
      <c r="BX7" s="40">
        <v>7</v>
      </c>
      <c r="BY7" s="40">
        <v>8</v>
      </c>
      <c r="BZ7" s="40">
        <v>9</v>
      </c>
      <c r="CA7" s="40">
        <v>10</v>
      </c>
      <c r="CB7" s="40">
        <v>11</v>
      </c>
      <c r="CC7" s="40">
        <v>12</v>
      </c>
      <c r="CD7" s="40">
        <v>13</v>
      </c>
      <c r="CE7" s="40">
        <v>14</v>
      </c>
      <c r="CF7" s="40">
        <v>15</v>
      </c>
      <c r="CG7" s="40">
        <v>16</v>
      </c>
      <c r="CH7" s="40">
        <v>17</v>
      </c>
    </row>
    <row r="8" spans="1:86" s="37" customFormat="1" ht="36" customHeight="1">
      <c r="A8" s="3">
        <v>1</v>
      </c>
      <c r="B8" s="5" t="s">
        <v>38</v>
      </c>
      <c r="C8" s="7">
        <v>95403</v>
      </c>
      <c r="D8" s="7">
        <v>41897</v>
      </c>
      <c r="E8" s="8">
        <f aca="true" t="shared" si="0" ref="E8:E14">C8+D8</f>
        <v>137300</v>
      </c>
      <c r="F8" s="7">
        <v>38844</v>
      </c>
      <c r="G8" s="7">
        <v>18651</v>
      </c>
      <c r="H8" s="8">
        <f aca="true" t="shared" si="1" ref="H8:H14">F8+G8</f>
        <v>57495</v>
      </c>
      <c r="I8" s="7">
        <v>65746</v>
      </c>
      <c r="J8" s="7">
        <v>27728</v>
      </c>
      <c r="K8" s="8">
        <f aca="true" t="shared" si="2" ref="K8:K14">I8+J8</f>
        <v>93474</v>
      </c>
      <c r="L8" s="7">
        <v>26524</v>
      </c>
      <c r="M8" s="7">
        <v>12337</v>
      </c>
      <c r="N8" s="8">
        <f aca="true" t="shared" si="3" ref="N8:N14">L8+M8</f>
        <v>38861</v>
      </c>
      <c r="O8" s="7">
        <v>10960</v>
      </c>
      <c r="P8" s="7">
        <v>4015</v>
      </c>
      <c r="Q8" s="8">
        <f aca="true" t="shared" si="4" ref="Q8:Q14">O8+P8</f>
        <v>14975</v>
      </c>
      <c r="R8" s="7">
        <v>3934</v>
      </c>
      <c r="S8" s="7">
        <v>1554</v>
      </c>
      <c r="T8" s="8">
        <f aca="true" t="shared" si="5" ref="T8:T14">R8+S8</f>
        <v>5488</v>
      </c>
      <c r="U8" s="7">
        <f>4252+4302</f>
        <v>8554</v>
      </c>
      <c r="V8" s="7">
        <f>2017+1589</f>
        <v>3606</v>
      </c>
      <c r="W8" s="8">
        <f>U8+V8</f>
        <v>12160</v>
      </c>
      <c r="X8" s="7">
        <f>4252+4302</f>
        <v>8554</v>
      </c>
      <c r="Y8" s="7">
        <f>2017+1589</f>
        <v>3606</v>
      </c>
      <c r="Z8" s="8">
        <f>X8+Y8</f>
        <v>12160</v>
      </c>
      <c r="AA8" s="20">
        <f aca="true" t="shared" si="6" ref="AA8:AC12">F8</f>
        <v>38844</v>
      </c>
      <c r="AB8" s="20">
        <f t="shared" si="6"/>
        <v>18651</v>
      </c>
      <c r="AC8" s="20">
        <f t="shared" si="6"/>
        <v>57495</v>
      </c>
      <c r="AD8" s="20">
        <v>1445</v>
      </c>
      <c r="AE8" s="20">
        <v>881</v>
      </c>
      <c r="AF8" s="20">
        <f aca="true" t="shared" si="7" ref="AF8:AF13">AD8+AE8</f>
        <v>2326</v>
      </c>
      <c r="AG8" s="20">
        <v>19766</v>
      </c>
      <c r="AH8" s="20">
        <v>79</v>
      </c>
      <c r="AI8" s="20">
        <f>AG8+AH8</f>
        <v>19845</v>
      </c>
      <c r="AJ8" s="53">
        <f>AD8/AA8%</f>
        <v>3.7200082380805273</v>
      </c>
      <c r="AK8" s="53">
        <f>AE8/AB8%</f>
        <v>4.723607313280789</v>
      </c>
      <c r="AL8" s="53">
        <f>AF8/AC8%</f>
        <v>4.045569179928689</v>
      </c>
      <c r="AM8" s="41">
        <f>AG8/AA8%</f>
        <v>50.885593656678</v>
      </c>
      <c r="AN8" s="41">
        <f>AH8/AB8%</f>
        <v>0.42356978178113774</v>
      </c>
      <c r="AO8" s="41">
        <f>AI8/AC8%</f>
        <v>34.51604487346726</v>
      </c>
      <c r="AP8" s="20">
        <f aca="true" t="shared" si="8" ref="AP8:AR15">L8</f>
        <v>26524</v>
      </c>
      <c r="AQ8" s="20">
        <f t="shared" si="8"/>
        <v>12337</v>
      </c>
      <c r="AR8" s="20">
        <f t="shared" si="8"/>
        <v>38861</v>
      </c>
      <c r="AS8" s="158">
        <v>100</v>
      </c>
      <c r="AT8" s="20">
        <v>38</v>
      </c>
      <c r="AU8" s="20">
        <f aca="true" t="shared" si="9" ref="AU8:AU13">AS8+AT8</f>
        <v>138</v>
      </c>
      <c r="AV8" s="20">
        <v>1750</v>
      </c>
      <c r="AW8" s="20">
        <v>708</v>
      </c>
      <c r="AX8" s="20">
        <f aca="true" t="shared" si="10" ref="AX8:AX14">AV8+AW8</f>
        <v>2458</v>
      </c>
      <c r="AY8" s="53">
        <f>AS8/AP8%</f>
        <v>0.37701704117026086</v>
      </c>
      <c r="AZ8" s="53">
        <f>AT8/AQ8%</f>
        <v>0.30801653562454406</v>
      </c>
      <c r="BA8" s="53">
        <f>AU8/AR8%</f>
        <v>0.35511180875427806</v>
      </c>
      <c r="BB8" s="41">
        <f aca="true" t="shared" si="11" ref="BB8:BD11">AV8/AP8%</f>
        <v>6.597798220479565</v>
      </c>
      <c r="BC8" s="41">
        <f t="shared" si="11"/>
        <v>5.7388344005836105</v>
      </c>
      <c r="BD8" s="41">
        <f t="shared" si="11"/>
        <v>6.325107434188518</v>
      </c>
      <c r="BE8" s="20">
        <f>R8</f>
        <v>3934</v>
      </c>
      <c r="BF8" s="20">
        <f>S8</f>
        <v>1554</v>
      </c>
      <c r="BG8" s="20">
        <f>BE8+BF8</f>
        <v>5488</v>
      </c>
      <c r="BH8" s="20">
        <v>30</v>
      </c>
      <c r="BI8" s="20">
        <v>18</v>
      </c>
      <c r="BJ8" s="20">
        <f aca="true" t="shared" si="12" ref="BJ8:BJ13">BH8+BI8</f>
        <v>48</v>
      </c>
      <c r="BK8" s="20">
        <v>0</v>
      </c>
      <c r="BL8" s="20">
        <v>1</v>
      </c>
      <c r="BM8" s="20">
        <f aca="true" t="shared" si="13" ref="BM8:BM14">BK8+BL8</f>
        <v>1</v>
      </c>
      <c r="BN8" s="53">
        <f aca="true" t="shared" si="14" ref="BN8:BN15">BH8/BE8%</f>
        <v>0.7625826131164208</v>
      </c>
      <c r="BO8" s="53">
        <f>BI8/BF8%</f>
        <v>1.1583011583011584</v>
      </c>
      <c r="BP8" s="53">
        <f>BJ8/BG8%</f>
        <v>0.8746355685131195</v>
      </c>
      <c r="BQ8" s="41">
        <f>BK8/BE8%</f>
        <v>0</v>
      </c>
      <c r="BR8" s="41">
        <f aca="true" t="shared" si="15" ref="BR8:BR15">BL8/BF8%</f>
        <v>0.06435006435006435</v>
      </c>
      <c r="BS8" s="102"/>
      <c r="BT8" s="20">
        <f aca="true" t="shared" si="16" ref="BT8:BV12">X8</f>
        <v>8554</v>
      </c>
      <c r="BU8" s="20">
        <f t="shared" si="16"/>
        <v>3606</v>
      </c>
      <c r="BV8" s="20">
        <f t="shared" si="16"/>
        <v>12160</v>
      </c>
      <c r="BW8" s="20">
        <v>121</v>
      </c>
      <c r="BX8" s="20">
        <v>88</v>
      </c>
      <c r="BY8" s="20">
        <f aca="true" t="shared" si="17" ref="BY8:BY15">BW8+BX8</f>
        <v>209</v>
      </c>
      <c r="BZ8" s="20">
        <v>1397</v>
      </c>
      <c r="CA8" s="20">
        <v>721</v>
      </c>
      <c r="CB8" s="20">
        <f>BZ8+CA8</f>
        <v>2118</v>
      </c>
      <c r="CC8" s="53">
        <f aca="true" t="shared" si="18" ref="CC8:CE12">BW8/BT8%</f>
        <v>1.414542903904606</v>
      </c>
      <c r="CD8" s="53">
        <f t="shared" si="18"/>
        <v>2.440377149195785</v>
      </c>
      <c r="CE8" s="53">
        <f t="shared" si="18"/>
        <v>1.71875</v>
      </c>
      <c r="CF8" s="41">
        <f>BZ8/BT8%</f>
        <v>16.331540799625905</v>
      </c>
      <c r="CG8" s="41">
        <f aca="true" t="shared" si="19" ref="CG8:CG15">CA8/BU8%</f>
        <v>19.99445368829728</v>
      </c>
      <c r="CH8" s="41">
        <f aca="true" t="shared" si="20" ref="CH8:CH15">CB8/BV8%</f>
        <v>17.417763157894736</v>
      </c>
    </row>
    <row r="9" spans="1:86" s="37" customFormat="1" ht="29.25" customHeight="1">
      <c r="A9" s="3">
        <v>2</v>
      </c>
      <c r="B9" s="47" t="s">
        <v>58</v>
      </c>
      <c r="C9" s="18">
        <v>34296</v>
      </c>
      <c r="D9" s="18">
        <v>15700</v>
      </c>
      <c r="E9" s="8">
        <f t="shared" si="0"/>
        <v>49996</v>
      </c>
      <c r="F9" s="18">
        <v>25217</v>
      </c>
      <c r="G9" s="18">
        <v>12478</v>
      </c>
      <c r="H9" s="8">
        <f t="shared" si="1"/>
        <v>37695</v>
      </c>
      <c r="I9" s="19">
        <v>8046</v>
      </c>
      <c r="J9" s="19">
        <v>4084</v>
      </c>
      <c r="K9" s="8">
        <f t="shared" si="2"/>
        <v>12130</v>
      </c>
      <c r="L9" s="71">
        <f>4797+1117</f>
        <v>5914</v>
      </c>
      <c r="M9" s="19">
        <f>2668+554</f>
        <v>3222</v>
      </c>
      <c r="N9" s="8">
        <f t="shared" si="3"/>
        <v>9136</v>
      </c>
      <c r="O9" s="20">
        <v>2027</v>
      </c>
      <c r="P9" s="20">
        <v>1223</v>
      </c>
      <c r="Q9" s="8">
        <f t="shared" si="4"/>
        <v>3250</v>
      </c>
      <c r="R9" s="20">
        <f>1313+275</f>
        <v>1588</v>
      </c>
      <c r="S9" s="20">
        <f>823+127</f>
        <v>950</v>
      </c>
      <c r="T9" s="8">
        <f t="shared" si="5"/>
        <v>2538</v>
      </c>
      <c r="U9" s="20"/>
      <c r="V9" s="20"/>
      <c r="W9" s="8">
        <f>U9+V9</f>
        <v>0</v>
      </c>
      <c r="X9" s="20"/>
      <c r="Y9" s="20"/>
      <c r="Z9" s="8">
        <f>X9+Y9</f>
        <v>0</v>
      </c>
      <c r="AA9" s="20">
        <f t="shared" si="6"/>
        <v>25217</v>
      </c>
      <c r="AB9" s="20">
        <f t="shared" si="6"/>
        <v>12478</v>
      </c>
      <c r="AC9" s="20">
        <f t="shared" si="6"/>
        <v>37695</v>
      </c>
      <c r="AD9" s="101"/>
      <c r="AE9" s="101"/>
      <c r="AF9" s="101"/>
      <c r="AG9" s="101"/>
      <c r="AH9" s="101"/>
      <c r="AI9" s="101"/>
      <c r="AJ9" s="100"/>
      <c r="AK9" s="100"/>
      <c r="AL9" s="100"/>
      <c r="AM9" s="102"/>
      <c r="AN9" s="102"/>
      <c r="AO9" s="102"/>
      <c r="AP9" s="20">
        <f t="shared" si="8"/>
        <v>5914</v>
      </c>
      <c r="AQ9" s="20">
        <f t="shared" si="8"/>
        <v>3222</v>
      </c>
      <c r="AR9" s="20">
        <f t="shared" si="8"/>
        <v>9136</v>
      </c>
      <c r="AS9" s="101"/>
      <c r="AT9" s="101"/>
      <c r="AU9" s="101"/>
      <c r="AV9" s="101"/>
      <c r="AW9" s="101"/>
      <c r="AX9" s="101"/>
      <c r="AY9" s="100"/>
      <c r="AZ9" s="100"/>
      <c r="BA9" s="100"/>
      <c r="BB9" s="102"/>
      <c r="BC9" s="102"/>
      <c r="BD9" s="102"/>
      <c r="BE9" s="20">
        <f>R9</f>
        <v>1588</v>
      </c>
      <c r="BF9" s="20">
        <f>S9</f>
        <v>950</v>
      </c>
      <c r="BG9" s="20">
        <f>BE9+BF9</f>
        <v>2538</v>
      </c>
      <c r="BH9" s="101"/>
      <c r="BI9" s="101"/>
      <c r="BJ9" s="101"/>
      <c r="BK9" s="101"/>
      <c r="BL9" s="101"/>
      <c r="BM9" s="101"/>
      <c r="BN9" s="100"/>
      <c r="BO9" s="100"/>
      <c r="BP9" s="100"/>
      <c r="BQ9" s="102"/>
      <c r="BR9" s="102"/>
      <c r="BS9" s="102"/>
      <c r="BT9" s="20">
        <f t="shared" si="16"/>
        <v>0</v>
      </c>
      <c r="BU9" s="20">
        <f t="shared" si="16"/>
        <v>0</v>
      </c>
      <c r="BV9" s="20">
        <f t="shared" si="16"/>
        <v>0</v>
      </c>
      <c r="BW9" s="20"/>
      <c r="BX9" s="20"/>
      <c r="BY9" s="20">
        <f t="shared" si="17"/>
        <v>0</v>
      </c>
      <c r="BZ9" s="20"/>
      <c r="CA9" s="20"/>
      <c r="CB9" s="20">
        <f>BZ9+CA9</f>
        <v>0</v>
      </c>
      <c r="CC9" s="53" t="e">
        <f t="shared" si="18"/>
        <v>#DIV/0!</v>
      </c>
      <c r="CD9" s="53" t="e">
        <f t="shared" si="18"/>
        <v>#DIV/0!</v>
      </c>
      <c r="CE9" s="53" t="e">
        <f t="shared" si="18"/>
        <v>#DIV/0!</v>
      </c>
      <c r="CF9" s="41" t="e">
        <f aca="true" t="shared" si="21" ref="CF9:CF15">BZ9/BT9%</f>
        <v>#DIV/0!</v>
      </c>
      <c r="CG9" s="41" t="e">
        <f t="shared" si="19"/>
        <v>#DIV/0!</v>
      </c>
      <c r="CH9" s="41" t="e">
        <f t="shared" si="20"/>
        <v>#DIV/0!</v>
      </c>
    </row>
    <row r="10" spans="1:86" s="37" customFormat="1" ht="36" customHeight="1">
      <c r="A10" s="3">
        <v>3</v>
      </c>
      <c r="B10" s="4" t="s">
        <v>59</v>
      </c>
      <c r="C10" s="67">
        <f>36799+8093</f>
        <v>44892</v>
      </c>
      <c r="D10" s="67">
        <f>34987+8950</f>
        <v>43937</v>
      </c>
      <c r="E10" s="8">
        <f t="shared" si="0"/>
        <v>88829</v>
      </c>
      <c r="F10" s="67">
        <f>21364+4522</f>
        <v>25886</v>
      </c>
      <c r="G10" s="67">
        <f>19719+4746</f>
        <v>24465</v>
      </c>
      <c r="H10" s="8">
        <f t="shared" si="1"/>
        <v>50351</v>
      </c>
      <c r="I10" s="67">
        <f>5518+1323</f>
        <v>6841</v>
      </c>
      <c r="J10" s="67">
        <f>5515+1477</f>
        <v>6992</v>
      </c>
      <c r="K10" s="8">
        <f t="shared" si="2"/>
        <v>13833</v>
      </c>
      <c r="L10" s="67">
        <f>3179+762</f>
        <v>3941</v>
      </c>
      <c r="M10" s="67">
        <f>2864+816</f>
        <v>3680</v>
      </c>
      <c r="N10" s="8">
        <f t="shared" si="3"/>
        <v>7621</v>
      </c>
      <c r="O10" s="67">
        <f>11400+1793</f>
        <v>13193</v>
      </c>
      <c r="P10" s="67">
        <f>9017+1505</f>
        <v>10522</v>
      </c>
      <c r="Q10" s="8">
        <f t="shared" si="4"/>
        <v>23715</v>
      </c>
      <c r="R10" s="67">
        <f>7150+909</f>
        <v>8059</v>
      </c>
      <c r="S10" s="67">
        <f>5615+710</f>
        <v>6325</v>
      </c>
      <c r="T10" s="8">
        <f t="shared" si="5"/>
        <v>14384</v>
      </c>
      <c r="U10" s="7"/>
      <c r="V10" s="7"/>
      <c r="W10" s="8">
        <f>U10+V10</f>
        <v>0</v>
      </c>
      <c r="X10" s="7"/>
      <c r="Y10" s="7"/>
      <c r="Z10" s="8">
        <f>X10+Y10</f>
        <v>0</v>
      </c>
      <c r="AA10" s="20">
        <f t="shared" si="6"/>
        <v>25886</v>
      </c>
      <c r="AB10" s="20">
        <f t="shared" si="6"/>
        <v>24465</v>
      </c>
      <c r="AC10" s="20">
        <f t="shared" si="6"/>
        <v>50351</v>
      </c>
      <c r="AD10" s="20">
        <f>448+5</f>
        <v>453</v>
      </c>
      <c r="AE10" s="20">
        <f>454+1</f>
        <v>455</v>
      </c>
      <c r="AF10" s="20">
        <f>AD10+AE10</f>
        <v>908</v>
      </c>
      <c r="AG10" s="20">
        <f>3851+139</f>
        <v>3990</v>
      </c>
      <c r="AH10" s="20">
        <f>3787+128</f>
        <v>3915</v>
      </c>
      <c r="AI10" s="20">
        <f>AG10+AH10</f>
        <v>7905</v>
      </c>
      <c r="AJ10" s="53">
        <f aca="true" t="shared" si="22" ref="AJ10:AL11">AD10/AA10%</f>
        <v>1.7499806845399057</v>
      </c>
      <c r="AK10" s="53">
        <f t="shared" si="22"/>
        <v>1.859799713876967</v>
      </c>
      <c r="AL10" s="53">
        <f t="shared" si="22"/>
        <v>1.8033405493436079</v>
      </c>
      <c r="AM10" s="41">
        <f aca="true" t="shared" si="23" ref="AM10:AO11">AG10/AA10%</f>
        <v>15.413737155219037</v>
      </c>
      <c r="AN10" s="41">
        <f t="shared" si="23"/>
        <v>16.002452483139177</v>
      </c>
      <c r="AO10" s="41">
        <f t="shared" si="23"/>
        <v>15.69978749180751</v>
      </c>
      <c r="AP10" s="20">
        <f>L10</f>
        <v>3941</v>
      </c>
      <c r="AQ10" s="20">
        <f>M10</f>
        <v>3680</v>
      </c>
      <c r="AR10" s="20">
        <f>N10</f>
        <v>7621</v>
      </c>
      <c r="AS10" s="20">
        <f>48+1</f>
        <v>49</v>
      </c>
      <c r="AT10" s="20">
        <v>59</v>
      </c>
      <c r="AU10" s="20">
        <f>AS10+AT10</f>
        <v>108</v>
      </c>
      <c r="AV10" s="20">
        <f>505+23</f>
        <v>528</v>
      </c>
      <c r="AW10" s="20">
        <f>561+18</f>
        <v>579</v>
      </c>
      <c r="AX10" s="20">
        <f>AV10+AW10</f>
        <v>1107</v>
      </c>
      <c r="AY10" s="53">
        <f aca="true" t="shared" si="24" ref="AY10:BA11">AS10/AP10%</f>
        <v>1.2433392539964476</v>
      </c>
      <c r="AZ10" s="53">
        <f t="shared" si="24"/>
        <v>1.6032608695652175</v>
      </c>
      <c r="BA10" s="53">
        <f t="shared" si="24"/>
        <v>1.4171368586799633</v>
      </c>
      <c r="BB10" s="41">
        <f t="shared" si="11"/>
        <v>13.397614818573967</v>
      </c>
      <c r="BC10" s="41">
        <f t="shared" si="11"/>
        <v>15.733695652173914</v>
      </c>
      <c r="BD10" s="41">
        <f t="shared" si="11"/>
        <v>14.525652801469624</v>
      </c>
      <c r="BE10" s="20">
        <f aca="true" t="shared" si="25" ref="BE10:BG15">R10</f>
        <v>8059</v>
      </c>
      <c r="BF10" s="20">
        <f t="shared" si="25"/>
        <v>6325</v>
      </c>
      <c r="BG10" s="20">
        <f t="shared" si="25"/>
        <v>14384</v>
      </c>
      <c r="BH10" s="20">
        <f>156+1</f>
        <v>157</v>
      </c>
      <c r="BI10" s="20">
        <f>193+1</f>
        <v>194</v>
      </c>
      <c r="BJ10" s="20">
        <f t="shared" si="12"/>
        <v>351</v>
      </c>
      <c r="BK10" s="20">
        <f>1375+23</f>
        <v>1398</v>
      </c>
      <c r="BL10" s="20">
        <f>1600+21</f>
        <v>1621</v>
      </c>
      <c r="BM10" s="20">
        <f t="shared" si="13"/>
        <v>3019</v>
      </c>
      <c r="BN10" s="53">
        <f t="shared" si="14"/>
        <v>1.9481325226454895</v>
      </c>
      <c r="BO10" s="53">
        <f>BI10/BF10%</f>
        <v>3.067193675889328</v>
      </c>
      <c r="BP10" s="53">
        <f>BJ10/BG10%</f>
        <v>2.4402113459399333</v>
      </c>
      <c r="BQ10" s="41">
        <f aca="true" t="shared" si="26" ref="BQ10:BQ15">BK10/BE10%</f>
        <v>17.347065392728627</v>
      </c>
      <c r="BR10" s="41">
        <f t="shared" si="15"/>
        <v>25.628458498023715</v>
      </c>
      <c r="BS10" s="41">
        <f aca="true" t="shared" si="27" ref="BS10:BS15">BM10/BG10%</f>
        <v>20.988598442714125</v>
      </c>
      <c r="BT10" s="20">
        <f t="shared" si="16"/>
        <v>0</v>
      </c>
      <c r="BU10" s="20">
        <f t="shared" si="16"/>
        <v>0</v>
      </c>
      <c r="BV10" s="20">
        <f t="shared" si="16"/>
        <v>0</v>
      </c>
      <c r="BW10" s="20"/>
      <c r="BX10" s="20"/>
      <c r="BY10" s="20">
        <f t="shared" si="17"/>
        <v>0</v>
      </c>
      <c r="BZ10" s="20"/>
      <c r="CA10" s="20"/>
      <c r="CB10" s="20">
        <f>BZ10+CA10</f>
        <v>0</v>
      </c>
      <c r="CC10" s="53" t="e">
        <f t="shared" si="18"/>
        <v>#DIV/0!</v>
      </c>
      <c r="CD10" s="53" t="e">
        <f t="shared" si="18"/>
        <v>#DIV/0!</v>
      </c>
      <c r="CE10" s="53" t="e">
        <f t="shared" si="18"/>
        <v>#DIV/0!</v>
      </c>
      <c r="CF10" s="41" t="e">
        <f t="shared" si="21"/>
        <v>#DIV/0!</v>
      </c>
      <c r="CG10" s="41" t="e">
        <f t="shared" si="19"/>
        <v>#DIV/0!</v>
      </c>
      <c r="CH10" s="41" t="e">
        <f t="shared" si="20"/>
        <v>#DIV/0!</v>
      </c>
    </row>
    <row r="11" spans="1:86" s="37" customFormat="1" ht="45" customHeight="1">
      <c r="A11" s="3">
        <v>4</v>
      </c>
      <c r="B11" s="4" t="s">
        <v>39</v>
      </c>
      <c r="C11" s="7">
        <f>3819+56574+23205+14959</f>
        <v>98557</v>
      </c>
      <c r="D11" s="7">
        <f>2192+39732+15552+13103</f>
        <v>70579</v>
      </c>
      <c r="E11" s="8">
        <f t="shared" si="0"/>
        <v>169136</v>
      </c>
      <c r="F11" s="7">
        <f>1840+6425+8319+1277</f>
        <v>17861</v>
      </c>
      <c r="G11" s="7">
        <f>1099+5451+6189+1546</f>
        <v>14285</v>
      </c>
      <c r="H11" s="8">
        <f t="shared" si="1"/>
        <v>32146</v>
      </c>
      <c r="I11" s="7">
        <f>698+11495+4115+2203</f>
        <v>18511</v>
      </c>
      <c r="J11" s="7">
        <f>391+7531+2768+2574</f>
        <v>13264</v>
      </c>
      <c r="K11" s="8">
        <f t="shared" si="2"/>
        <v>31775</v>
      </c>
      <c r="L11" s="7">
        <f>348+1209+1354+203</f>
        <v>3114</v>
      </c>
      <c r="M11" s="7">
        <f>205+931+1074+269</f>
        <v>2479</v>
      </c>
      <c r="N11" s="8">
        <f t="shared" si="3"/>
        <v>5593</v>
      </c>
      <c r="O11" s="7">
        <f>402+8614+2961+3187</f>
        <v>15164</v>
      </c>
      <c r="P11" s="7">
        <f>357+8306+2961+2957</f>
        <v>14581</v>
      </c>
      <c r="Q11" s="8">
        <f t="shared" si="4"/>
        <v>29745</v>
      </c>
      <c r="R11" s="7">
        <f>162+777+1047+240</f>
        <v>2226</v>
      </c>
      <c r="S11" s="7">
        <f>135+877+1056+264</f>
        <v>2332</v>
      </c>
      <c r="T11" s="8">
        <f t="shared" si="5"/>
        <v>4558</v>
      </c>
      <c r="U11" s="7"/>
      <c r="V11" s="7"/>
      <c r="W11" s="8">
        <f>U11+V11</f>
        <v>0</v>
      </c>
      <c r="X11" s="7"/>
      <c r="Y11" s="7"/>
      <c r="Z11" s="8">
        <f>X11+Y11</f>
        <v>0</v>
      </c>
      <c r="AA11" s="20">
        <f t="shared" si="6"/>
        <v>17861</v>
      </c>
      <c r="AB11" s="20">
        <f t="shared" si="6"/>
        <v>14285</v>
      </c>
      <c r="AC11" s="20">
        <f t="shared" si="6"/>
        <v>32146</v>
      </c>
      <c r="AD11" s="20">
        <v>0</v>
      </c>
      <c r="AE11" s="20">
        <v>2</v>
      </c>
      <c r="AF11" s="20">
        <f t="shared" si="7"/>
        <v>2</v>
      </c>
      <c r="AG11" s="20">
        <f>4+50+24+78</f>
        <v>156</v>
      </c>
      <c r="AH11" s="20">
        <f>4+12+43+43</f>
        <v>102</v>
      </c>
      <c r="AI11" s="20">
        <f>AG11+AH11</f>
        <v>258</v>
      </c>
      <c r="AJ11" s="53">
        <f t="shared" si="22"/>
        <v>0</v>
      </c>
      <c r="AK11" s="53">
        <f t="shared" si="22"/>
        <v>0.014000700035001751</v>
      </c>
      <c r="AL11" s="53">
        <f t="shared" si="22"/>
        <v>0.006221613886642195</v>
      </c>
      <c r="AM11" s="41">
        <f t="shared" si="23"/>
        <v>0.8734113431498796</v>
      </c>
      <c r="AN11" s="41">
        <f t="shared" si="23"/>
        <v>0.7140357017850892</v>
      </c>
      <c r="AO11" s="41">
        <f t="shared" si="23"/>
        <v>0.8025881913768432</v>
      </c>
      <c r="AP11" s="20">
        <f t="shared" si="8"/>
        <v>3114</v>
      </c>
      <c r="AQ11" s="20">
        <f t="shared" si="8"/>
        <v>2479</v>
      </c>
      <c r="AR11" s="20">
        <f t="shared" si="8"/>
        <v>5593</v>
      </c>
      <c r="AS11" s="20">
        <v>0</v>
      </c>
      <c r="AT11" s="20">
        <v>0</v>
      </c>
      <c r="AU11" s="20">
        <f t="shared" si="9"/>
        <v>0</v>
      </c>
      <c r="AV11" s="20">
        <v>17</v>
      </c>
      <c r="AW11" s="20">
        <v>10</v>
      </c>
      <c r="AX11" s="20">
        <f t="shared" si="10"/>
        <v>27</v>
      </c>
      <c r="AY11" s="53">
        <f t="shared" si="24"/>
        <v>0</v>
      </c>
      <c r="AZ11" s="53">
        <f t="shared" si="24"/>
        <v>0</v>
      </c>
      <c r="BA11" s="53">
        <f t="shared" si="24"/>
        <v>0</v>
      </c>
      <c r="BB11" s="41">
        <f t="shared" si="11"/>
        <v>0.5459216441875401</v>
      </c>
      <c r="BC11" s="41">
        <f t="shared" si="11"/>
        <v>0.40338846308995563</v>
      </c>
      <c r="BD11" s="41">
        <f t="shared" si="11"/>
        <v>0.48274629000536384</v>
      </c>
      <c r="BE11" s="20">
        <f t="shared" si="25"/>
        <v>2226</v>
      </c>
      <c r="BF11" s="20">
        <f t="shared" si="25"/>
        <v>2332</v>
      </c>
      <c r="BG11" s="20">
        <f t="shared" si="25"/>
        <v>4558</v>
      </c>
      <c r="BH11" s="20">
        <v>0</v>
      </c>
      <c r="BI11" s="20">
        <v>0</v>
      </c>
      <c r="BJ11" s="20">
        <f t="shared" si="12"/>
        <v>0</v>
      </c>
      <c r="BK11" s="20">
        <v>4</v>
      </c>
      <c r="BL11" s="20">
        <v>3</v>
      </c>
      <c r="BM11" s="20">
        <f t="shared" si="13"/>
        <v>7</v>
      </c>
      <c r="BN11" s="53">
        <f t="shared" si="14"/>
        <v>0</v>
      </c>
      <c r="BO11" s="53">
        <f>BI11/BF11%</f>
        <v>0</v>
      </c>
      <c r="BP11" s="53">
        <f>BJ11/BG11%</f>
        <v>0</v>
      </c>
      <c r="BQ11" s="41">
        <f t="shared" si="26"/>
        <v>0.17969451931716082</v>
      </c>
      <c r="BR11" s="41">
        <f t="shared" si="15"/>
        <v>0.12864493996569468</v>
      </c>
      <c r="BS11" s="41">
        <f t="shared" si="27"/>
        <v>0.153576129881527</v>
      </c>
      <c r="BT11" s="20">
        <f t="shared" si="16"/>
        <v>0</v>
      </c>
      <c r="BU11" s="20">
        <f t="shared" si="16"/>
        <v>0</v>
      </c>
      <c r="BV11" s="20">
        <f t="shared" si="16"/>
        <v>0</v>
      </c>
      <c r="BW11" s="20"/>
      <c r="BX11" s="20"/>
      <c r="BY11" s="20">
        <f t="shared" si="17"/>
        <v>0</v>
      </c>
      <c r="BZ11" s="20"/>
      <c r="CA11" s="20"/>
      <c r="CB11" s="20">
        <f>BZ11+CA11</f>
        <v>0</v>
      </c>
      <c r="CC11" s="53" t="e">
        <f t="shared" si="18"/>
        <v>#DIV/0!</v>
      </c>
      <c r="CD11" s="53" t="e">
        <f t="shared" si="18"/>
        <v>#DIV/0!</v>
      </c>
      <c r="CE11" s="53" t="e">
        <f t="shared" si="18"/>
        <v>#DIV/0!</v>
      </c>
      <c r="CF11" s="41" t="e">
        <f t="shared" si="21"/>
        <v>#DIV/0!</v>
      </c>
      <c r="CG11" s="41" t="e">
        <f t="shared" si="19"/>
        <v>#DIV/0!</v>
      </c>
      <c r="CH11" s="41" t="e">
        <f t="shared" si="20"/>
        <v>#DIV/0!</v>
      </c>
    </row>
    <row r="12" spans="1:86" s="37" customFormat="1" ht="45" customHeight="1">
      <c r="A12" s="3">
        <v>5</v>
      </c>
      <c r="B12" s="5" t="s">
        <v>40</v>
      </c>
      <c r="C12" s="7">
        <v>32054</v>
      </c>
      <c r="D12" s="7">
        <v>29520</v>
      </c>
      <c r="E12" s="8">
        <f t="shared" si="0"/>
        <v>61574</v>
      </c>
      <c r="F12" s="7">
        <f>12912+5843</f>
        <v>18755</v>
      </c>
      <c r="G12" s="7">
        <f>15281+6821</f>
        <v>22102</v>
      </c>
      <c r="H12" s="8">
        <f t="shared" si="1"/>
        <v>40857</v>
      </c>
      <c r="I12" s="7">
        <v>6591</v>
      </c>
      <c r="J12" s="7">
        <v>5874</v>
      </c>
      <c r="K12" s="8">
        <f t="shared" si="2"/>
        <v>12465</v>
      </c>
      <c r="L12" s="7">
        <f>2675+1232</f>
        <v>3907</v>
      </c>
      <c r="M12" s="7">
        <f>3093+1373</f>
        <v>4466</v>
      </c>
      <c r="N12" s="8">
        <f t="shared" si="3"/>
        <v>8373</v>
      </c>
      <c r="O12" s="7">
        <v>4898</v>
      </c>
      <c r="P12" s="7">
        <v>4571</v>
      </c>
      <c r="Q12" s="8">
        <f t="shared" si="4"/>
        <v>9469</v>
      </c>
      <c r="R12" s="7">
        <f>1649+926</f>
        <v>2575</v>
      </c>
      <c r="S12" s="7">
        <f>1825+1037</f>
        <v>2862</v>
      </c>
      <c r="T12" s="8">
        <f t="shared" si="5"/>
        <v>5437</v>
      </c>
      <c r="U12" s="7"/>
      <c r="V12" s="7"/>
      <c r="W12" s="8">
        <f>U12+V12</f>
        <v>0</v>
      </c>
      <c r="X12" s="7"/>
      <c r="Y12" s="7"/>
      <c r="Z12" s="8">
        <f>X12+Y12</f>
        <v>0</v>
      </c>
      <c r="AA12" s="20">
        <f t="shared" si="6"/>
        <v>18755</v>
      </c>
      <c r="AB12" s="20">
        <f t="shared" si="6"/>
        <v>22102</v>
      </c>
      <c r="AC12" s="20">
        <f t="shared" si="6"/>
        <v>40857</v>
      </c>
      <c r="AD12" s="101"/>
      <c r="AE12" s="101"/>
      <c r="AF12" s="101"/>
      <c r="AG12" s="101"/>
      <c r="AH12" s="101"/>
      <c r="AI12" s="101"/>
      <c r="AJ12" s="100"/>
      <c r="AK12" s="100"/>
      <c r="AL12" s="100"/>
      <c r="AM12" s="102"/>
      <c r="AN12" s="102"/>
      <c r="AO12" s="102"/>
      <c r="AP12" s="20">
        <f t="shared" si="8"/>
        <v>3907</v>
      </c>
      <c r="AQ12" s="20">
        <f t="shared" si="8"/>
        <v>4466</v>
      </c>
      <c r="AR12" s="20">
        <f t="shared" si="8"/>
        <v>8373</v>
      </c>
      <c r="AS12" s="101"/>
      <c r="AT12" s="101"/>
      <c r="AU12" s="101"/>
      <c r="AV12" s="101"/>
      <c r="AW12" s="101"/>
      <c r="AX12" s="101"/>
      <c r="AY12" s="100"/>
      <c r="AZ12" s="100"/>
      <c r="BA12" s="100"/>
      <c r="BB12" s="102"/>
      <c r="BC12" s="102"/>
      <c r="BD12" s="102"/>
      <c r="BE12" s="20">
        <f t="shared" si="25"/>
        <v>2575</v>
      </c>
      <c r="BF12" s="20">
        <f t="shared" si="25"/>
        <v>2862</v>
      </c>
      <c r="BG12" s="20">
        <f t="shared" si="25"/>
        <v>5437</v>
      </c>
      <c r="BH12" s="101"/>
      <c r="BI12" s="101"/>
      <c r="BJ12" s="101"/>
      <c r="BK12" s="101"/>
      <c r="BL12" s="101"/>
      <c r="BM12" s="101"/>
      <c r="BN12" s="100"/>
      <c r="BO12" s="100"/>
      <c r="BP12" s="100"/>
      <c r="BQ12" s="102"/>
      <c r="BR12" s="102"/>
      <c r="BS12" s="102"/>
      <c r="BT12" s="20">
        <f t="shared" si="16"/>
        <v>0</v>
      </c>
      <c r="BU12" s="20">
        <f t="shared" si="16"/>
        <v>0</v>
      </c>
      <c r="BV12" s="20">
        <f t="shared" si="16"/>
        <v>0</v>
      </c>
      <c r="BW12" s="20"/>
      <c r="BX12" s="20"/>
      <c r="BY12" s="20">
        <f t="shared" si="17"/>
        <v>0</v>
      </c>
      <c r="BZ12" s="20"/>
      <c r="CA12" s="20"/>
      <c r="CB12" s="20">
        <f>BZ12+CA12</f>
        <v>0</v>
      </c>
      <c r="CC12" s="53" t="e">
        <f t="shared" si="18"/>
        <v>#DIV/0!</v>
      </c>
      <c r="CD12" s="53" t="e">
        <f t="shared" si="18"/>
        <v>#DIV/0!</v>
      </c>
      <c r="CE12" s="53" t="e">
        <f t="shared" si="18"/>
        <v>#DIV/0!</v>
      </c>
      <c r="CF12" s="41" t="e">
        <f t="shared" si="21"/>
        <v>#DIV/0!</v>
      </c>
      <c r="CG12" s="41" t="e">
        <f t="shared" si="19"/>
        <v>#DIV/0!</v>
      </c>
      <c r="CH12" s="41" t="e">
        <f t="shared" si="20"/>
        <v>#DIV/0!</v>
      </c>
    </row>
    <row r="13" spans="1:86" s="37" customFormat="1" ht="45" customHeight="1">
      <c r="A13" s="3">
        <v>6</v>
      </c>
      <c r="B13" s="69" t="s">
        <v>72</v>
      </c>
      <c r="C13" s="58">
        <f>29742+8614+15314</f>
        <v>53670</v>
      </c>
      <c r="D13" s="58">
        <f>12242+3412+5345</f>
        <v>20999</v>
      </c>
      <c r="E13" s="8">
        <f t="shared" si="0"/>
        <v>74669</v>
      </c>
      <c r="F13" s="58">
        <f>11862+3210+3316</f>
        <v>18388</v>
      </c>
      <c r="G13" s="58">
        <f>5727+1449+1442</f>
        <v>8618</v>
      </c>
      <c r="H13" s="8">
        <f t="shared" si="1"/>
        <v>27006</v>
      </c>
      <c r="I13" s="58">
        <f>5337+1762+2638</f>
        <v>9737</v>
      </c>
      <c r="J13" s="58">
        <f>2810+946+1258</f>
        <v>5014</v>
      </c>
      <c r="K13" s="8">
        <f t="shared" si="2"/>
        <v>14751</v>
      </c>
      <c r="L13" s="58">
        <f>2175+638+592</f>
        <v>3405</v>
      </c>
      <c r="M13" s="58">
        <f>1270+406+329</f>
        <v>2005</v>
      </c>
      <c r="N13" s="8">
        <f t="shared" si="3"/>
        <v>5410</v>
      </c>
      <c r="O13" s="58">
        <f>3193+1113+1677</f>
        <v>5983</v>
      </c>
      <c r="P13" s="58">
        <f>1343+486+644</f>
        <v>2473</v>
      </c>
      <c r="Q13" s="8">
        <f t="shared" si="4"/>
        <v>8456</v>
      </c>
      <c r="R13" s="58">
        <f>1014+321+411</f>
        <v>1746</v>
      </c>
      <c r="S13" s="58">
        <f>499+149+152</f>
        <v>800</v>
      </c>
      <c r="T13" s="8">
        <f t="shared" si="5"/>
        <v>2546</v>
      </c>
      <c r="U13" s="58"/>
      <c r="V13" s="58"/>
      <c r="W13" s="59"/>
      <c r="X13" s="58"/>
      <c r="Y13" s="58"/>
      <c r="Z13" s="59"/>
      <c r="AA13" s="20">
        <f aca="true" t="shared" si="28" ref="AA13:AC14">F13</f>
        <v>18388</v>
      </c>
      <c r="AB13" s="20">
        <f t="shared" si="28"/>
        <v>8618</v>
      </c>
      <c r="AC13" s="20">
        <f t="shared" si="28"/>
        <v>27006</v>
      </c>
      <c r="AD13" s="60">
        <f>792+2</f>
        <v>794</v>
      </c>
      <c r="AE13" s="60">
        <v>382</v>
      </c>
      <c r="AF13" s="20">
        <f t="shared" si="7"/>
        <v>1176</v>
      </c>
      <c r="AG13" s="60">
        <f>3865+119</f>
        <v>3984</v>
      </c>
      <c r="AH13" s="60">
        <f>1858+55</f>
        <v>1913</v>
      </c>
      <c r="AI13" s="20">
        <f>AG13+AH13</f>
        <v>5897</v>
      </c>
      <c r="AJ13" s="53">
        <f>AD13/AA13%</f>
        <v>4.318033500108767</v>
      </c>
      <c r="AK13" s="53">
        <f>AE13/AB13%</f>
        <v>4.432582965885356</v>
      </c>
      <c r="AL13" s="53">
        <f>AF13/AC13%</f>
        <v>4.354587869362364</v>
      </c>
      <c r="AM13" s="41">
        <f aca="true" t="shared" si="29" ref="AM13:AO15">AG13/AA13%</f>
        <v>21.666304111376984</v>
      </c>
      <c r="AN13" s="41">
        <f t="shared" si="29"/>
        <v>22.197725690415407</v>
      </c>
      <c r="AO13" s="41">
        <f t="shared" si="29"/>
        <v>21.835888321113828</v>
      </c>
      <c r="AP13" s="20">
        <f aca="true" t="shared" si="30" ref="AP13:AR14">L13</f>
        <v>3405</v>
      </c>
      <c r="AQ13" s="20">
        <f t="shared" si="30"/>
        <v>2005</v>
      </c>
      <c r="AR13" s="20">
        <f t="shared" si="30"/>
        <v>5410</v>
      </c>
      <c r="AS13" s="60">
        <v>153</v>
      </c>
      <c r="AT13" s="60">
        <v>93</v>
      </c>
      <c r="AU13" s="20">
        <f t="shared" si="9"/>
        <v>246</v>
      </c>
      <c r="AV13" s="60">
        <f>709+20</f>
        <v>729</v>
      </c>
      <c r="AW13" s="60">
        <f>394+11</f>
        <v>405</v>
      </c>
      <c r="AX13" s="20">
        <f t="shared" si="10"/>
        <v>1134</v>
      </c>
      <c r="AY13" s="53">
        <f>AS13/AP13%</f>
        <v>4.493392070484582</v>
      </c>
      <c r="AZ13" s="53">
        <f>AT13/AQ13%</f>
        <v>4.638403990024938</v>
      </c>
      <c r="BA13" s="92">
        <f>AU13/AR13%</f>
        <v>4.547134935304991</v>
      </c>
      <c r="BB13" s="93">
        <f aca="true" t="shared" si="31" ref="BB13:BD15">AV13/AP13%</f>
        <v>21.409691629955947</v>
      </c>
      <c r="BC13" s="93">
        <f t="shared" si="31"/>
        <v>20.199501246882793</v>
      </c>
      <c r="BD13" s="93">
        <f t="shared" si="31"/>
        <v>20.961182994454713</v>
      </c>
      <c r="BE13" s="94">
        <f t="shared" si="25"/>
        <v>1746</v>
      </c>
      <c r="BF13" s="94">
        <f t="shared" si="25"/>
        <v>800</v>
      </c>
      <c r="BG13" s="94">
        <f t="shared" si="25"/>
        <v>2546</v>
      </c>
      <c r="BH13" s="95">
        <v>16</v>
      </c>
      <c r="BI13" s="95">
        <v>18</v>
      </c>
      <c r="BJ13" s="94">
        <f t="shared" si="12"/>
        <v>34</v>
      </c>
      <c r="BK13" s="95">
        <f>255+15</f>
        <v>270</v>
      </c>
      <c r="BL13" s="95">
        <f>147+4</f>
        <v>151</v>
      </c>
      <c r="BM13" s="94">
        <f t="shared" si="13"/>
        <v>421</v>
      </c>
      <c r="BN13" s="92">
        <f>BH13/BE13%</f>
        <v>0.9163802978235968</v>
      </c>
      <c r="BO13" s="92">
        <f>BI13/BF13%</f>
        <v>2.25</v>
      </c>
      <c r="BP13" s="92">
        <f>BJ13/BG13%</f>
        <v>1.3354281225451687</v>
      </c>
      <c r="BQ13" s="93">
        <f aca="true" t="shared" si="32" ref="BQ13:BS14">BK13/BE13%</f>
        <v>15.463917525773196</v>
      </c>
      <c r="BR13" s="93">
        <f t="shared" si="32"/>
        <v>18.875</v>
      </c>
      <c r="BS13" s="93">
        <f t="shared" si="32"/>
        <v>16.535742340926944</v>
      </c>
      <c r="BT13" s="60"/>
      <c r="BU13" s="60"/>
      <c r="BV13" s="60"/>
      <c r="BW13" s="60"/>
      <c r="BX13" s="60"/>
      <c r="BY13" s="60"/>
      <c r="BZ13" s="60"/>
      <c r="CA13" s="60"/>
      <c r="CB13" s="60"/>
      <c r="CC13" s="61"/>
      <c r="CD13" s="61"/>
      <c r="CE13" s="61"/>
      <c r="CF13" s="62"/>
      <c r="CG13" s="62"/>
      <c r="CH13" s="62"/>
    </row>
    <row r="14" spans="1:71" s="140" customFormat="1" ht="45" customHeight="1">
      <c r="A14" s="3">
        <v>7</v>
      </c>
      <c r="B14" s="136" t="s">
        <v>81</v>
      </c>
      <c r="C14" s="117">
        <f>6181+982+371+13+5865+894+311+17</f>
        <v>14634</v>
      </c>
      <c r="D14" s="117">
        <f>7168+1133+457+5+7591+1135+507+4</f>
        <v>18000</v>
      </c>
      <c r="E14" s="82">
        <f t="shared" si="0"/>
        <v>32634</v>
      </c>
      <c r="F14" s="117">
        <f>1159+192+42+3+1396+206+52+3</f>
        <v>3053</v>
      </c>
      <c r="G14" s="117">
        <f>1670+235+63+2107+328+111+3</f>
        <v>4517</v>
      </c>
      <c r="H14" s="82">
        <f t="shared" si="1"/>
        <v>7570</v>
      </c>
      <c r="I14" s="117">
        <f>982+894</f>
        <v>1876</v>
      </c>
      <c r="J14" s="117">
        <f>1133+1135</f>
        <v>2268</v>
      </c>
      <c r="K14" s="8">
        <f t="shared" si="2"/>
        <v>4144</v>
      </c>
      <c r="L14" s="117">
        <f>192+206</f>
        <v>398</v>
      </c>
      <c r="M14" s="117">
        <f>328+235</f>
        <v>563</v>
      </c>
      <c r="N14" s="8">
        <f t="shared" si="3"/>
        <v>961</v>
      </c>
      <c r="O14" s="117">
        <f>371+311</f>
        <v>682</v>
      </c>
      <c r="P14" s="117">
        <f>457+507</f>
        <v>964</v>
      </c>
      <c r="Q14" s="8">
        <f t="shared" si="4"/>
        <v>1646</v>
      </c>
      <c r="R14" s="117">
        <f>52+42</f>
        <v>94</v>
      </c>
      <c r="S14" s="117">
        <f>111+63</f>
        <v>174</v>
      </c>
      <c r="T14" s="8">
        <f t="shared" si="5"/>
        <v>268</v>
      </c>
      <c r="U14" s="137"/>
      <c r="V14" s="137"/>
      <c r="W14" s="137"/>
      <c r="X14" s="138"/>
      <c r="Y14" s="138"/>
      <c r="Z14" s="138"/>
      <c r="AA14" s="20">
        <f t="shared" si="28"/>
        <v>3053</v>
      </c>
      <c r="AB14" s="20">
        <f t="shared" si="28"/>
        <v>4517</v>
      </c>
      <c r="AC14" s="20">
        <f t="shared" si="28"/>
        <v>7570</v>
      </c>
      <c r="AD14" s="156"/>
      <c r="AE14" s="156"/>
      <c r="AF14" s="156"/>
      <c r="AG14" s="139">
        <f>66+110</f>
        <v>176</v>
      </c>
      <c r="AH14" s="139">
        <f>91+87</f>
        <v>178</v>
      </c>
      <c r="AI14" s="86">
        <f>AG14+AH14</f>
        <v>354</v>
      </c>
      <c r="AJ14" s="157"/>
      <c r="AK14" s="157"/>
      <c r="AL14" s="157"/>
      <c r="AM14" s="41">
        <f t="shared" si="29"/>
        <v>5.764821487061906</v>
      </c>
      <c r="AN14" s="41">
        <f t="shared" si="29"/>
        <v>3.940668585344255</v>
      </c>
      <c r="AO14" s="41">
        <f t="shared" si="29"/>
        <v>4.676354029062087</v>
      </c>
      <c r="AP14" s="20">
        <f t="shared" si="30"/>
        <v>398</v>
      </c>
      <c r="AQ14" s="20">
        <f t="shared" si="30"/>
        <v>563</v>
      </c>
      <c r="AR14" s="20">
        <f t="shared" si="30"/>
        <v>961</v>
      </c>
      <c r="AS14" s="156"/>
      <c r="AT14" s="156"/>
      <c r="AU14" s="156"/>
      <c r="AV14" s="139">
        <v>13</v>
      </c>
      <c r="AW14" s="139">
        <v>10</v>
      </c>
      <c r="AX14" s="20">
        <f t="shared" si="10"/>
        <v>23</v>
      </c>
      <c r="AY14" s="157"/>
      <c r="AZ14" s="157"/>
      <c r="BA14" s="157"/>
      <c r="BB14" s="93">
        <f t="shared" si="31"/>
        <v>3.2663316582914574</v>
      </c>
      <c r="BC14" s="93">
        <f t="shared" si="31"/>
        <v>1.7761989342806395</v>
      </c>
      <c r="BD14" s="93">
        <f t="shared" si="31"/>
        <v>2.393340270551509</v>
      </c>
      <c r="BE14" s="94">
        <f>R14</f>
        <v>94</v>
      </c>
      <c r="BF14" s="94">
        <f>S14</f>
        <v>174</v>
      </c>
      <c r="BG14" s="94">
        <f>T14</f>
        <v>268</v>
      </c>
      <c r="BH14" s="157"/>
      <c r="BI14" s="157"/>
      <c r="BJ14" s="157"/>
      <c r="BK14" s="139">
        <v>1</v>
      </c>
      <c r="BL14" s="139">
        <v>2</v>
      </c>
      <c r="BM14" s="94">
        <f t="shared" si="13"/>
        <v>3</v>
      </c>
      <c r="BN14" s="157"/>
      <c r="BO14" s="157"/>
      <c r="BP14" s="157"/>
      <c r="BQ14" s="93">
        <f t="shared" si="32"/>
        <v>1.0638297872340425</v>
      </c>
      <c r="BR14" s="93">
        <f t="shared" si="32"/>
        <v>1.1494252873563218</v>
      </c>
      <c r="BS14" s="93">
        <f t="shared" si="32"/>
        <v>1.1194029850746268</v>
      </c>
    </row>
    <row r="15" spans="1:86" s="63" customFormat="1" ht="30" customHeight="1">
      <c r="A15" s="184" t="s">
        <v>7</v>
      </c>
      <c r="B15" s="184"/>
      <c r="C15" s="31">
        <f aca="true" t="shared" si="33" ref="C15:AI15">SUM(C8:C14)</f>
        <v>373506</v>
      </c>
      <c r="D15" s="31">
        <f t="shared" si="33"/>
        <v>240632</v>
      </c>
      <c r="E15" s="31">
        <f t="shared" si="33"/>
        <v>614138</v>
      </c>
      <c r="F15" s="31">
        <f t="shared" si="33"/>
        <v>148004</v>
      </c>
      <c r="G15" s="31">
        <f t="shared" si="33"/>
        <v>105116</v>
      </c>
      <c r="H15" s="31">
        <f t="shared" si="33"/>
        <v>253120</v>
      </c>
      <c r="I15" s="31">
        <f t="shared" si="33"/>
        <v>117348</v>
      </c>
      <c r="J15" s="31">
        <f t="shared" si="33"/>
        <v>65224</v>
      </c>
      <c r="K15" s="31">
        <f t="shared" si="33"/>
        <v>182572</v>
      </c>
      <c r="L15" s="31">
        <f t="shared" si="33"/>
        <v>47203</v>
      </c>
      <c r="M15" s="31">
        <f t="shared" si="33"/>
        <v>28752</v>
      </c>
      <c r="N15" s="31">
        <f t="shared" si="33"/>
        <v>75955</v>
      </c>
      <c r="O15" s="31">
        <f t="shared" si="33"/>
        <v>52907</v>
      </c>
      <c r="P15" s="31">
        <f t="shared" si="33"/>
        <v>38349</v>
      </c>
      <c r="Q15" s="31">
        <f t="shared" si="33"/>
        <v>91256</v>
      </c>
      <c r="R15" s="31">
        <f t="shared" si="33"/>
        <v>20222</v>
      </c>
      <c r="S15" s="31">
        <f t="shared" si="33"/>
        <v>14997</v>
      </c>
      <c r="T15" s="31">
        <f t="shared" si="33"/>
        <v>35219</v>
      </c>
      <c r="U15" s="31">
        <f t="shared" si="33"/>
        <v>8554</v>
      </c>
      <c r="V15" s="31">
        <f t="shared" si="33"/>
        <v>3606</v>
      </c>
      <c r="W15" s="31">
        <f t="shared" si="33"/>
        <v>12160</v>
      </c>
      <c r="X15" s="31">
        <f t="shared" si="33"/>
        <v>8554</v>
      </c>
      <c r="Y15" s="31">
        <f t="shared" si="33"/>
        <v>3606</v>
      </c>
      <c r="Z15" s="31">
        <f t="shared" si="33"/>
        <v>12160</v>
      </c>
      <c r="AA15" s="31">
        <f t="shared" si="33"/>
        <v>148004</v>
      </c>
      <c r="AB15" s="31">
        <f t="shared" si="33"/>
        <v>105116</v>
      </c>
      <c r="AC15" s="31">
        <f t="shared" si="33"/>
        <v>253120</v>
      </c>
      <c r="AD15" s="31">
        <f t="shared" si="33"/>
        <v>2692</v>
      </c>
      <c r="AE15" s="31">
        <f t="shared" si="33"/>
        <v>1720</v>
      </c>
      <c r="AF15" s="31">
        <f t="shared" si="33"/>
        <v>4412</v>
      </c>
      <c r="AG15" s="31">
        <f t="shared" si="33"/>
        <v>28072</v>
      </c>
      <c r="AH15" s="31">
        <f t="shared" si="33"/>
        <v>6187</v>
      </c>
      <c r="AI15" s="31">
        <f t="shared" si="33"/>
        <v>34259</v>
      </c>
      <c r="AJ15" s="66">
        <f>AD15/AA15%</f>
        <v>1.8188697602767494</v>
      </c>
      <c r="AK15" s="66">
        <f>AE15/AB15%</f>
        <v>1.6362875299668935</v>
      </c>
      <c r="AL15" s="66">
        <f>AF15/AC15%</f>
        <v>1.7430467762326172</v>
      </c>
      <c r="AM15" s="32">
        <f t="shared" si="29"/>
        <v>18.967054944460962</v>
      </c>
      <c r="AN15" s="32">
        <f t="shared" si="29"/>
        <v>5.8858784580844015</v>
      </c>
      <c r="AO15" s="162">
        <f t="shared" si="29"/>
        <v>13.53468710493047</v>
      </c>
      <c r="AP15" s="65">
        <f t="shared" si="8"/>
        <v>47203</v>
      </c>
      <c r="AQ15" s="65">
        <f>M15</f>
        <v>28752</v>
      </c>
      <c r="AR15" s="65">
        <f>N15</f>
        <v>75955</v>
      </c>
      <c r="AS15" s="31">
        <f aca="true" t="shared" si="34" ref="AS15:AX15">SUM(AS8:AS14)</f>
        <v>302</v>
      </c>
      <c r="AT15" s="31">
        <f t="shared" si="34"/>
        <v>190</v>
      </c>
      <c r="AU15" s="31">
        <f t="shared" si="34"/>
        <v>492</v>
      </c>
      <c r="AV15" s="31">
        <f t="shared" si="34"/>
        <v>3037</v>
      </c>
      <c r="AW15" s="31">
        <f t="shared" si="34"/>
        <v>1712</v>
      </c>
      <c r="AX15" s="31">
        <f t="shared" si="34"/>
        <v>4749</v>
      </c>
      <c r="AY15" s="66">
        <f>AS15/AP15%</f>
        <v>0.639789843865856</v>
      </c>
      <c r="AZ15" s="66">
        <f>AT15/AQ15%</f>
        <v>0.6608235948803561</v>
      </c>
      <c r="BA15" s="66">
        <f>AU15/AR15%</f>
        <v>0.647751958396419</v>
      </c>
      <c r="BB15" s="162">
        <f t="shared" si="31"/>
        <v>6.433913098743724</v>
      </c>
      <c r="BC15" s="66">
        <f t="shared" si="31"/>
        <v>5.954368391764052</v>
      </c>
      <c r="BD15" s="66">
        <f t="shared" si="31"/>
        <v>6.2523862813508</v>
      </c>
      <c r="BE15" s="65">
        <f t="shared" si="25"/>
        <v>20222</v>
      </c>
      <c r="BF15" s="65">
        <f t="shared" si="25"/>
        <v>14997</v>
      </c>
      <c r="BG15" s="65">
        <f t="shared" si="25"/>
        <v>35219</v>
      </c>
      <c r="BH15" s="31">
        <f aca="true" t="shared" si="35" ref="BH15:BM15">SUM(BH8:BH14)</f>
        <v>203</v>
      </c>
      <c r="BI15" s="31">
        <f t="shared" si="35"/>
        <v>230</v>
      </c>
      <c r="BJ15" s="31">
        <f t="shared" si="35"/>
        <v>433</v>
      </c>
      <c r="BK15" s="31">
        <f t="shared" si="35"/>
        <v>1673</v>
      </c>
      <c r="BL15" s="31">
        <f t="shared" si="35"/>
        <v>1778</v>
      </c>
      <c r="BM15" s="31">
        <f t="shared" si="35"/>
        <v>3451</v>
      </c>
      <c r="BN15" s="32">
        <f t="shared" si="14"/>
        <v>1.0038571852437939</v>
      </c>
      <c r="BO15" s="32">
        <f>BI15/BF15%</f>
        <v>1.5336400613456025</v>
      </c>
      <c r="BP15" s="32">
        <f>BJ15/BG15%</f>
        <v>1.2294500127771941</v>
      </c>
      <c r="BQ15" s="32">
        <f t="shared" si="26"/>
        <v>8.273167837009199</v>
      </c>
      <c r="BR15" s="32">
        <f t="shared" si="15"/>
        <v>11.85570447422818</v>
      </c>
      <c r="BS15" s="32">
        <f t="shared" si="27"/>
        <v>9.798688208069509</v>
      </c>
      <c r="BT15" s="31">
        <f>SUM(BT8:BT14)</f>
        <v>8554</v>
      </c>
      <c r="BU15" s="31">
        <f>SUM(BU8:BU14)</f>
        <v>3606</v>
      </c>
      <c r="BV15" s="31">
        <f>SUM(BV8:BV14)</f>
        <v>12160</v>
      </c>
      <c r="BW15" s="65"/>
      <c r="BX15" s="65"/>
      <c r="BY15" s="64">
        <f t="shared" si="17"/>
        <v>0</v>
      </c>
      <c r="BZ15" s="31">
        <f>SUM(BZ8:BZ14)</f>
        <v>1397</v>
      </c>
      <c r="CA15" s="31">
        <f>SUM(CA8:CA14)</f>
        <v>721</v>
      </c>
      <c r="CB15" s="31">
        <f>SUM(CB8:CB14)</f>
        <v>2118</v>
      </c>
      <c r="CC15" s="66">
        <f>BW15/BT15%</f>
        <v>0</v>
      </c>
      <c r="CD15" s="66">
        <f>BX15/BU15%</f>
        <v>0</v>
      </c>
      <c r="CE15" s="66">
        <f>BY15/BV15%</f>
        <v>0</v>
      </c>
      <c r="CF15" s="31">
        <f t="shared" si="21"/>
        <v>16.331540799625905</v>
      </c>
      <c r="CG15" s="31">
        <f t="shared" si="19"/>
        <v>19.99445368829728</v>
      </c>
      <c r="CH15" s="31">
        <f t="shared" si="20"/>
        <v>17.417763157894736</v>
      </c>
    </row>
    <row r="16" spans="1:71" s="129" customFormat="1" ht="12">
      <c r="A16" s="160"/>
      <c r="B16" s="132"/>
      <c r="C16" s="130" t="s">
        <v>8</v>
      </c>
      <c r="D16" s="132"/>
      <c r="E16" s="132"/>
      <c r="F16" s="161"/>
      <c r="G16" s="132"/>
      <c r="H16" s="132"/>
      <c r="I16" s="132"/>
      <c r="J16" s="132"/>
      <c r="K16" s="132"/>
      <c r="L16" s="132"/>
      <c r="M16" s="132"/>
      <c r="N16" s="132"/>
      <c r="O16" s="130" t="s">
        <v>8</v>
      </c>
      <c r="P16" s="132"/>
      <c r="Q16" s="132"/>
      <c r="R16" s="132"/>
      <c r="S16" s="132"/>
      <c r="T16" s="132"/>
      <c r="U16" s="130" t="s">
        <v>8</v>
      </c>
      <c r="V16" s="132"/>
      <c r="W16" s="132"/>
      <c r="X16" s="132"/>
      <c r="Y16" s="132"/>
      <c r="Z16" s="132"/>
      <c r="AA16" s="130" t="s">
        <v>8</v>
      </c>
      <c r="AB16" s="132"/>
      <c r="AC16" s="132"/>
      <c r="AD16" s="132"/>
      <c r="AE16" s="132"/>
      <c r="AF16" s="132"/>
      <c r="AG16" s="132"/>
      <c r="AH16" s="132"/>
      <c r="AI16" s="132"/>
      <c r="AJ16" s="130"/>
      <c r="AK16" s="132"/>
      <c r="AL16" s="132"/>
      <c r="AM16" s="132"/>
      <c r="AN16" s="132"/>
      <c r="AO16" s="132"/>
      <c r="AP16" s="130" t="s">
        <v>8</v>
      </c>
      <c r="AQ16" s="132"/>
      <c r="AR16" s="132"/>
      <c r="AS16" s="132"/>
      <c r="AT16" s="132"/>
      <c r="AU16" s="132"/>
      <c r="AV16" s="132"/>
      <c r="AW16" s="132"/>
      <c r="AX16" s="132"/>
      <c r="AY16" s="130"/>
      <c r="AZ16" s="132"/>
      <c r="BA16" s="132"/>
      <c r="BB16" s="132"/>
      <c r="BC16" s="132"/>
      <c r="BD16" s="132"/>
      <c r="BE16" s="130" t="s">
        <v>8</v>
      </c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</row>
    <row r="17" spans="3:65" s="131" customFormat="1" ht="12">
      <c r="C17" s="131" t="s">
        <v>79</v>
      </c>
      <c r="O17" s="131" t="s">
        <v>79</v>
      </c>
      <c r="U17" s="131" t="s">
        <v>79</v>
      </c>
      <c r="V17" s="132"/>
      <c r="W17" s="132"/>
      <c r="X17" s="132"/>
      <c r="Y17" s="132"/>
      <c r="Z17" s="132"/>
      <c r="AA17" s="131" t="s">
        <v>79</v>
      </c>
      <c r="AB17" s="132"/>
      <c r="AC17" s="132"/>
      <c r="AD17" s="132"/>
      <c r="AE17" s="132"/>
      <c r="AF17" s="132"/>
      <c r="AG17" s="132"/>
      <c r="AH17" s="132"/>
      <c r="AI17" s="132"/>
      <c r="AK17" s="132"/>
      <c r="AL17" s="132"/>
      <c r="AM17" s="132"/>
      <c r="AN17" s="132"/>
      <c r="AO17" s="132"/>
      <c r="AP17" s="131" t="s">
        <v>79</v>
      </c>
      <c r="AQ17" s="132"/>
      <c r="AR17" s="132"/>
      <c r="AS17" s="132"/>
      <c r="AT17" s="132"/>
      <c r="AU17" s="132"/>
      <c r="AV17" s="132"/>
      <c r="AW17" s="132"/>
      <c r="AX17" s="132"/>
      <c r="AZ17" s="132"/>
      <c r="BA17" s="132"/>
      <c r="BB17" s="132"/>
      <c r="BC17" s="132"/>
      <c r="BD17" s="132"/>
      <c r="BE17" s="131" t="s">
        <v>79</v>
      </c>
      <c r="BF17" s="132"/>
      <c r="BG17" s="132"/>
      <c r="BH17" s="132"/>
      <c r="BI17" s="132"/>
      <c r="BJ17" s="132"/>
      <c r="BK17" s="132"/>
      <c r="BL17" s="132"/>
      <c r="BM17" s="132"/>
    </row>
    <row r="18" spans="3:65" s="133" customFormat="1" ht="12">
      <c r="C18" s="134" t="s">
        <v>80</v>
      </c>
      <c r="O18" s="134" t="s">
        <v>80</v>
      </c>
      <c r="U18" s="134" t="s">
        <v>80</v>
      </c>
      <c r="V18" s="135"/>
      <c r="W18" s="135"/>
      <c r="X18" s="135"/>
      <c r="Y18" s="135"/>
      <c r="Z18" s="135"/>
      <c r="AA18" s="134" t="s">
        <v>80</v>
      </c>
      <c r="AB18" s="135"/>
      <c r="AC18" s="135"/>
      <c r="AD18" s="135"/>
      <c r="AE18" s="135"/>
      <c r="AF18" s="135"/>
      <c r="AG18" s="135"/>
      <c r="AH18" s="135"/>
      <c r="AI18" s="135"/>
      <c r="AJ18" s="134"/>
      <c r="AK18" s="135"/>
      <c r="AL18" s="135"/>
      <c r="AM18" s="135"/>
      <c r="AN18" s="135"/>
      <c r="AO18" s="135"/>
      <c r="AP18" s="134" t="s">
        <v>80</v>
      </c>
      <c r="AQ18" s="135"/>
      <c r="AR18" s="135"/>
      <c r="AS18" s="135"/>
      <c r="AT18" s="135"/>
      <c r="AU18" s="135"/>
      <c r="AV18" s="135"/>
      <c r="AW18" s="135"/>
      <c r="AX18" s="135"/>
      <c r="AY18" s="134"/>
      <c r="AZ18" s="135"/>
      <c r="BA18" s="135"/>
      <c r="BB18" s="135"/>
      <c r="BC18" s="135"/>
      <c r="BD18" s="135"/>
      <c r="BE18" s="134" t="s">
        <v>80</v>
      </c>
      <c r="BF18" s="135"/>
      <c r="BG18" s="135"/>
      <c r="BH18" s="135"/>
      <c r="BI18" s="135"/>
      <c r="BJ18" s="135"/>
      <c r="BK18" s="135"/>
      <c r="BL18" s="135"/>
      <c r="BM18" s="135"/>
    </row>
  </sheetData>
  <sheetProtection/>
  <mergeCells count="45">
    <mergeCell ref="CC3:CH4"/>
    <mergeCell ref="BW5:BY5"/>
    <mergeCell ref="BZ5:CB5"/>
    <mergeCell ref="CC5:CE5"/>
    <mergeCell ref="CF5:CH5"/>
    <mergeCell ref="BK5:BM5"/>
    <mergeCell ref="BN5:BP5"/>
    <mergeCell ref="BQ5:BS5"/>
    <mergeCell ref="BT3:BV5"/>
    <mergeCell ref="BW3:CB4"/>
    <mergeCell ref="BE3:BG5"/>
    <mergeCell ref="AS5:AU5"/>
    <mergeCell ref="AV5:AX5"/>
    <mergeCell ref="AY5:BA5"/>
    <mergeCell ref="BB5:BD5"/>
    <mergeCell ref="BH3:BM4"/>
    <mergeCell ref="BN3:BS4"/>
    <mergeCell ref="BH5:BJ5"/>
    <mergeCell ref="AP3:AR5"/>
    <mergeCell ref="AS3:AX4"/>
    <mergeCell ref="AY3:BD4"/>
    <mergeCell ref="AD3:AI4"/>
    <mergeCell ref="AJ3:AO4"/>
    <mergeCell ref="AD5:AF5"/>
    <mergeCell ref="AG5:AI5"/>
    <mergeCell ref="AJ5:AL5"/>
    <mergeCell ref="AM5:AO5"/>
    <mergeCell ref="AA3:AC5"/>
    <mergeCell ref="O4:T4"/>
    <mergeCell ref="O5:Q5"/>
    <mergeCell ref="R5:T5"/>
    <mergeCell ref="O3:Z3"/>
    <mergeCell ref="U5:W5"/>
    <mergeCell ref="X5:Z5"/>
    <mergeCell ref="U4:Z4"/>
    <mergeCell ref="A15:B15"/>
    <mergeCell ref="A3:A6"/>
    <mergeCell ref="B3:B6"/>
    <mergeCell ref="C4:H4"/>
    <mergeCell ref="C5:E5"/>
    <mergeCell ref="F5:H5"/>
    <mergeCell ref="C3:N3"/>
    <mergeCell ref="I5:K5"/>
    <mergeCell ref="L5:N5"/>
    <mergeCell ref="I4:N4"/>
  </mergeCells>
  <printOptions horizontalCentered="1"/>
  <pageMargins left="0.4724409448818898" right="0.07874015748031496" top="0.7480314960629921" bottom="0.7480314960629921" header="0.31496062992125984" footer="0.5118110236220472"/>
  <pageSetup firstPageNumber="25" useFirstPageNumber="1" horizontalDpi="600" verticalDpi="600" orientation="landscape" paperSize="9" scale="59" r:id="rId1"/>
  <headerFooter alignWithMargins="0">
    <oddFooter>&amp;CX-2016&amp;R&amp;P</oddFooter>
  </headerFooter>
  <colBreaks count="3" manualBreakCount="3">
    <brk id="26" max="18" man="1"/>
    <brk id="41" max="18" man="1"/>
    <brk id="56" max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7"/>
  <sheetViews>
    <sheetView view="pageBreakPreview" zoomScale="80"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11.140625" style="0" customWidth="1"/>
    <col min="2" max="2" width="9.7109375" style="0" customWidth="1"/>
    <col min="3" max="4" width="11.7109375" style="0" customWidth="1"/>
    <col min="5" max="5" width="13.00390625" style="0" bestFit="1" customWidth="1"/>
    <col min="6" max="14" width="11.7109375" style="0" customWidth="1"/>
    <col min="15" max="20" width="19.8515625" style="0" customWidth="1"/>
  </cols>
  <sheetData>
    <row r="1" spans="1:25" ht="18">
      <c r="A1" s="1"/>
      <c r="B1" s="1"/>
      <c r="C1" s="55" t="s">
        <v>86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80" t="str">
        <f>+C1</f>
        <v>Statement 1 - SECONDARY EXAMINATION RESULTS DURING 2010 - 2016 (CENTRAL/STATE BOARDS)</v>
      </c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0" ht="14.25">
      <c r="A2" s="209" t="s">
        <v>55</v>
      </c>
      <c r="B2" s="210" t="s">
        <v>83</v>
      </c>
      <c r="C2" s="209" t="s">
        <v>1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 t="s">
        <v>1</v>
      </c>
      <c r="P2" s="209"/>
      <c r="Q2" s="209"/>
      <c r="R2" s="209"/>
      <c r="S2" s="209"/>
      <c r="T2" s="209"/>
    </row>
    <row r="3" spans="1:20" ht="14.25">
      <c r="A3" s="209"/>
      <c r="B3" s="211"/>
      <c r="C3" s="209" t="s">
        <v>52</v>
      </c>
      <c r="D3" s="209"/>
      <c r="E3" s="209"/>
      <c r="F3" s="209"/>
      <c r="G3" s="209"/>
      <c r="H3" s="209"/>
      <c r="I3" s="209" t="s">
        <v>53</v>
      </c>
      <c r="J3" s="209"/>
      <c r="K3" s="209"/>
      <c r="L3" s="209"/>
      <c r="M3" s="209"/>
      <c r="N3" s="209"/>
      <c r="O3" s="209" t="s">
        <v>54</v>
      </c>
      <c r="P3" s="209"/>
      <c r="Q3" s="209"/>
      <c r="R3" s="209"/>
      <c r="S3" s="209"/>
      <c r="T3" s="209"/>
    </row>
    <row r="4" spans="1:20" ht="14.25">
      <c r="A4" s="209"/>
      <c r="B4" s="211"/>
      <c r="C4" s="209" t="s">
        <v>2</v>
      </c>
      <c r="D4" s="209"/>
      <c r="E4" s="209"/>
      <c r="F4" s="209" t="s">
        <v>3</v>
      </c>
      <c r="G4" s="209"/>
      <c r="H4" s="209"/>
      <c r="I4" s="209" t="s">
        <v>2</v>
      </c>
      <c r="J4" s="209"/>
      <c r="K4" s="209"/>
      <c r="L4" s="209" t="s">
        <v>3</v>
      </c>
      <c r="M4" s="209"/>
      <c r="N4" s="209"/>
      <c r="O4" s="209" t="s">
        <v>2</v>
      </c>
      <c r="P4" s="209"/>
      <c r="Q4" s="209"/>
      <c r="R4" s="209" t="s">
        <v>3</v>
      </c>
      <c r="S4" s="209"/>
      <c r="T4" s="209"/>
    </row>
    <row r="5" spans="1:20" ht="14.25">
      <c r="A5" s="209"/>
      <c r="B5" s="211"/>
      <c r="C5" s="169" t="s">
        <v>5</v>
      </c>
      <c r="D5" s="169" t="s">
        <v>6</v>
      </c>
      <c r="E5" s="169" t="s">
        <v>7</v>
      </c>
      <c r="F5" s="169" t="s">
        <v>5</v>
      </c>
      <c r="G5" s="169" t="s">
        <v>6</v>
      </c>
      <c r="H5" s="169" t="s">
        <v>7</v>
      </c>
      <c r="I5" s="169" t="s">
        <v>5</v>
      </c>
      <c r="J5" s="169" t="s">
        <v>6</v>
      </c>
      <c r="K5" s="169" t="s">
        <v>7</v>
      </c>
      <c r="L5" s="169" t="s">
        <v>5</v>
      </c>
      <c r="M5" s="169" t="s">
        <v>6</v>
      </c>
      <c r="N5" s="169" t="s">
        <v>7</v>
      </c>
      <c r="O5" s="169" t="s">
        <v>5</v>
      </c>
      <c r="P5" s="169" t="s">
        <v>6</v>
      </c>
      <c r="Q5" s="169" t="s">
        <v>7</v>
      </c>
      <c r="R5" s="169" t="s">
        <v>5</v>
      </c>
      <c r="S5" s="169" t="s">
        <v>6</v>
      </c>
      <c r="T5" s="169" t="s">
        <v>7</v>
      </c>
    </row>
    <row r="6" spans="1:20" ht="12.7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  <c r="O6" s="57">
        <v>15</v>
      </c>
      <c r="P6" s="57">
        <v>16</v>
      </c>
      <c r="Q6" s="57">
        <v>17</v>
      </c>
      <c r="R6" s="57">
        <v>18</v>
      </c>
      <c r="S6" s="57">
        <v>19</v>
      </c>
      <c r="T6" s="57">
        <v>20</v>
      </c>
    </row>
    <row r="7" spans="1:20" ht="15.75">
      <c r="A7" s="171">
        <v>2010</v>
      </c>
      <c r="B7" s="178">
        <v>34</v>
      </c>
      <c r="C7" s="56">
        <v>9374906</v>
      </c>
      <c r="D7" s="56">
        <v>7351211</v>
      </c>
      <c r="E7" s="56">
        <v>16726117</v>
      </c>
      <c r="F7" s="56">
        <v>6862354</v>
      </c>
      <c r="G7" s="56">
        <v>5687118</v>
      </c>
      <c r="H7" s="56">
        <v>12549472</v>
      </c>
      <c r="I7" s="56">
        <v>1517853</v>
      </c>
      <c r="J7" s="56">
        <v>1169643</v>
      </c>
      <c r="K7" s="56">
        <v>2687496</v>
      </c>
      <c r="L7" s="56">
        <v>1020344</v>
      </c>
      <c r="M7" s="56">
        <v>834309</v>
      </c>
      <c r="N7" s="56">
        <v>1854653</v>
      </c>
      <c r="O7" s="56">
        <v>613490</v>
      </c>
      <c r="P7" s="56">
        <v>476366</v>
      </c>
      <c r="Q7" s="56">
        <v>1089856</v>
      </c>
      <c r="R7" s="56">
        <v>382583</v>
      </c>
      <c r="S7" s="56">
        <v>293139</v>
      </c>
      <c r="T7" s="56">
        <v>675722</v>
      </c>
    </row>
    <row r="8" spans="1:20" ht="15.75">
      <c r="A8" s="170">
        <v>2011</v>
      </c>
      <c r="B8" s="178">
        <v>34</v>
      </c>
      <c r="C8" s="56">
        <v>9799667</v>
      </c>
      <c r="D8" s="56">
        <v>7818871</v>
      </c>
      <c r="E8" s="56">
        <v>17623309</v>
      </c>
      <c r="F8" s="56">
        <v>7183560</v>
      </c>
      <c r="G8" s="56">
        <v>6013853</v>
      </c>
      <c r="H8" s="56">
        <v>13199625</v>
      </c>
      <c r="I8" s="56">
        <v>1687903</v>
      </c>
      <c r="J8" s="56">
        <v>1379568</v>
      </c>
      <c r="K8" s="56">
        <v>3067471</v>
      </c>
      <c r="L8" s="56">
        <v>1150634</v>
      </c>
      <c r="M8" s="56">
        <v>977953</v>
      </c>
      <c r="N8" s="56">
        <v>2128587</v>
      </c>
      <c r="O8" s="56">
        <v>661275</v>
      </c>
      <c r="P8" s="56">
        <v>531300</v>
      </c>
      <c r="Q8" s="56">
        <v>1192575</v>
      </c>
      <c r="R8" s="56">
        <v>415430</v>
      </c>
      <c r="S8" s="56">
        <v>332993</v>
      </c>
      <c r="T8" s="56">
        <v>748423</v>
      </c>
    </row>
    <row r="9" spans="1:20" ht="15.75">
      <c r="A9" s="171">
        <v>2012</v>
      </c>
      <c r="B9" s="178">
        <v>34</v>
      </c>
      <c r="C9" s="172">
        <v>9939916</v>
      </c>
      <c r="D9" s="172">
        <v>8086742</v>
      </c>
      <c r="E9" s="172">
        <v>18026658</v>
      </c>
      <c r="F9" s="172">
        <v>7430776</v>
      </c>
      <c r="G9" s="172">
        <v>6334551</v>
      </c>
      <c r="H9" s="172">
        <v>13765327</v>
      </c>
      <c r="I9" s="172">
        <v>1596559</v>
      </c>
      <c r="J9" s="172">
        <v>1285426</v>
      </c>
      <c r="K9" s="172">
        <v>2881985</v>
      </c>
      <c r="L9" s="172">
        <v>1097023</v>
      </c>
      <c r="M9" s="172">
        <v>932159</v>
      </c>
      <c r="N9" s="172">
        <v>2029182</v>
      </c>
      <c r="O9" s="172">
        <v>638691</v>
      </c>
      <c r="P9" s="172">
        <v>547182</v>
      </c>
      <c r="Q9" s="172">
        <v>1185873</v>
      </c>
      <c r="R9" s="172">
        <v>395747</v>
      </c>
      <c r="S9" s="172">
        <v>334876</v>
      </c>
      <c r="T9" s="172">
        <v>730623</v>
      </c>
    </row>
    <row r="10" spans="1:20" ht="15.75">
      <c r="A10" s="170">
        <v>2013</v>
      </c>
      <c r="B10" s="178">
        <v>35</v>
      </c>
      <c r="C10" s="56">
        <v>10507044</v>
      </c>
      <c r="D10" s="56">
        <v>8617208</v>
      </c>
      <c r="E10" s="56">
        <v>19124252</v>
      </c>
      <c r="F10" s="56">
        <v>8037590</v>
      </c>
      <c r="G10" s="56">
        <v>6932924</v>
      </c>
      <c r="H10" s="56">
        <v>14970514</v>
      </c>
      <c r="I10" s="56">
        <v>1765636</v>
      </c>
      <c r="J10" s="56">
        <v>1459662</v>
      </c>
      <c r="K10" s="56">
        <v>3225298</v>
      </c>
      <c r="L10" s="56">
        <v>1232058</v>
      </c>
      <c r="M10" s="56">
        <v>1076244</v>
      </c>
      <c r="N10" s="56">
        <v>2308302</v>
      </c>
      <c r="O10" s="56">
        <v>745569</v>
      </c>
      <c r="P10" s="56">
        <v>656963</v>
      </c>
      <c r="Q10" s="56">
        <v>1402532</v>
      </c>
      <c r="R10" s="56">
        <v>480652</v>
      </c>
      <c r="S10" s="56">
        <v>426303</v>
      </c>
      <c r="T10" s="56">
        <v>906955</v>
      </c>
    </row>
    <row r="11" spans="1:20" ht="15.75">
      <c r="A11" s="170">
        <v>2014</v>
      </c>
      <c r="B11" s="178">
        <v>35</v>
      </c>
      <c r="C11" s="56">
        <v>10229689</v>
      </c>
      <c r="D11" s="56">
        <v>8625318</v>
      </c>
      <c r="E11" s="56">
        <v>18855007</v>
      </c>
      <c r="F11" s="56">
        <v>8041716</v>
      </c>
      <c r="G11" s="56">
        <v>7053738</v>
      </c>
      <c r="H11" s="56">
        <v>15095454</v>
      </c>
      <c r="I11" s="56">
        <v>1756049</v>
      </c>
      <c r="J11" s="56">
        <v>1485264</v>
      </c>
      <c r="K11" s="56">
        <v>3241313</v>
      </c>
      <c r="L11" s="56">
        <v>1268455</v>
      </c>
      <c r="M11" s="56">
        <v>1124169</v>
      </c>
      <c r="N11" s="56">
        <v>2392624</v>
      </c>
      <c r="O11" s="56">
        <v>757751</v>
      </c>
      <c r="P11" s="56">
        <v>694604</v>
      </c>
      <c r="Q11" s="56">
        <v>1452355</v>
      </c>
      <c r="R11" s="56">
        <v>501712</v>
      </c>
      <c r="S11" s="56">
        <v>450920</v>
      </c>
      <c r="T11" s="56">
        <v>952632</v>
      </c>
    </row>
    <row r="12" spans="1:20" ht="15.75">
      <c r="A12" s="170">
        <v>2015</v>
      </c>
      <c r="B12" s="178">
        <v>35</v>
      </c>
      <c r="C12" s="56">
        <v>10078588</v>
      </c>
      <c r="D12" s="56">
        <v>8708092</v>
      </c>
      <c r="E12" s="56">
        <v>18786680</v>
      </c>
      <c r="F12" s="56">
        <v>7830993</v>
      </c>
      <c r="G12" s="56">
        <v>7038908</v>
      </c>
      <c r="H12" s="56">
        <v>14869901</v>
      </c>
      <c r="I12" s="56">
        <v>1728900</v>
      </c>
      <c r="J12" s="56">
        <v>1495210</v>
      </c>
      <c r="K12" s="56">
        <v>3224110</v>
      </c>
      <c r="L12" s="56">
        <v>1244282</v>
      </c>
      <c r="M12" s="56">
        <v>1119501</v>
      </c>
      <c r="N12" s="56">
        <v>2363783</v>
      </c>
      <c r="O12" s="56">
        <v>756299</v>
      </c>
      <c r="P12" s="56">
        <v>711597</v>
      </c>
      <c r="Q12" s="56">
        <v>1467896</v>
      </c>
      <c r="R12" s="56">
        <v>491790</v>
      </c>
      <c r="S12" s="56">
        <v>449720</v>
      </c>
      <c r="T12" s="56">
        <v>941510</v>
      </c>
    </row>
    <row r="13" spans="1:20" ht="15.75">
      <c r="A13" s="170">
        <v>2016</v>
      </c>
      <c r="B13" s="178">
        <v>42</v>
      </c>
      <c r="C13" s="56">
        <v>10446940</v>
      </c>
      <c r="D13" s="56">
        <v>8948878</v>
      </c>
      <c r="E13" s="56">
        <v>19395818</v>
      </c>
      <c r="F13" s="56">
        <v>8118493</v>
      </c>
      <c r="G13" s="56">
        <v>7140555</v>
      </c>
      <c r="H13" s="56">
        <v>15259048</v>
      </c>
      <c r="I13" s="56">
        <v>1840866</v>
      </c>
      <c r="J13" s="56">
        <v>1590816</v>
      </c>
      <c r="K13" s="56">
        <v>3431682</v>
      </c>
      <c r="L13" s="56">
        <v>1324673</v>
      </c>
      <c r="M13" s="56">
        <v>1187053</v>
      </c>
      <c r="N13" s="56">
        <v>2511726</v>
      </c>
      <c r="O13" s="56">
        <v>779133</v>
      </c>
      <c r="P13" s="56">
        <v>734656</v>
      </c>
      <c r="Q13" s="56">
        <v>1513789</v>
      </c>
      <c r="R13" s="56">
        <v>507673</v>
      </c>
      <c r="S13" s="56">
        <v>476877</v>
      </c>
      <c r="T13" s="56">
        <v>984550</v>
      </c>
    </row>
    <row r="14" spans="1:20" ht="15.75">
      <c r="A14" s="174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</row>
    <row r="15" spans="1:20" ht="15.75">
      <c r="A15" s="175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</row>
    <row r="16" spans="1:20" ht="18">
      <c r="A16" s="1"/>
      <c r="C16" s="55" t="s">
        <v>87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 t="str">
        <f>+C16</f>
        <v>Statement 2 -SECONDARY EXAMINATION RESULTS DURING 2010 - 2016 (OPEN BOARDS)</v>
      </c>
      <c r="P16" s="55"/>
      <c r="Q16" s="55"/>
      <c r="R16" s="55"/>
      <c r="S16" s="55"/>
      <c r="T16" s="55"/>
    </row>
    <row r="17" spans="1:20" ht="14.25">
      <c r="A17" s="209" t="s">
        <v>55</v>
      </c>
      <c r="B17" s="210" t="s">
        <v>83</v>
      </c>
      <c r="C17" s="209" t="s">
        <v>1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 t="s">
        <v>1</v>
      </c>
      <c r="P17" s="209"/>
      <c r="Q17" s="209"/>
      <c r="R17" s="209"/>
      <c r="S17" s="209"/>
      <c r="T17" s="209"/>
    </row>
    <row r="18" spans="1:20" ht="14.25">
      <c r="A18" s="209"/>
      <c r="B18" s="211"/>
      <c r="C18" s="209" t="s">
        <v>52</v>
      </c>
      <c r="D18" s="209"/>
      <c r="E18" s="209"/>
      <c r="F18" s="209"/>
      <c r="G18" s="209"/>
      <c r="H18" s="209"/>
      <c r="I18" s="209" t="s">
        <v>53</v>
      </c>
      <c r="J18" s="209"/>
      <c r="K18" s="209"/>
      <c r="L18" s="209"/>
      <c r="M18" s="209"/>
      <c r="N18" s="209"/>
      <c r="O18" s="209" t="s">
        <v>54</v>
      </c>
      <c r="P18" s="209"/>
      <c r="Q18" s="209"/>
      <c r="R18" s="209"/>
      <c r="S18" s="209"/>
      <c r="T18" s="209"/>
    </row>
    <row r="19" spans="1:20" ht="14.25">
      <c r="A19" s="209"/>
      <c r="B19" s="211"/>
      <c r="C19" s="209" t="s">
        <v>2</v>
      </c>
      <c r="D19" s="209"/>
      <c r="E19" s="209"/>
      <c r="F19" s="209" t="s">
        <v>3</v>
      </c>
      <c r="G19" s="209"/>
      <c r="H19" s="209"/>
      <c r="I19" s="209" t="s">
        <v>2</v>
      </c>
      <c r="J19" s="209"/>
      <c r="K19" s="209"/>
      <c r="L19" s="209" t="s">
        <v>3</v>
      </c>
      <c r="M19" s="209"/>
      <c r="N19" s="209"/>
      <c r="O19" s="209" t="s">
        <v>2</v>
      </c>
      <c r="P19" s="209"/>
      <c r="Q19" s="209"/>
      <c r="R19" s="209" t="s">
        <v>3</v>
      </c>
      <c r="S19" s="209"/>
      <c r="T19" s="209"/>
    </row>
    <row r="20" spans="1:20" ht="14.25">
      <c r="A20" s="209"/>
      <c r="B20" s="212"/>
      <c r="C20" s="169" t="s">
        <v>5</v>
      </c>
      <c r="D20" s="169" t="s">
        <v>6</v>
      </c>
      <c r="E20" s="169" t="s">
        <v>7</v>
      </c>
      <c r="F20" s="169" t="s">
        <v>5</v>
      </c>
      <c r="G20" s="169" t="s">
        <v>6</v>
      </c>
      <c r="H20" s="169" t="s">
        <v>7</v>
      </c>
      <c r="I20" s="169" t="s">
        <v>5</v>
      </c>
      <c r="J20" s="169" t="s">
        <v>6</v>
      </c>
      <c r="K20" s="169" t="s">
        <v>7</v>
      </c>
      <c r="L20" s="169" t="s">
        <v>5</v>
      </c>
      <c r="M20" s="169" t="s">
        <v>6</v>
      </c>
      <c r="N20" s="169" t="s">
        <v>7</v>
      </c>
      <c r="O20" s="169" t="s">
        <v>5</v>
      </c>
      <c r="P20" s="169" t="s">
        <v>6</v>
      </c>
      <c r="Q20" s="169" t="s">
        <v>7</v>
      </c>
      <c r="R20" s="169" t="s">
        <v>5</v>
      </c>
      <c r="S20" s="169" t="s">
        <v>6</v>
      </c>
      <c r="T20" s="169" t="s">
        <v>7</v>
      </c>
    </row>
    <row r="21" spans="1:20" ht="12.75">
      <c r="A21" s="176">
        <v>1</v>
      </c>
      <c r="B21" s="57">
        <v>2</v>
      </c>
      <c r="C21" s="176">
        <v>3</v>
      </c>
      <c r="D21" s="57">
        <v>4</v>
      </c>
      <c r="E21" s="176">
        <v>5</v>
      </c>
      <c r="F21" s="57">
        <v>6</v>
      </c>
      <c r="G21" s="176">
        <v>7</v>
      </c>
      <c r="H21" s="57">
        <v>8</v>
      </c>
      <c r="I21" s="176">
        <v>9</v>
      </c>
      <c r="J21" s="57">
        <v>10</v>
      </c>
      <c r="K21" s="176">
        <v>11</v>
      </c>
      <c r="L21" s="57">
        <v>12</v>
      </c>
      <c r="M21" s="176">
        <v>13</v>
      </c>
      <c r="N21" s="57">
        <v>14</v>
      </c>
      <c r="O21" s="176">
        <v>15</v>
      </c>
      <c r="P21" s="57">
        <v>16</v>
      </c>
      <c r="Q21" s="176">
        <v>17</v>
      </c>
      <c r="R21" s="57">
        <v>18</v>
      </c>
      <c r="S21" s="176">
        <v>19</v>
      </c>
      <c r="T21" s="176">
        <v>20</v>
      </c>
    </row>
    <row r="22" spans="1:20" ht="15.75">
      <c r="A22" s="170">
        <v>2010</v>
      </c>
      <c r="B22" s="178">
        <v>6</v>
      </c>
      <c r="C22" s="56">
        <v>309135</v>
      </c>
      <c r="D22" s="56">
        <v>214714</v>
      </c>
      <c r="E22" s="56">
        <v>523849</v>
      </c>
      <c r="F22" s="56">
        <v>166883</v>
      </c>
      <c r="G22" s="56">
        <v>106029</v>
      </c>
      <c r="H22" s="56">
        <v>272912</v>
      </c>
      <c r="I22" s="56">
        <v>44666</v>
      </c>
      <c r="J22" s="56">
        <v>27770</v>
      </c>
      <c r="K22" s="56">
        <v>72436</v>
      </c>
      <c r="L22" s="56">
        <v>23557</v>
      </c>
      <c r="M22" s="56">
        <v>13670</v>
      </c>
      <c r="N22" s="56">
        <v>37227</v>
      </c>
      <c r="O22" s="56">
        <v>29962</v>
      </c>
      <c r="P22" s="56">
        <v>25670</v>
      </c>
      <c r="Q22" s="56">
        <v>55632</v>
      </c>
      <c r="R22" s="56">
        <v>14045</v>
      </c>
      <c r="S22" s="56">
        <v>12019</v>
      </c>
      <c r="T22" s="56">
        <v>26064</v>
      </c>
    </row>
    <row r="23" spans="1:20" ht="15.75">
      <c r="A23" s="170">
        <v>2011</v>
      </c>
      <c r="B23" s="178">
        <v>6</v>
      </c>
      <c r="C23" s="56">
        <v>318896</v>
      </c>
      <c r="D23" s="56">
        <v>219066</v>
      </c>
      <c r="E23" s="56">
        <v>537962</v>
      </c>
      <c r="F23" s="56">
        <v>187686</v>
      </c>
      <c r="G23" s="56">
        <v>117295</v>
      </c>
      <c r="H23" s="56">
        <v>304981</v>
      </c>
      <c r="I23" s="56">
        <v>54250</v>
      </c>
      <c r="J23" s="56">
        <v>33662</v>
      </c>
      <c r="K23" s="56">
        <v>87912</v>
      </c>
      <c r="L23" s="56">
        <v>30472</v>
      </c>
      <c r="M23" s="56">
        <v>18269</v>
      </c>
      <c r="N23" s="56">
        <v>48741</v>
      </c>
      <c r="O23" s="56">
        <v>36915</v>
      </c>
      <c r="P23" s="56">
        <v>31149</v>
      </c>
      <c r="Q23" s="56">
        <v>68064</v>
      </c>
      <c r="R23" s="56">
        <v>22923</v>
      </c>
      <c r="S23" s="56">
        <v>16365</v>
      </c>
      <c r="T23" s="56">
        <v>39288</v>
      </c>
    </row>
    <row r="24" spans="1:20" ht="15.75">
      <c r="A24" s="170">
        <v>2012</v>
      </c>
      <c r="B24" s="178">
        <v>6</v>
      </c>
      <c r="C24" s="56">
        <v>347228</v>
      </c>
      <c r="D24" s="56">
        <v>200891</v>
      </c>
      <c r="E24" s="56">
        <v>548119</v>
      </c>
      <c r="F24" s="56">
        <v>217754</v>
      </c>
      <c r="G24" s="56">
        <v>128039</v>
      </c>
      <c r="H24" s="56">
        <v>345793</v>
      </c>
      <c r="I24" s="56">
        <v>56716</v>
      </c>
      <c r="J24" s="56">
        <v>29791</v>
      </c>
      <c r="K24" s="56">
        <v>86507</v>
      </c>
      <c r="L24" s="56">
        <v>35086</v>
      </c>
      <c r="M24" s="56">
        <v>18274</v>
      </c>
      <c r="N24" s="56">
        <v>53360</v>
      </c>
      <c r="O24" s="56">
        <v>39167</v>
      </c>
      <c r="P24" s="56">
        <v>28097</v>
      </c>
      <c r="Q24" s="56">
        <v>67264</v>
      </c>
      <c r="R24" s="56">
        <v>21215</v>
      </c>
      <c r="S24" s="56">
        <v>17900</v>
      </c>
      <c r="T24" s="56">
        <v>39115</v>
      </c>
    </row>
    <row r="25" spans="1:20" ht="15.75">
      <c r="A25" s="170">
        <v>2013</v>
      </c>
      <c r="B25" s="178">
        <v>6</v>
      </c>
      <c r="C25" s="56">
        <v>397611</v>
      </c>
      <c r="D25" s="56">
        <v>212752</v>
      </c>
      <c r="E25" s="56">
        <v>610363</v>
      </c>
      <c r="F25" s="56">
        <v>220126</v>
      </c>
      <c r="G25" s="56">
        <v>128848</v>
      </c>
      <c r="H25" s="56">
        <v>348974</v>
      </c>
      <c r="I25" s="56">
        <v>60124</v>
      </c>
      <c r="J25" s="56">
        <v>29784</v>
      </c>
      <c r="K25" s="56">
        <v>89908</v>
      </c>
      <c r="L25" s="56">
        <v>33032</v>
      </c>
      <c r="M25" s="56">
        <v>16829</v>
      </c>
      <c r="N25" s="56">
        <v>49861</v>
      </c>
      <c r="O25" s="56">
        <v>41501</v>
      </c>
      <c r="P25" s="56">
        <v>34982</v>
      </c>
      <c r="Q25" s="56">
        <v>76483</v>
      </c>
      <c r="R25" s="56">
        <v>22331</v>
      </c>
      <c r="S25" s="56">
        <v>19759</v>
      </c>
      <c r="T25" s="56">
        <v>42090</v>
      </c>
    </row>
    <row r="26" spans="1:20" ht="15.75">
      <c r="A26" s="170">
        <v>2014</v>
      </c>
      <c r="B26" s="178">
        <v>6</v>
      </c>
      <c r="C26" s="56">
        <v>372178</v>
      </c>
      <c r="D26" s="56">
        <v>239081</v>
      </c>
      <c r="E26" s="56">
        <v>611259</v>
      </c>
      <c r="F26" s="56">
        <v>179739</v>
      </c>
      <c r="G26" s="56">
        <v>118181</v>
      </c>
      <c r="H26" s="56">
        <v>297920</v>
      </c>
      <c r="I26" s="56">
        <v>52681</v>
      </c>
      <c r="J26" s="56">
        <v>33237</v>
      </c>
      <c r="K26" s="56">
        <v>85918</v>
      </c>
      <c r="L26" s="56">
        <v>26293</v>
      </c>
      <c r="M26" s="56">
        <v>18021</v>
      </c>
      <c r="N26" s="56">
        <v>44314</v>
      </c>
      <c r="O26" s="56">
        <v>43762</v>
      </c>
      <c r="P26" s="56">
        <v>40573</v>
      </c>
      <c r="Q26" s="56">
        <v>84335</v>
      </c>
      <c r="R26" s="56">
        <v>20411</v>
      </c>
      <c r="S26" s="56">
        <v>18876</v>
      </c>
      <c r="T26" s="56">
        <v>39287</v>
      </c>
    </row>
    <row r="27" spans="1:20" ht="15.75">
      <c r="A27" s="170">
        <v>2015</v>
      </c>
      <c r="B27" s="178">
        <v>6</v>
      </c>
      <c r="C27" s="56">
        <v>213979</v>
      </c>
      <c r="D27" s="56">
        <v>157478</v>
      </c>
      <c r="E27" s="56">
        <v>371457</v>
      </c>
      <c r="F27" s="56">
        <v>137173</v>
      </c>
      <c r="G27" s="56">
        <v>97881</v>
      </c>
      <c r="H27" s="56">
        <v>235054</v>
      </c>
      <c r="I27" s="56">
        <v>33829</v>
      </c>
      <c r="J27" s="56">
        <v>23828</v>
      </c>
      <c r="K27" s="56">
        <v>57657</v>
      </c>
      <c r="L27" s="56">
        <v>22432</v>
      </c>
      <c r="M27" s="56">
        <v>16629</v>
      </c>
      <c r="N27" s="56">
        <v>39061</v>
      </c>
      <c r="O27" s="56">
        <v>27689</v>
      </c>
      <c r="P27" s="56">
        <v>25193</v>
      </c>
      <c r="Q27" s="56">
        <v>53213</v>
      </c>
      <c r="R27" s="56">
        <v>18160</v>
      </c>
      <c r="S27" s="56">
        <v>16443</v>
      </c>
      <c r="T27" s="56">
        <v>34603</v>
      </c>
    </row>
    <row r="28" spans="1:20" ht="15.75">
      <c r="A28" s="170">
        <v>2016</v>
      </c>
      <c r="B28" s="178">
        <v>7</v>
      </c>
      <c r="C28" s="56">
        <f>+OpenBoard!C15</f>
        <v>373506</v>
      </c>
      <c r="D28" s="56">
        <f>+OpenBoard!D15</f>
        <v>240632</v>
      </c>
      <c r="E28" s="56">
        <f>+OpenBoard!E15</f>
        <v>614138</v>
      </c>
      <c r="F28" s="56">
        <f>+OpenBoard!F15</f>
        <v>148004</v>
      </c>
      <c r="G28" s="56">
        <f>+OpenBoard!G15</f>
        <v>105116</v>
      </c>
      <c r="H28" s="56">
        <f>+OpenBoard!H15</f>
        <v>253120</v>
      </c>
      <c r="I28" s="56">
        <f>+OpenBoard!I15</f>
        <v>117348</v>
      </c>
      <c r="J28" s="56">
        <f>+OpenBoard!J15</f>
        <v>65224</v>
      </c>
      <c r="K28" s="56">
        <f>+OpenBoard!K15</f>
        <v>182572</v>
      </c>
      <c r="L28" s="56">
        <f>+OpenBoard!L15</f>
        <v>47203</v>
      </c>
      <c r="M28" s="56">
        <f>+OpenBoard!M15</f>
        <v>28752</v>
      </c>
      <c r="N28" s="56">
        <f>+OpenBoard!N15</f>
        <v>75955</v>
      </c>
      <c r="O28" s="56">
        <f>+OpenBoard!O15</f>
        <v>52907</v>
      </c>
      <c r="P28" s="56">
        <f>+OpenBoard!P15</f>
        <v>38349</v>
      </c>
      <c r="Q28" s="56">
        <f>+OpenBoard!Q15</f>
        <v>91256</v>
      </c>
      <c r="R28" s="56">
        <f>+OpenBoard!R15</f>
        <v>20222</v>
      </c>
      <c r="S28" s="56">
        <f>+OpenBoard!S15</f>
        <v>14997</v>
      </c>
      <c r="T28" s="56">
        <f>+OpenBoard!T15</f>
        <v>35219</v>
      </c>
    </row>
    <row r="29" ht="15.75">
      <c r="B29" s="179"/>
    </row>
    <row r="30" ht="15.75">
      <c r="B30" s="179"/>
    </row>
    <row r="31" ht="15.75">
      <c r="B31" s="179"/>
    </row>
    <row r="32" spans="1:20" ht="18">
      <c r="A32" s="1"/>
      <c r="B32" s="179"/>
      <c r="C32" s="55" t="s">
        <v>88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 t="str">
        <f>+C32</f>
        <v>Statement 3 - SECONDARY EXAMINATION RESULTS DURING 2010 - 2016 (ALL)</v>
      </c>
      <c r="P32" s="55"/>
      <c r="Q32" s="55"/>
      <c r="R32" s="55"/>
      <c r="S32" s="55"/>
      <c r="T32" s="55"/>
    </row>
    <row r="33" spans="1:20" ht="14.25">
      <c r="A33" s="209" t="s">
        <v>55</v>
      </c>
      <c r="B33" s="209" t="s">
        <v>83</v>
      </c>
      <c r="C33" s="209" t="s">
        <v>1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 t="s">
        <v>1</v>
      </c>
      <c r="P33" s="209"/>
      <c r="Q33" s="209"/>
      <c r="R33" s="209"/>
      <c r="S33" s="209"/>
      <c r="T33" s="209"/>
    </row>
    <row r="34" spans="1:20" ht="14.25">
      <c r="A34" s="209"/>
      <c r="B34" s="209"/>
      <c r="C34" s="209" t="s">
        <v>52</v>
      </c>
      <c r="D34" s="209"/>
      <c r="E34" s="209"/>
      <c r="F34" s="209"/>
      <c r="G34" s="209"/>
      <c r="H34" s="209"/>
      <c r="I34" s="209" t="s">
        <v>53</v>
      </c>
      <c r="J34" s="209"/>
      <c r="K34" s="209"/>
      <c r="L34" s="209"/>
      <c r="M34" s="209"/>
      <c r="N34" s="209"/>
      <c r="O34" s="209" t="s">
        <v>54</v>
      </c>
      <c r="P34" s="209"/>
      <c r="Q34" s="209"/>
      <c r="R34" s="209"/>
      <c r="S34" s="209"/>
      <c r="T34" s="209"/>
    </row>
    <row r="35" spans="1:20" ht="14.25">
      <c r="A35" s="209"/>
      <c r="B35" s="209"/>
      <c r="C35" s="209" t="s">
        <v>2</v>
      </c>
      <c r="D35" s="209"/>
      <c r="E35" s="209"/>
      <c r="F35" s="209" t="s">
        <v>3</v>
      </c>
      <c r="G35" s="209"/>
      <c r="H35" s="209"/>
      <c r="I35" s="209" t="s">
        <v>2</v>
      </c>
      <c r="J35" s="209"/>
      <c r="K35" s="209"/>
      <c r="L35" s="209" t="s">
        <v>3</v>
      </c>
      <c r="M35" s="209"/>
      <c r="N35" s="209"/>
      <c r="O35" s="209" t="s">
        <v>2</v>
      </c>
      <c r="P35" s="209"/>
      <c r="Q35" s="209"/>
      <c r="R35" s="209" t="s">
        <v>3</v>
      </c>
      <c r="S35" s="209"/>
      <c r="T35" s="209"/>
    </row>
    <row r="36" spans="1:20" ht="14.25">
      <c r="A36" s="209"/>
      <c r="B36" s="209"/>
      <c r="C36" s="169" t="s">
        <v>5</v>
      </c>
      <c r="D36" s="169" t="s">
        <v>6</v>
      </c>
      <c r="E36" s="169" t="s">
        <v>7</v>
      </c>
      <c r="F36" s="169" t="s">
        <v>5</v>
      </c>
      <c r="G36" s="169" t="s">
        <v>6</v>
      </c>
      <c r="H36" s="169" t="s">
        <v>7</v>
      </c>
      <c r="I36" s="169" t="s">
        <v>5</v>
      </c>
      <c r="J36" s="169" t="s">
        <v>6</v>
      </c>
      <c r="K36" s="169" t="s">
        <v>7</v>
      </c>
      <c r="L36" s="169" t="s">
        <v>5</v>
      </c>
      <c r="M36" s="169" t="s">
        <v>6</v>
      </c>
      <c r="N36" s="169" t="s">
        <v>7</v>
      </c>
      <c r="O36" s="169" t="s">
        <v>5</v>
      </c>
      <c r="P36" s="169" t="s">
        <v>6</v>
      </c>
      <c r="Q36" s="169" t="s">
        <v>7</v>
      </c>
      <c r="R36" s="169" t="s">
        <v>5</v>
      </c>
      <c r="S36" s="169" t="s">
        <v>6</v>
      </c>
      <c r="T36" s="169" t="s">
        <v>7</v>
      </c>
    </row>
    <row r="37" spans="1:20" ht="12.75">
      <c r="A37" s="57">
        <v>1</v>
      </c>
      <c r="B37" s="57">
        <v>2</v>
      </c>
      <c r="C37" s="57">
        <v>3</v>
      </c>
      <c r="D37" s="57">
        <v>4</v>
      </c>
      <c r="E37" s="57">
        <v>5</v>
      </c>
      <c r="F37" s="57">
        <v>6</v>
      </c>
      <c r="G37" s="57">
        <v>7</v>
      </c>
      <c r="H37" s="57">
        <v>8</v>
      </c>
      <c r="I37" s="57">
        <v>9</v>
      </c>
      <c r="J37" s="57">
        <v>10</v>
      </c>
      <c r="K37" s="57">
        <v>11</v>
      </c>
      <c r="L37" s="57">
        <v>12</v>
      </c>
      <c r="M37" s="57">
        <v>13</v>
      </c>
      <c r="N37" s="57">
        <v>14</v>
      </c>
      <c r="O37" s="57">
        <v>15</v>
      </c>
      <c r="P37" s="57">
        <v>16</v>
      </c>
      <c r="Q37" s="57">
        <v>17</v>
      </c>
      <c r="R37" s="57">
        <v>18</v>
      </c>
      <c r="S37" s="57">
        <v>19</v>
      </c>
      <c r="T37" s="57">
        <v>20</v>
      </c>
    </row>
    <row r="38" spans="1:20" ht="15.75">
      <c r="A38" s="171">
        <v>2010</v>
      </c>
      <c r="B38" s="178">
        <f aca="true" t="shared" si="0" ref="B38:T38">+B7+B22</f>
        <v>40</v>
      </c>
      <c r="C38" s="56">
        <f t="shared" si="0"/>
        <v>9684041</v>
      </c>
      <c r="D38" s="56">
        <f t="shared" si="0"/>
        <v>7565925</v>
      </c>
      <c r="E38" s="56">
        <f t="shared" si="0"/>
        <v>17249966</v>
      </c>
      <c r="F38" s="56">
        <f t="shared" si="0"/>
        <v>7029237</v>
      </c>
      <c r="G38" s="56">
        <f t="shared" si="0"/>
        <v>5793147</v>
      </c>
      <c r="H38" s="56">
        <f t="shared" si="0"/>
        <v>12822384</v>
      </c>
      <c r="I38" s="56">
        <f t="shared" si="0"/>
        <v>1562519</v>
      </c>
      <c r="J38" s="56">
        <f t="shared" si="0"/>
        <v>1197413</v>
      </c>
      <c r="K38" s="56">
        <f t="shared" si="0"/>
        <v>2759932</v>
      </c>
      <c r="L38" s="56">
        <f t="shared" si="0"/>
        <v>1043901</v>
      </c>
      <c r="M38" s="56">
        <f t="shared" si="0"/>
        <v>847979</v>
      </c>
      <c r="N38" s="56">
        <f t="shared" si="0"/>
        <v>1891880</v>
      </c>
      <c r="O38" s="56">
        <f t="shared" si="0"/>
        <v>643452</v>
      </c>
      <c r="P38" s="56">
        <f t="shared" si="0"/>
        <v>502036</v>
      </c>
      <c r="Q38" s="56">
        <f t="shared" si="0"/>
        <v>1145488</v>
      </c>
      <c r="R38" s="56">
        <f t="shared" si="0"/>
        <v>396628</v>
      </c>
      <c r="S38" s="56">
        <f t="shared" si="0"/>
        <v>305158</v>
      </c>
      <c r="T38" s="56">
        <f t="shared" si="0"/>
        <v>701786</v>
      </c>
    </row>
    <row r="39" spans="1:20" ht="15.75">
      <c r="A39" s="170">
        <v>2011</v>
      </c>
      <c r="B39" s="178">
        <f aca="true" t="shared" si="1" ref="B39:T39">+B8+B23</f>
        <v>40</v>
      </c>
      <c r="C39" s="56">
        <f t="shared" si="1"/>
        <v>10118563</v>
      </c>
      <c r="D39" s="56">
        <f t="shared" si="1"/>
        <v>8037937</v>
      </c>
      <c r="E39" s="56">
        <f t="shared" si="1"/>
        <v>18161271</v>
      </c>
      <c r="F39" s="56">
        <f t="shared" si="1"/>
        <v>7371246</v>
      </c>
      <c r="G39" s="56">
        <f t="shared" si="1"/>
        <v>6131148</v>
      </c>
      <c r="H39" s="56">
        <f t="shared" si="1"/>
        <v>13504606</v>
      </c>
      <c r="I39" s="56">
        <f t="shared" si="1"/>
        <v>1742153</v>
      </c>
      <c r="J39" s="56">
        <f t="shared" si="1"/>
        <v>1413230</v>
      </c>
      <c r="K39" s="56">
        <f t="shared" si="1"/>
        <v>3155383</v>
      </c>
      <c r="L39" s="56">
        <f t="shared" si="1"/>
        <v>1181106</v>
      </c>
      <c r="M39" s="56">
        <f t="shared" si="1"/>
        <v>996222</v>
      </c>
      <c r="N39" s="56">
        <f t="shared" si="1"/>
        <v>2177328</v>
      </c>
      <c r="O39" s="56">
        <f t="shared" si="1"/>
        <v>698190</v>
      </c>
      <c r="P39" s="56">
        <f t="shared" si="1"/>
        <v>562449</v>
      </c>
      <c r="Q39" s="56">
        <f t="shared" si="1"/>
        <v>1260639</v>
      </c>
      <c r="R39" s="56">
        <f t="shared" si="1"/>
        <v>438353</v>
      </c>
      <c r="S39" s="56">
        <f t="shared" si="1"/>
        <v>349358</v>
      </c>
      <c r="T39" s="56">
        <f t="shared" si="1"/>
        <v>787711</v>
      </c>
    </row>
    <row r="40" spans="1:20" ht="15.75">
      <c r="A40" s="171">
        <v>2012</v>
      </c>
      <c r="B40" s="178">
        <f aca="true" t="shared" si="2" ref="B40:T40">+B9+B24</f>
        <v>40</v>
      </c>
      <c r="C40" s="56">
        <f t="shared" si="2"/>
        <v>10287144</v>
      </c>
      <c r="D40" s="56">
        <f t="shared" si="2"/>
        <v>8287633</v>
      </c>
      <c r="E40" s="56">
        <f t="shared" si="2"/>
        <v>18574777</v>
      </c>
      <c r="F40" s="56">
        <f t="shared" si="2"/>
        <v>7648530</v>
      </c>
      <c r="G40" s="56">
        <f t="shared" si="2"/>
        <v>6462590</v>
      </c>
      <c r="H40" s="56">
        <f t="shared" si="2"/>
        <v>14111120</v>
      </c>
      <c r="I40" s="56">
        <f t="shared" si="2"/>
        <v>1653275</v>
      </c>
      <c r="J40" s="56">
        <f t="shared" si="2"/>
        <v>1315217</v>
      </c>
      <c r="K40" s="56">
        <f t="shared" si="2"/>
        <v>2968492</v>
      </c>
      <c r="L40" s="56">
        <f t="shared" si="2"/>
        <v>1132109</v>
      </c>
      <c r="M40" s="56">
        <f t="shared" si="2"/>
        <v>950433</v>
      </c>
      <c r="N40" s="56">
        <f t="shared" si="2"/>
        <v>2082542</v>
      </c>
      <c r="O40" s="56">
        <f t="shared" si="2"/>
        <v>677858</v>
      </c>
      <c r="P40" s="56">
        <f t="shared" si="2"/>
        <v>575279</v>
      </c>
      <c r="Q40" s="56">
        <f t="shared" si="2"/>
        <v>1253137</v>
      </c>
      <c r="R40" s="56">
        <f t="shared" si="2"/>
        <v>416962</v>
      </c>
      <c r="S40" s="56">
        <f t="shared" si="2"/>
        <v>352776</v>
      </c>
      <c r="T40" s="56">
        <f t="shared" si="2"/>
        <v>769738</v>
      </c>
    </row>
    <row r="41" spans="1:20" ht="15.75">
      <c r="A41" s="170">
        <v>2013</v>
      </c>
      <c r="B41" s="178">
        <f aca="true" t="shared" si="3" ref="B41:T41">+B10+B25</f>
        <v>41</v>
      </c>
      <c r="C41" s="56">
        <f t="shared" si="3"/>
        <v>10904655</v>
      </c>
      <c r="D41" s="56">
        <f t="shared" si="3"/>
        <v>8829960</v>
      </c>
      <c r="E41" s="56">
        <f t="shared" si="3"/>
        <v>19734615</v>
      </c>
      <c r="F41" s="56">
        <f t="shared" si="3"/>
        <v>8257716</v>
      </c>
      <c r="G41" s="56">
        <f t="shared" si="3"/>
        <v>7061772</v>
      </c>
      <c r="H41" s="56">
        <f t="shared" si="3"/>
        <v>15319488</v>
      </c>
      <c r="I41" s="56">
        <f t="shared" si="3"/>
        <v>1825760</v>
      </c>
      <c r="J41" s="56">
        <f t="shared" si="3"/>
        <v>1489446</v>
      </c>
      <c r="K41" s="56">
        <f t="shared" si="3"/>
        <v>3315206</v>
      </c>
      <c r="L41" s="56">
        <f t="shared" si="3"/>
        <v>1265090</v>
      </c>
      <c r="M41" s="56">
        <f t="shared" si="3"/>
        <v>1093073</v>
      </c>
      <c r="N41" s="56">
        <f t="shared" si="3"/>
        <v>2358163</v>
      </c>
      <c r="O41" s="56">
        <f t="shared" si="3"/>
        <v>787070</v>
      </c>
      <c r="P41" s="56">
        <f t="shared" si="3"/>
        <v>691945</v>
      </c>
      <c r="Q41" s="56">
        <f t="shared" si="3"/>
        <v>1479015</v>
      </c>
      <c r="R41" s="56">
        <f t="shared" si="3"/>
        <v>502983</v>
      </c>
      <c r="S41" s="56">
        <f t="shared" si="3"/>
        <v>446062</v>
      </c>
      <c r="T41" s="56">
        <f t="shared" si="3"/>
        <v>949045</v>
      </c>
    </row>
    <row r="42" spans="1:20" ht="15.75">
      <c r="A42" s="170">
        <v>2014</v>
      </c>
      <c r="B42" s="178">
        <f aca="true" t="shared" si="4" ref="B42:T42">+B11+B26</f>
        <v>41</v>
      </c>
      <c r="C42" s="56">
        <f t="shared" si="4"/>
        <v>10601867</v>
      </c>
      <c r="D42" s="56">
        <f t="shared" si="4"/>
        <v>8864399</v>
      </c>
      <c r="E42" s="56">
        <f t="shared" si="4"/>
        <v>19466266</v>
      </c>
      <c r="F42" s="56">
        <f t="shared" si="4"/>
        <v>8221455</v>
      </c>
      <c r="G42" s="56">
        <f t="shared" si="4"/>
        <v>7171919</v>
      </c>
      <c r="H42" s="56">
        <f t="shared" si="4"/>
        <v>15393374</v>
      </c>
      <c r="I42" s="56">
        <f t="shared" si="4"/>
        <v>1808730</v>
      </c>
      <c r="J42" s="56">
        <f t="shared" si="4"/>
        <v>1518501</v>
      </c>
      <c r="K42" s="56">
        <f t="shared" si="4"/>
        <v>3327231</v>
      </c>
      <c r="L42" s="56">
        <f t="shared" si="4"/>
        <v>1294748</v>
      </c>
      <c r="M42" s="56">
        <f t="shared" si="4"/>
        <v>1142190</v>
      </c>
      <c r="N42" s="56">
        <f t="shared" si="4"/>
        <v>2436938</v>
      </c>
      <c r="O42" s="56">
        <f t="shared" si="4"/>
        <v>801513</v>
      </c>
      <c r="P42" s="56">
        <f t="shared" si="4"/>
        <v>735177</v>
      </c>
      <c r="Q42" s="56">
        <f t="shared" si="4"/>
        <v>1536690</v>
      </c>
      <c r="R42" s="56">
        <f t="shared" si="4"/>
        <v>522123</v>
      </c>
      <c r="S42" s="56">
        <f t="shared" si="4"/>
        <v>469796</v>
      </c>
      <c r="T42" s="56">
        <f t="shared" si="4"/>
        <v>991919</v>
      </c>
    </row>
    <row r="43" spans="1:20" ht="15.75">
      <c r="A43" s="170">
        <v>2015</v>
      </c>
      <c r="B43" s="178">
        <f aca="true" t="shared" si="5" ref="B43:T43">+B12+B27</f>
        <v>41</v>
      </c>
      <c r="C43" s="56">
        <f t="shared" si="5"/>
        <v>10292567</v>
      </c>
      <c r="D43" s="56">
        <f t="shared" si="5"/>
        <v>8865570</v>
      </c>
      <c r="E43" s="56">
        <f t="shared" si="5"/>
        <v>19158137</v>
      </c>
      <c r="F43" s="56">
        <f t="shared" si="5"/>
        <v>7968166</v>
      </c>
      <c r="G43" s="56">
        <f t="shared" si="5"/>
        <v>7136789</v>
      </c>
      <c r="H43" s="56">
        <f t="shared" si="5"/>
        <v>15104955</v>
      </c>
      <c r="I43" s="56">
        <f t="shared" si="5"/>
        <v>1762729</v>
      </c>
      <c r="J43" s="56">
        <f t="shared" si="5"/>
        <v>1519038</v>
      </c>
      <c r="K43" s="56">
        <f t="shared" si="5"/>
        <v>3281767</v>
      </c>
      <c r="L43" s="56">
        <f t="shared" si="5"/>
        <v>1266714</v>
      </c>
      <c r="M43" s="56">
        <f t="shared" si="5"/>
        <v>1136130</v>
      </c>
      <c r="N43" s="56">
        <f t="shared" si="5"/>
        <v>2402844</v>
      </c>
      <c r="O43" s="56">
        <f t="shared" si="5"/>
        <v>783988</v>
      </c>
      <c r="P43" s="56">
        <f t="shared" si="5"/>
        <v>736790</v>
      </c>
      <c r="Q43" s="56">
        <f t="shared" si="5"/>
        <v>1521109</v>
      </c>
      <c r="R43" s="56">
        <f t="shared" si="5"/>
        <v>509950</v>
      </c>
      <c r="S43" s="56">
        <f t="shared" si="5"/>
        <v>466163</v>
      </c>
      <c r="T43" s="56">
        <f t="shared" si="5"/>
        <v>976113</v>
      </c>
    </row>
    <row r="44" spans="1:20" ht="15.75">
      <c r="A44" s="170">
        <v>2016</v>
      </c>
      <c r="B44" s="178">
        <f aca="true" t="shared" si="6" ref="B44:T44">+B13+B28</f>
        <v>49</v>
      </c>
      <c r="C44" s="56">
        <f t="shared" si="6"/>
        <v>10820446</v>
      </c>
      <c r="D44" s="56">
        <f t="shared" si="6"/>
        <v>9189510</v>
      </c>
      <c r="E44" s="56">
        <f t="shared" si="6"/>
        <v>20009956</v>
      </c>
      <c r="F44" s="56">
        <f t="shared" si="6"/>
        <v>8266497</v>
      </c>
      <c r="G44" s="56">
        <f t="shared" si="6"/>
        <v>7245671</v>
      </c>
      <c r="H44" s="56">
        <f t="shared" si="6"/>
        <v>15512168</v>
      </c>
      <c r="I44" s="56">
        <f t="shared" si="6"/>
        <v>1958214</v>
      </c>
      <c r="J44" s="56">
        <f t="shared" si="6"/>
        <v>1656040</v>
      </c>
      <c r="K44" s="56">
        <f t="shared" si="6"/>
        <v>3614254</v>
      </c>
      <c r="L44" s="56">
        <f t="shared" si="6"/>
        <v>1371876</v>
      </c>
      <c r="M44" s="56">
        <f t="shared" si="6"/>
        <v>1215805</v>
      </c>
      <c r="N44" s="56">
        <f t="shared" si="6"/>
        <v>2587681</v>
      </c>
      <c r="O44" s="56">
        <f t="shared" si="6"/>
        <v>832040</v>
      </c>
      <c r="P44" s="56">
        <f t="shared" si="6"/>
        <v>773005</v>
      </c>
      <c r="Q44" s="56">
        <f t="shared" si="6"/>
        <v>1605045</v>
      </c>
      <c r="R44" s="56">
        <f t="shared" si="6"/>
        <v>527895</v>
      </c>
      <c r="S44" s="56">
        <f t="shared" si="6"/>
        <v>491874</v>
      </c>
      <c r="T44" s="56">
        <f t="shared" si="6"/>
        <v>1019769</v>
      </c>
    </row>
    <row r="45" ht="15.75">
      <c r="C45" s="173"/>
    </row>
    <row r="46" ht="15.75">
      <c r="C46" s="173"/>
    </row>
    <row r="47" ht="15.75">
      <c r="C47" s="173"/>
    </row>
  </sheetData>
  <sheetProtection/>
  <mergeCells count="39">
    <mergeCell ref="B2:B5"/>
    <mergeCell ref="B17:B20"/>
    <mergeCell ref="B33:B36"/>
    <mergeCell ref="O19:Q19"/>
    <mergeCell ref="I4:K4"/>
    <mergeCell ref="L4:N4"/>
    <mergeCell ref="O35:Q35"/>
    <mergeCell ref="F19:H19"/>
    <mergeCell ref="I19:K19"/>
    <mergeCell ref="R35:T35"/>
    <mergeCell ref="I35:K35"/>
    <mergeCell ref="L19:N19"/>
    <mergeCell ref="A17:A20"/>
    <mergeCell ref="C17:N17"/>
    <mergeCell ref="O17:T17"/>
    <mergeCell ref="C18:H18"/>
    <mergeCell ref="I18:N18"/>
    <mergeCell ref="O18:T18"/>
    <mergeCell ref="C19:E19"/>
    <mergeCell ref="R19:T19"/>
    <mergeCell ref="A2:A5"/>
    <mergeCell ref="C2:N2"/>
    <mergeCell ref="O2:T2"/>
    <mergeCell ref="C3:H3"/>
    <mergeCell ref="I3:N3"/>
    <mergeCell ref="O3:T3"/>
    <mergeCell ref="C4:E4"/>
    <mergeCell ref="F4:H4"/>
    <mergeCell ref="O4:Q4"/>
    <mergeCell ref="R4:T4"/>
    <mergeCell ref="A33:A36"/>
    <mergeCell ref="C33:N33"/>
    <mergeCell ref="O33:T33"/>
    <mergeCell ref="C34:H34"/>
    <mergeCell ref="I34:N34"/>
    <mergeCell ref="O34:T34"/>
    <mergeCell ref="C35:E35"/>
    <mergeCell ref="F35:H35"/>
    <mergeCell ref="L35:N35"/>
  </mergeCells>
  <printOptions/>
  <pageMargins left="0.7480314960629921" right="1.4566929133858268" top="0.6692913385826772" bottom="0.4330708661417323" header="0.5511811023622047" footer="0.31496062992125984"/>
  <pageSetup firstPageNumber="30" useFirstPageNumber="1" horizontalDpi="600" verticalDpi="600" orientation="landscape" paperSize="9" scale="75" r:id="rId1"/>
  <headerFooter alignWithMargins="0">
    <oddFooter>&amp;CX-2016&amp;R&amp;P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28125" style="0" customWidth="1"/>
    <col min="2" max="2" width="10.140625" style="0" customWidth="1"/>
    <col min="3" max="3" width="13.57421875" style="0" customWidth="1"/>
    <col min="4" max="4" width="10.7109375" style="0" customWidth="1"/>
    <col min="5" max="5" width="12.00390625" style="0" customWidth="1"/>
    <col min="6" max="6" width="11.7109375" style="0" customWidth="1"/>
    <col min="7" max="7" width="10.8515625" style="0" customWidth="1"/>
    <col min="8" max="8" width="13.28125" style="0" customWidth="1"/>
    <col min="9" max="9" width="11.57421875" style="0" customWidth="1"/>
    <col min="10" max="10" width="10.57421875" style="0" customWidth="1"/>
    <col min="11" max="11" width="11.7109375" style="0" customWidth="1"/>
  </cols>
  <sheetData>
    <row r="1" spans="1:11" ht="15.75" customHeight="1">
      <c r="A1" s="213" t="s">
        <v>89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4.25" customHeight="1">
      <c r="A2" s="214" t="s">
        <v>55</v>
      </c>
      <c r="B2" s="210" t="s">
        <v>83</v>
      </c>
      <c r="C2" s="207" t="s">
        <v>52</v>
      </c>
      <c r="D2" s="208"/>
      <c r="E2" s="216"/>
      <c r="F2" s="207" t="s">
        <v>53</v>
      </c>
      <c r="G2" s="208"/>
      <c r="H2" s="216"/>
      <c r="I2" s="207" t="s">
        <v>54</v>
      </c>
      <c r="J2" s="208"/>
      <c r="K2" s="216"/>
    </row>
    <row r="3" spans="1:11" ht="14.25">
      <c r="A3" s="215"/>
      <c r="B3" s="211"/>
      <c r="C3" s="35" t="s">
        <v>5</v>
      </c>
      <c r="D3" s="35" t="s">
        <v>6</v>
      </c>
      <c r="E3" s="35" t="s">
        <v>7</v>
      </c>
      <c r="F3" s="35" t="s">
        <v>5</v>
      </c>
      <c r="G3" s="35" t="s">
        <v>6</v>
      </c>
      <c r="H3" s="35" t="s">
        <v>7</v>
      </c>
      <c r="I3" s="35" t="s">
        <v>5</v>
      </c>
      <c r="J3" s="35" t="s">
        <v>6</v>
      </c>
      <c r="K3" s="35" t="s">
        <v>7</v>
      </c>
    </row>
    <row r="4" spans="1:11" ht="15.75">
      <c r="A4" s="45">
        <v>2010</v>
      </c>
      <c r="B4" s="178">
        <v>34</v>
      </c>
      <c r="C4" s="38">
        <f>+TS!F7/TS!C7%</f>
        <v>73.19917661041082</v>
      </c>
      <c r="D4" s="38">
        <f>+TS!G7/TS!D7%</f>
        <v>77.36300862538158</v>
      </c>
      <c r="E4" s="38">
        <f>+TS!H7/TS!E7%</f>
        <v>75.02920133824246</v>
      </c>
      <c r="F4" s="38">
        <f>+TS!L7/TS!I7%</f>
        <v>67.22284700824125</v>
      </c>
      <c r="G4" s="38">
        <f>+TS!M7/TS!J7%</f>
        <v>71.3302264024151</v>
      </c>
      <c r="H4" s="38">
        <f>+TS!N7/TS!K7%</f>
        <v>69.01044689926981</v>
      </c>
      <c r="I4" s="38">
        <f>+TS!R7/TS!O7%</f>
        <v>62.36173368759067</v>
      </c>
      <c r="J4" s="38">
        <f>+TS!S7/TS!P7%</f>
        <v>61.53650764328269</v>
      </c>
      <c r="K4" s="38">
        <f>+TS!T7/TS!Q7%</f>
        <v>62.001034999119156</v>
      </c>
    </row>
    <row r="5" spans="1:11" ht="15.75">
      <c r="A5" s="46">
        <v>2011</v>
      </c>
      <c r="B5" s="178">
        <v>34</v>
      </c>
      <c r="C5" s="38">
        <f>+TS!F8/TS!C8%</f>
        <v>73.3041234972576</v>
      </c>
      <c r="D5" s="38">
        <f>+TS!G8/TS!D8%</f>
        <v>76.91459547036905</v>
      </c>
      <c r="E5" s="38">
        <f>+TS!H8/TS!E8%</f>
        <v>74.89867538496885</v>
      </c>
      <c r="F5" s="38">
        <f>+TS!L8/TS!I8%</f>
        <v>68.1694386466521</v>
      </c>
      <c r="G5" s="38">
        <f>+TS!M8/TS!J8%</f>
        <v>70.88835055611612</v>
      </c>
      <c r="H5" s="38">
        <f>+TS!N8/TS!K8%</f>
        <v>69.39224527306045</v>
      </c>
      <c r="I5" s="38">
        <f>+TS!R8/TS!O8%</f>
        <v>62.82257759631016</v>
      </c>
      <c r="J5" s="38">
        <f>+TS!S8/TS!P8%</f>
        <v>62.675136457745154</v>
      </c>
      <c r="K5" s="38">
        <f>+TS!T8/TS!Q8%</f>
        <v>62.75689160010901</v>
      </c>
    </row>
    <row r="6" spans="1:11" ht="15.75">
      <c r="A6" s="45">
        <v>2012</v>
      </c>
      <c r="B6" s="178">
        <v>34</v>
      </c>
      <c r="C6" s="38">
        <f>+TS!F9/TS!C9%</f>
        <v>74.75692953542062</v>
      </c>
      <c r="D6" s="38">
        <f>+TS!G9/TS!D9%</f>
        <v>78.33254727305508</v>
      </c>
      <c r="E6" s="38">
        <f>+TS!H9/TS!E9%</f>
        <v>76.36094832442043</v>
      </c>
      <c r="F6" s="38">
        <f>+TS!L9/TS!I9%</f>
        <v>68.71171062265785</v>
      </c>
      <c r="G6" s="38">
        <f>+TS!M9/TS!J9%</f>
        <v>72.51751559405209</v>
      </c>
      <c r="H6" s="38">
        <f>+TS!N9/TS!K9%</f>
        <v>70.40917978407244</v>
      </c>
      <c r="I6" s="38">
        <f>+TS!R9/TS!O9%</f>
        <v>61.962200813852085</v>
      </c>
      <c r="J6" s="38">
        <f>+TS!S9/TS!P9%</f>
        <v>61.2001125768026</v>
      </c>
      <c r="K6" s="38">
        <f>+TS!T9/TS!Q9%</f>
        <v>61.61056032138349</v>
      </c>
    </row>
    <row r="7" spans="1:11" ht="15.75">
      <c r="A7" s="46">
        <v>2013</v>
      </c>
      <c r="B7" s="178">
        <v>35</v>
      </c>
      <c r="C7" s="38">
        <f>+TS!F10/TS!C10%</f>
        <v>76.49715752594165</v>
      </c>
      <c r="D7" s="38">
        <f>+TS!G10/TS!D10%</f>
        <v>80.4544116841557</v>
      </c>
      <c r="E7" s="38">
        <f>+TS!H10/TS!E10%</f>
        <v>78.280259013529</v>
      </c>
      <c r="F7" s="38">
        <f>+TS!L10/TS!I10%</f>
        <v>69.77984137160773</v>
      </c>
      <c r="G7" s="38">
        <f>+TS!M10/TS!J10%</f>
        <v>73.73241202415353</v>
      </c>
      <c r="H7" s="38">
        <f>+TS!N10/TS!K10%</f>
        <v>71.5686426494544</v>
      </c>
      <c r="I7" s="38">
        <f>+TS!R10/TS!O10%</f>
        <v>64.4678091497903</v>
      </c>
      <c r="J7" s="38">
        <f>+TS!S10/TS!P10%</f>
        <v>64.8899557509327</v>
      </c>
      <c r="K7" s="38">
        <f>+TS!T10/TS!Q10%</f>
        <v>64.66554773794823</v>
      </c>
    </row>
    <row r="8" spans="1:11" ht="15.75">
      <c r="A8" s="45">
        <v>2014</v>
      </c>
      <c r="B8" s="178">
        <v>35</v>
      </c>
      <c r="C8" s="38">
        <f>+TS!F11/TS!C11%</f>
        <v>78.61153941239074</v>
      </c>
      <c r="D8" s="38">
        <f>+TS!G11/TS!D11%</f>
        <v>81.77945439229023</v>
      </c>
      <c r="E8" s="38">
        <f>+TS!H11/TS!E11%</f>
        <v>80.0607180893648</v>
      </c>
      <c r="F8" s="38">
        <f>+TS!L11/TS!I11%</f>
        <v>72.23346273367086</v>
      </c>
      <c r="G8" s="38">
        <f>+TS!M11/TS!J11%</f>
        <v>75.6881604886404</v>
      </c>
      <c r="H8" s="38">
        <f>+TS!N11/TS!K11%</f>
        <v>73.8165058419227</v>
      </c>
      <c r="I8" s="38">
        <f>+TS!R11/TS!O11%</f>
        <v>66.21066814824394</v>
      </c>
      <c r="J8" s="38">
        <f>+TS!S11/TS!P11%</f>
        <v>64.9175645403712</v>
      </c>
      <c r="K8" s="38">
        <f>+TS!T11/TS!Q11%</f>
        <v>65.59222779554585</v>
      </c>
    </row>
    <row r="9" spans="1:11" ht="15.75">
      <c r="A9" s="46">
        <v>2015</v>
      </c>
      <c r="B9" s="178">
        <v>35</v>
      </c>
      <c r="C9" s="38">
        <f>+TS!F12/TS!C12%</f>
        <v>77.69930668859566</v>
      </c>
      <c r="D9" s="38">
        <f>+TS!G12/TS!D12%</f>
        <v>80.83180563549398</v>
      </c>
      <c r="E9" s="38">
        <f>+TS!H12/TS!E12%</f>
        <v>79.1512976215063</v>
      </c>
      <c r="F9" s="38">
        <f>+TS!L12/TS!I12%</f>
        <v>71.96957603100238</v>
      </c>
      <c r="G9" s="38">
        <f>+TS!M12/TS!J12%</f>
        <v>74.87249282709452</v>
      </c>
      <c r="H9" s="38">
        <f>+TS!N12/TS!K12%</f>
        <v>73.31582979488914</v>
      </c>
      <c r="I9" s="38">
        <f>+TS!R12/TS!O12%</f>
        <v>65.0258693982142</v>
      </c>
      <c r="J9" s="38">
        <f>+TS!S12/TS!P12%</f>
        <v>63.198692518377676</v>
      </c>
      <c r="K9" s="38">
        <f>+TS!T12/TS!Q12%</f>
        <v>64.14010256857435</v>
      </c>
    </row>
    <row r="10" spans="1:11" ht="15.75">
      <c r="A10" s="45">
        <v>2016</v>
      </c>
      <c r="B10" s="178">
        <v>42</v>
      </c>
      <c r="C10" s="38">
        <f>+TS!F13/TS!C13%</f>
        <v>77.71168399550491</v>
      </c>
      <c r="D10" s="38">
        <f>+TS!G13/TS!D13%</f>
        <v>79.79274049774732</v>
      </c>
      <c r="E10" s="38">
        <f>+TS!H13/TS!E13%</f>
        <v>78.67184565250096</v>
      </c>
      <c r="F10" s="38">
        <f>+TS!L13/TS!I13%</f>
        <v>71.95923005802703</v>
      </c>
      <c r="G10" s="38">
        <f>+TS!M13/TS!J13%</f>
        <v>74.61912628487518</v>
      </c>
      <c r="H10" s="38">
        <f>+TS!N13/TS!K13%</f>
        <v>73.19227131185232</v>
      </c>
      <c r="I10" s="38">
        <f>+TS!R13/TS!O13%</f>
        <v>65.15870846184156</v>
      </c>
      <c r="J10" s="38">
        <f>+TS!S13/TS!P13%</f>
        <v>64.91160488718529</v>
      </c>
      <c r="K10" s="38">
        <f>+TS!T13/TS!Q13%</f>
        <v>65.03878677939925</v>
      </c>
    </row>
    <row r="13" spans="1:11" ht="15.75" customHeight="1">
      <c r="A13" s="217" t="s">
        <v>90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177"/>
    </row>
    <row r="14" spans="1:11" ht="14.25">
      <c r="A14" s="214" t="s">
        <v>55</v>
      </c>
      <c r="B14" s="209" t="s">
        <v>83</v>
      </c>
      <c r="C14" s="207" t="s">
        <v>52</v>
      </c>
      <c r="D14" s="208"/>
      <c r="E14" s="216"/>
      <c r="F14" s="207" t="s">
        <v>53</v>
      </c>
      <c r="G14" s="208"/>
      <c r="H14" s="216"/>
      <c r="I14" s="207" t="s">
        <v>54</v>
      </c>
      <c r="J14" s="208"/>
      <c r="K14" s="216"/>
    </row>
    <row r="15" spans="1:11" ht="14.25" customHeight="1">
      <c r="A15" s="215"/>
      <c r="B15" s="209"/>
      <c r="C15" s="35" t="s">
        <v>5</v>
      </c>
      <c r="D15" s="35" t="s">
        <v>6</v>
      </c>
      <c r="E15" s="35" t="s">
        <v>7</v>
      </c>
      <c r="F15" s="35" t="s">
        <v>5</v>
      </c>
      <c r="G15" s="35" t="s">
        <v>6</v>
      </c>
      <c r="H15" s="35" t="s">
        <v>7</v>
      </c>
      <c r="I15" s="35" t="s">
        <v>5</v>
      </c>
      <c r="J15" s="35" t="s">
        <v>6</v>
      </c>
      <c r="K15" s="35" t="s">
        <v>7</v>
      </c>
    </row>
    <row r="16" spans="1:11" ht="15.75">
      <c r="A16" s="45">
        <v>2010</v>
      </c>
      <c r="B16" s="178">
        <v>6</v>
      </c>
      <c r="C16" s="38">
        <f>+TS!F22/TS!C22%</f>
        <v>53.983858184935386</v>
      </c>
      <c r="D16" s="38">
        <f>+TS!G22/TS!D22%</f>
        <v>49.38150283633112</v>
      </c>
      <c r="E16" s="38">
        <f>+TS!H22/TS!E22%</f>
        <v>52.09745556448519</v>
      </c>
      <c r="F16" s="38">
        <f>+TS!L22/TS!I22%</f>
        <v>52.740339408050865</v>
      </c>
      <c r="G16" s="38">
        <f>+TS!M22/TS!J22%</f>
        <v>49.225783219301405</v>
      </c>
      <c r="H16" s="38">
        <f>+TS!N22/TS!K22%</f>
        <v>51.39295377988845</v>
      </c>
      <c r="I16" s="38">
        <f>+TS!R22/TS!O22%</f>
        <v>46.87604298778453</v>
      </c>
      <c r="J16" s="38">
        <f>+TS!S22/TS!P22%</f>
        <v>46.82119205298014</v>
      </c>
      <c r="K16" s="38">
        <f>+TS!T22/TS!Q22%</f>
        <v>46.85073339085418</v>
      </c>
    </row>
    <row r="17" spans="1:11" ht="15.75">
      <c r="A17" s="46">
        <v>2011</v>
      </c>
      <c r="B17" s="178">
        <v>6</v>
      </c>
      <c r="C17" s="38">
        <f>+TS!F23/TS!C23%</f>
        <v>58.85492448948874</v>
      </c>
      <c r="D17" s="38">
        <f>+TS!G23/TS!D23%</f>
        <v>53.54322441638593</v>
      </c>
      <c r="E17" s="38">
        <f>+TS!H23/TS!E23%</f>
        <v>56.69192247779583</v>
      </c>
      <c r="F17" s="38">
        <f>+TS!L23/TS!I23%</f>
        <v>56.16958525345622</v>
      </c>
      <c r="G17" s="38">
        <f>+TS!M23/TS!J23%</f>
        <v>54.27187927039392</v>
      </c>
      <c r="H17" s="38">
        <f>+TS!N23/TS!K23%</f>
        <v>55.44294294294294</v>
      </c>
      <c r="I17" s="38">
        <f>+TS!R23/TS!O23%</f>
        <v>62.09670865501829</v>
      </c>
      <c r="J17" s="38">
        <f>+TS!S23/TS!P23%</f>
        <v>52.537802176634884</v>
      </c>
      <c r="K17" s="38">
        <f>+TS!T23/TS!Q23%</f>
        <v>57.722143864598024</v>
      </c>
    </row>
    <row r="18" spans="1:11" ht="15.75">
      <c r="A18" s="45">
        <v>2012</v>
      </c>
      <c r="B18" s="178">
        <v>6</v>
      </c>
      <c r="C18" s="38">
        <f>+TS!F24/TS!C24%</f>
        <v>62.71210847051505</v>
      </c>
      <c r="D18" s="38">
        <f>+TS!G24/TS!D24%</f>
        <v>63.735558088714775</v>
      </c>
      <c r="E18" s="38">
        <f>+TS!H24/TS!E24%</f>
        <v>63.087212813275954</v>
      </c>
      <c r="F18" s="38">
        <f>+TS!L24/TS!I24%</f>
        <v>61.862613724522184</v>
      </c>
      <c r="G18" s="38">
        <f>+TS!M24/TS!J24%</f>
        <v>61.340673357725485</v>
      </c>
      <c r="H18" s="38">
        <f>+TS!N24/TS!K24%</f>
        <v>61.682869594368086</v>
      </c>
      <c r="I18" s="38">
        <f>+TS!R24/TS!O24%</f>
        <v>54.16549646385988</v>
      </c>
      <c r="J18" s="38">
        <f>+TS!S24/TS!P24%</f>
        <v>63.70786916752677</v>
      </c>
      <c r="K18" s="38">
        <f>+TS!T24/TS!Q24%</f>
        <v>58.15146289248335</v>
      </c>
    </row>
    <row r="19" spans="1:11" ht="15.75">
      <c r="A19" s="46">
        <v>2013</v>
      </c>
      <c r="B19" s="178">
        <v>6</v>
      </c>
      <c r="C19" s="38">
        <f>+TS!F25/TS!C25%</f>
        <v>55.362150443523944</v>
      </c>
      <c r="D19" s="38">
        <f>+TS!G25/TS!D25%</f>
        <v>60.56253290215838</v>
      </c>
      <c r="E19" s="38">
        <f>+TS!H25/TS!E25%</f>
        <v>57.1748287494491</v>
      </c>
      <c r="F19" s="38">
        <f>+TS!L25/TS!I25%</f>
        <v>54.93979109839665</v>
      </c>
      <c r="G19" s="38">
        <f>+TS!M25/TS!J25%</f>
        <v>56.50349180768198</v>
      </c>
      <c r="H19" s="38">
        <f>+TS!N25/TS!K25%</f>
        <v>55.45780130800374</v>
      </c>
      <c r="I19" s="38">
        <f>+TS!R25/TS!O25%</f>
        <v>53.80834196766343</v>
      </c>
      <c r="J19" s="38">
        <f>+TS!S25/TS!P25%</f>
        <v>56.48333428620433</v>
      </c>
      <c r="K19" s="38">
        <f>+TS!T25/TS!Q25%</f>
        <v>55.031837140279535</v>
      </c>
    </row>
    <row r="20" spans="1:11" ht="15.75">
      <c r="A20" s="45">
        <v>2014</v>
      </c>
      <c r="B20" s="178">
        <v>6</v>
      </c>
      <c r="C20" s="38">
        <f>+TS!F26/TS!C26%</f>
        <v>48.29382714722525</v>
      </c>
      <c r="D20" s="38">
        <f>+TS!G26/TS!D26%</f>
        <v>49.431364265667284</v>
      </c>
      <c r="E20" s="38">
        <f>+TS!H26/TS!E26%</f>
        <v>48.73875067688165</v>
      </c>
      <c r="F20" s="38">
        <f>+TS!L26/TS!I26%</f>
        <v>49.909834665249335</v>
      </c>
      <c r="G20" s="38">
        <f>+TS!M26/TS!J26%</f>
        <v>54.21969491831393</v>
      </c>
      <c r="H20" s="38">
        <f>+TS!N26/TS!K26%</f>
        <v>51.57708512767989</v>
      </c>
      <c r="I20" s="38">
        <f>+TS!R26/TS!O26%</f>
        <v>46.6409213472876</v>
      </c>
      <c r="J20" s="38">
        <f>+TS!S26/TS!P26%</f>
        <v>46.523550144184554</v>
      </c>
      <c r="K20" s="38">
        <f>+TS!T26/TS!Q26%</f>
        <v>46.584454852670895</v>
      </c>
    </row>
    <row r="21" spans="1:11" ht="15.75">
      <c r="A21" s="46">
        <v>2015</v>
      </c>
      <c r="B21" s="178">
        <v>6</v>
      </c>
      <c r="C21" s="38">
        <f>+TS!F27/TS!C27%</f>
        <v>64.10582346865814</v>
      </c>
      <c r="D21" s="38">
        <f>+TS!G27/TS!D27%</f>
        <v>62.155348683625654</v>
      </c>
      <c r="E21" s="38">
        <f>+TS!H27/TS!E27%</f>
        <v>63.27892595912851</v>
      </c>
      <c r="F21" s="38">
        <f>+TS!L27/TS!I27%</f>
        <v>66.30997073516805</v>
      </c>
      <c r="G21" s="38">
        <f>+TS!M27/TS!J27%</f>
        <v>69.7876447876448</v>
      </c>
      <c r="H21" s="38">
        <f>+TS!N27/TS!K27%</f>
        <v>67.74719461643859</v>
      </c>
      <c r="I21" s="38">
        <f>+TS!R27/TS!O27%</f>
        <v>65.58561161472065</v>
      </c>
      <c r="J21" s="38">
        <f>+TS!S27/TS!P27%</f>
        <v>65.26813003612115</v>
      </c>
      <c r="K21" s="38">
        <f>+TS!T27/TS!Q27%</f>
        <v>65.02734294251405</v>
      </c>
    </row>
    <row r="22" spans="1:11" ht="15.75">
      <c r="A22" s="45">
        <v>2016</v>
      </c>
      <c r="B22" s="178">
        <v>7</v>
      </c>
      <c r="C22" s="38">
        <f>+TS!F28/TS!C28%</f>
        <v>39.625601730628155</v>
      </c>
      <c r="D22" s="38">
        <f>+TS!G28/TS!D28%</f>
        <v>43.68330064164367</v>
      </c>
      <c r="E22" s="38">
        <f>+TS!H28/TS!E28%</f>
        <v>41.21549228349328</v>
      </c>
      <c r="F22" s="38">
        <f>+TS!L28/TS!I28%</f>
        <v>40.22480144527388</v>
      </c>
      <c r="G22" s="38">
        <f>+TS!M28/TS!J28%</f>
        <v>44.08193303078621</v>
      </c>
      <c r="H22" s="38">
        <f>+TS!N28/TS!K28%</f>
        <v>41.60276493657297</v>
      </c>
      <c r="I22" s="38">
        <f>+TS!R28/TS!O28%</f>
        <v>38.221785397017406</v>
      </c>
      <c r="J22" s="38">
        <f>+TS!S28/TS!P28%</f>
        <v>39.10662598763983</v>
      </c>
      <c r="K22" s="38">
        <f>+TS!T28/TS!Q28%</f>
        <v>38.59362672043482</v>
      </c>
    </row>
    <row r="23" ht="15.75">
      <c r="B23" s="179"/>
    </row>
    <row r="24" ht="15.75">
      <c r="B24" s="179"/>
    </row>
    <row r="25" spans="1:11" ht="15.75" customHeight="1">
      <c r="A25" s="213" t="s">
        <v>91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</row>
    <row r="26" spans="1:11" ht="28.5" customHeight="1">
      <c r="A26" s="214" t="s">
        <v>55</v>
      </c>
      <c r="B26" s="210" t="s">
        <v>83</v>
      </c>
      <c r="C26" s="207" t="s">
        <v>52</v>
      </c>
      <c r="D26" s="208"/>
      <c r="E26" s="216"/>
      <c r="F26" s="207" t="s">
        <v>53</v>
      </c>
      <c r="G26" s="208"/>
      <c r="H26" s="216"/>
      <c r="I26" s="207" t="s">
        <v>54</v>
      </c>
      <c r="J26" s="208"/>
      <c r="K26" s="216"/>
    </row>
    <row r="27" spans="1:11" ht="14.25">
      <c r="A27" s="215"/>
      <c r="B27" s="211"/>
      <c r="C27" s="35" t="s">
        <v>5</v>
      </c>
      <c r="D27" s="35" t="s">
        <v>6</v>
      </c>
      <c r="E27" s="35" t="s">
        <v>7</v>
      </c>
      <c r="F27" s="35" t="s">
        <v>5</v>
      </c>
      <c r="G27" s="35" t="s">
        <v>6</v>
      </c>
      <c r="H27" s="35" t="s">
        <v>7</v>
      </c>
      <c r="I27" s="35" t="s">
        <v>5</v>
      </c>
      <c r="J27" s="35" t="s">
        <v>6</v>
      </c>
      <c r="K27" s="35" t="s">
        <v>7</v>
      </c>
    </row>
    <row r="28" spans="1:11" ht="15.75" customHeight="1">
      <c r="A28" s="45">
        <v>2010</v>
      </c>
      <c r="B28" s="178">
        <f aca="true" t="shared" si="0" ref="B28:B34">+B4+B16</f>
        <v>40</v>
      </c>
      <c r="C28" s="38">
        <f>+TS!F38/TS!C38%</f>
        <v>72.585783145693</v>
      </c>
      <c r="D28" s="38">
        <f>+TS!G38/TS!D38%</f>
        <v>76.56891920022998</v>
      </c>
      <c r="E28" s="38">
        <f>+TS!H38/TS!E38%</f>
        <v>74.33280738060586</v>
      </c>
      <c r="F28" s="38">
        <f>+TS!L38/TS!I38%</f>
        <v>66.80885160436449</v>
      </c>
      <c r="G28" s="38">
        <f>+TS!M38/TS!J38%</f>
        <v>70.81758758256342</v>
      </c>
      <c r="H28" s="38">
        <f>+TS!N38/TS!K38%</f>
        <v>68.54806567698044</v>
      </c>
      <c r="I28" s="38">
        <f>+TS!R38/TS!O38%</f>
        <v>61.64065074007074</v>
      </c>
      <c r="J28" s="38">
        <f>+TS!S38/TS!P38%</f>
        <v>60.78408719693409</v>
      </c>
      <c r="K28" s="38">
        <f>+TS!T38/TS!Q38%</f>
        <v>61.265242411967655</v>
      </c>
    </row>
    <row r="29" spans="1:11" ht="15.75">
      <c r="A29" s="46">
        <v>2011</v>
      </c>
      <c r="B29" s="178">
        <f t="shared" si="0"/>
        <v>40</v>
      </c>
      <c r="C29" s="38">
        <f>+TS!F39/TS!C39%</f>
        <v>72.84874344311538</v>
      </c>
      <c r="D29" s="38">
        <f>+TS!G39/TS!D39%</f>
        <v>76.27763193466184</v>
      </c>
      <c r="E29" s="38">
        <f>+TS!H39/TS!E39%</f>
        <v>74.3593661478869</v>
      </c>
      <c r="F29" s="38">
        <f>+TS!L39/TS!I39%</f>
        <v>67.79576765071725</v>
      </c>
      <c r="G29" s="38">
        <f>+TS!M39/TS!J39%</f>
        <v>70.49255959751774</v>
      </c>
      <c r="H29" s="38">
        <f>+TS!N39/TS!K39%</f>
        <v>69.00360431681352</v>
      </c>
      <c r="I29" s="38">
        <f>+TS!R39/TS!O39%</f>
        <v>62.78419914349962</v>
      </c>
      <c r="J29" s="38">
        <f>+TS!S39/TS!P39%</f>
        <v>62.113720532883875</v>
      </c>
      <c r="K29" s="38">
        <f>+TS!T39/TS!Q39%</f>
        <v>62.48505718131837</v>
      </c>
    </row>
    <row r="30" spans="1:11" ht="15.75">
      <c r="A30" s="45">
        <v>2012</v>
      </c>
      <c r="B30" s="178">
        <f t="shared" si="0"/>
        <v>40</v>
      </c>
      <c r="C30" s="38">
        <f>+TS!F40/TS!C40%</f>
        <v>74.35037363139857</v>
      </c>
      <c r="D30" s="38">
        <f>+TS!G40/TS!D40%</f>
        <v>77.97871841091418</v>
      </c>
      <c r="E30" s="38">
        <f>+TS!H40/TS!E40%</f>
        <v>75.96925658919082</v>
      </c>
      <c r="F30" s="38">
        <f>+TS!L40/TS!I40%</f>
        <v>68.47675069180869</v>
      </c>
      <c r="G30" s="38">
        <f>+TS!M40/TS!J40%</f>
        <v>72.2643487728641</v>
      </c>
      <c r="H30" s="38">
        <f>+TS!N40/TS!K40%</f>
        <v>70.15487998620175</v>
      </c>
      <c r="I30" s="38">
        <f>+TS!R40/TS!O40%</f>
        <v>61.5117030410499</v>
      </c>
      <c r="J30" s="38">
        <f>+TS!S40/TS!P40%</f>
        <v>61.3225930374653</v>
      </c>
      <c r="K30" s="38">
        <f>+TS!T40/TS!Q40%</f>
        <v>61.42488810082217</v>
      </c>
    </row>
    <row r="31" spans="1:11" ht="15.75">
      <c r="A31" s="46">
        <v>2013</v>
      </c>
      <c r="B31" s="178">
        <f t="shared" si="0"/>
        <v>41</v>
      </c>
      <c r="C31" s="38">
        <f>+TS!F41/TS!C41%</f>
        <v>75.72652229712907</v>
      </c>
      <c r="D31" s="38">
        <f>+TS!G41/TS!D41%</f>
        <v>79.97513012516478</v>
      </c>
      <c r="E31" s="38">
        <f>+TS!H41/TS!E41%</f>
        <v>77.62749868695184</v>
      </c>
      <c r="F31" s="38">
        <f>+TS!L41/TS!I41%</f>
        <v>69.29114450968365</v>
      </c>
      <c r="G31" s="38">
        <f>+TS!M41/TS!J41%</f>
        <v>73.38789053111023</v>
      </c>
      <c r="H31" s="38">
        <f>+TS!N41/TS!K41%</f>
        <v>71.13171851160985</v>
      </c>
      <c r="I31" s="38">
        <f>+TS!R41/TS!O41%</f>
        <v>63.90575171204594</v>
      </c>
      <c r="J31" s="38">
        <f>+TS!S41/TS!P41%</f>
        <v>64.46495024893598</v>
      </c>
      <c r="K31" s="38">
        <f>+TS!T41/TS!Q41%</f>
        <v>64.16736814704382</v>
      </c>
    </row>
    <row r="32" spans="1:11" ht="15.75" customHeight="1">
      <c r="A32" s="45">
        <v>2014</v>
      </c>
      <c r="B32" s="178">
        <f t="shared" si="0"/>
        <v>41</v>
      </c>
      <c r="C32" s="38">
        <f>+TS!F42/TS!C42%</f>
        <v>77.5472376704971</v>
      </c>
      <c r="D32" s="38">
        <f>+TS!G42/TS!D42%</f>
        <v>80.90699662774655</v>
      </c>
      <c r="E32" s="38">
        <f>+TS!H42/TS!E42%</f>
        <v>79.07717895152568</v>
      </c>
      <c r="F32" s="38">
        <f>+TS!L42/TS!I42%</f>
        <v>71.58326560625412</v>
      </c>
      <c r="G32" s="38">
        <f>+TS!M42/TS!J42%</f>
        <v>75.218258005757</v>
      </c>
      <c r="H32" s="38">
        <f>+TS!N42/TS!K42%</f>
        <v>73.24222454046624</v>
      </c>
      <c r="I32" s="38">
        <f>+TS!R42/TS!O42%</f>
        <v>65.14217486179264</v>
      </c>
      <c r="J32" s="38">
        <f>+TS!S42/TS!P42%</f>
        <v>63.902434379748</v>
      </c>
      <c r="K32" s="38">
        <f>+TS!T42/TS!Q42%</f>
        <v>64.54906324632815</v>
      </c>
    </row>
    <row r="33" spans="1:11" ht="15.75">
      <c r="A33" s="46">
        <v>2015</v>
      </c>
      <c r="B33" s="178">
        <f t="shared" si="0"/>
        <v>41</v>
      </c>
      <c r="C33" s="38">
        <f>+TS!F43/TS!C43%</f>
        <v>77.41670275257863</v>
      </c>
      <c r="D33" s="38">
        <f>+TS!G43/TS!D43%</f>
        <v>80.50005808989157</v>
      </c>
      <c r="E33" s="38">
        <f>+TS!H43/TS!E43%</f>
        <v>78.84354830534932</v>
      </c>
      <c r="F33" s="38">
        <f>+TS!L43/TS!I43%</f>
        <v>71.86096104392678</v>
      </c>
      <c r="G33" s="38">
        <f>+TS!M43/TS!J43%</f>
        <v>74.79273066243242</v>
      </c>
      <c r="H33" s="38">
        <f>+TS!N43/TS!K43%</f>
        <v>73.21799506180665</v>
      </c>
      <c r="I33" s="38">
        <f>+TS!R43/TS!O43%</f>
        <v>65.0456384536498</v>
      </c>
      <c r="J33" s="38">
        <f>+TS!S43/TS!P43%</f>
        <v>63.26945262557852</v>
      </c>
      <c r="K33" s="38">
        <f>+TS!T43/TS!Q43%</f>
        <v>64.17114092415468</v>
      </c>
    </row>
    <row r="34" spans="1:11" ht="15.75">
      <c r="A34" s="45">
        <v>2016</v>
      </c>
      <c r="B34" s="178">
        <f t="shared" si="0"/>
        <v>49</v>
      </c>
      <c r="C34" s="38">
        <f>+TS!F44/TS!C44%</f>
        <v>76.39700803460411</v>
      </c>
      <c r="D34" s="38">
        <f>+TS!G44/TS!D44%</f>
        <v>78.84719642287781</v>
      </c>
      <c r="E34" s="38">
        <f>+TS!H44/TS!E44%</f>
        <v>77.52224942423662</v>
      </c>
      <c r="F34" s="38">
        <f>+TS!L44/TS!I44%</f>
        <v>70.0575115896424</v>
      </c>
      <c r="G34" s="38">
        <f>+TS!M44/TS!J44%</f>
        <v>73.41640298543513</v>
      </c>
      <c r="H34" s="38">
        <f>+TS!N44/TS!K44%</f>
        <v>71.59654523450759</v>
      </c>
      <c r="I34" s="38">
        <f>+TS!R44/TS!O44%</f>
        <v>63.44586798711601</v>
      </c>
      <c r="J34" s="38">
        <f>+TS!S44/TS!P44%</f>
        <v>63.631412474692915</v>
      </c>
      <c r="K34" s="38">
        <f>+TS!T44/TS!Q44%</f>
        <v>63.53522798426212</v>
      </c>
    </row>
    <row r="35" ht="12.75" customHeight="1"/>
  </sheetData>
  <sheetProtection/>
  <mergeCells count="18">
    <mergeCell ref="C2:E2"/>
    <mergeCell ref="F2:H2"/>
    <mergeCell ref="I2:K2"/>
    <mergeCell ref="A26:A27"/>
    <mergeCell ref="C26:E26"/>
    <mergeCell ref="F26:H26"/>
    <mergeCell ref="I26:K26"/>
    <mergeCell ref="B26:B27"/>
    <mergeCell ref="A1:K1"/>
    <mergeCell ref="A25:K25"/>
    <mergeCell ref="A14:A15"/>
    <mergeCell ref="C14:E14"/>
    <mergeCell ref="F14:H14"/>
    <mergeCell ref="B2:B3"/>
    <mergeCell ref="B14:B15"/>
    <mergeCell ref="A13:J13"/>
    <mergeCell ref="I14:K14"/>
    <mergeCell ref="A2:A3"/>
  </mergeCells>
  <printOptions/>
  <pageMargins left="0.7086614173228347" right="0.7086614173228347" top="0.5905511811023623" bottom="0.3937007874015748" header="0.31496062992125984" footer="0.15748031496062992"/>
  <pageSetup firstPageNumber="32" useFirstPageNumber="1" horizontalDpi="600" verticalDpi="600" orientation="landscape" paperSize="9" r:id="rId1"/>
  <headerFooter>
    <oddFooter>&amp;CX-2016&amp;R&amp;P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chanderkant</dc:creator>
  <cp:keywords/>
  <dc:description/>
  <cp:lastModifiedBy>Jaishree</cp:lastModifiedBy>
  <cp:lastPrinted>2019-06-10T09:58:38Z</cp:lastPrinted>
  <dcterms:created xsi:type="dcterms:W3CDTF">2006-10-19T05:00:05Z</dcterms:created>
  <dcterms:modified xsi:type="dcterms:W3CDTF">2019-06-11T07:17:55Z</dcterms:modified>
  <cp:category/>
  <cp:version/>
  <cp:contentType/>
  <cp:contentStatus/>
</cp:coreProperties>
</file>