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375" windowWidth="11310" windowHeight="6735" tabRatio="667" firstSheet="3" activeTab="3"/>
  </bookViews>
  <sheets>
    <sheet name="Sheet1" sheetId="9" state="hidden" r:id="rId1"/>
    <sheet name="Class-X Boardwise" sheetId="1" state="hidden" r:id="rId2"/>
    <sheet name="2018 Board (2)" sheetId="31" state="hidden" r:id="rId3"/>
    <sheet name="2018 Board" sheetId="23" r:id="rId4"/>
    <sheet name="ICT" sheetId="21" state="hidden" r:id="rId5"/>
    <sheet name="Minorty" sheetId="22" state="hidden" r:id="rId6"/>
    <sheet name="2018 open" sheetId="24" r:id="rId7"/>
    <sheet name="Board" sheetId="5" state="hidden" r:id="rId8"/>
    <sheet name="Open Board" sheetId="11" state="hidden" r:id="rId9"/>
    <sheet name="TS" sheetId="10" state="hidden" r:id="rId10"/>
    <sheet name="TS_Final" sheetId="20" state="hidden" r:id="rId11"/>
    <sheet name="2016" sheetId="13" state="hidden" r:id="rId12"/>
    <sheet name="2015" sheetId="14" state="hidden" r:id="rId13"/>
    <sheet name="2014" sheetId="15" state="hidden" r:id="rId14"/>
    <sheet name="2013" sheetId="16" state="hidden" r:id="rId15"/>
    <sheet name="2012" sheetId="17" state="hidden" r:id="rId16"/>
    <sheet name="2011" sheetId="18" state="hidden" r:id="rId17"/>
    <sheet name="Sheet4" sheetId="27" state="hidden" r:id="rId18"/>
    <sheet name="Sheet5" sheetId="28" state="hidden" r:id="rId19"/>
    <sheet name="Sheet2" sheetId="29" state="hidden" r:id="rId20"/>
    <sheet name="Sheet3" sheetId="30" state="hidden" r:id="rId21"/>
    <sheet name="Sheet6" sheetId="32" state="hidden" r:id="rId22"/>
    <sheet name="Sheet7" sheetId="33" state="hidden" r:id="rId23"/>
    <sheet name="TS-Final" sheetId="50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3" hidden="1">'2018 Board'!$A$1:$HL$53</definedName>
    <definedName name="_xlnm._FilterDatabase" localSheetId="1" hidden="1">'Class-X Boardwise'!$A$2:$EL$2</definedName>
    <definedName name="_xlnm._FilterDatabase" localSheetId="21" hidden="1">Sheet6!$B$6:$S$51</definedName>
    <definedName name="_xlnm._FilterDatabase" localSheetId="22" hidden="1">Sheet7!$A$5:$CK$17</definedName>
    <definedName name="_xlnm.Print_Area" localSheetId="12">'2015'!$A$1:$AF$58</definedName>
    <definedName name="_xlnm.Print_Area" localSheetId="3">'2018 Board'!$A$1:$HA$53</definedName>
    <definedName name="_xlnm.Print_Area" localSheetId="2">'2018 Board (2)'!$A$1:$HJ$54</definedName>
    <definedName name="_xlnm.Print_Area" localSheetId="6">'2018 open'!$A$1:$CH$18</definedName>
    <definedName name="_xlnm.Print_Area" localSheetId="7">Board!$A$1:$FH$55</definedName>
    <definedName name="_xlnm.Print_Area" localSheetId="17">Sheet4!$A$2:$I$46</definedName>
    <definedName name="_xlnm.Print_Area" localSheetId="9">TS!$A$1:$T$44</definedName>
    <definedName name="_xlnm.Print_Area" localSheetId="10">TS_Final!$A$1:$T$44</definedName>
    <definedName name="_xlnm.Print_Area" localSheetId="23">'TS-Final'!$A$1:$T$47</definedName>
    <definedName name="_xlnm.Print_Titles" localSheetId="16">'2011'!$A:$B,'2011'!$1:$8</definedName>
    <definedName name="_xlnm.Print_Titles" localSheetId="15">'2012'!$A:$B,'2012'!$1:$8</definedName>
    <definedName name="_xlnm.Print_Titles" localSheetId="14">'2013'!$A:$B,'2013'!$1:$8</definedName>
    <definedName name="_xlnm.Print_Titles" localSheetId="13">'2014'!$A:$B,'2014'!$1:$8</definedName>
    <definedName name="_xlnm.Print_Titles" localSheetId="12">'2015'!$A:$B,'2015'!$1:$8</definedName>
    <definedName name="_xlnm.Print_Titles" localSheetId="11">'2016'!$A:$B,'2016'!$1:$8</definedName>
    <definedName name="_xlnm.Print_Titles" localSheetId="3">'2018 Board'!$A:$B,'2018 Board'!$1:$7</definedName>
    <definedName name="_xlnm.Print_Titles" localSheetId="2">'2018 Board (2)'!$A:$B,'2018 Board (2)'!$1:$7</definedName>
    <definedName name="_xlnm.Print_Titles" localSheetId="6">'2018 open'!$A:$B,'2018 open'!$3:$7</definedName>
    <definedName name="_xlnm.Print_Titles" localSheetId="7">Board!$A:$B,Board!$1:$7</definedName>
    <definedName name="_xlnm.Print_Titles" localSheetId="10">TS_Final!$A:$B</definedName>
    <definedName name="_xlnm.Print_Titles" localSheetId="23">'TS-Final'!$A:$B</definedName>
  </definedNames>
  <calcPr calcId="124519"/>
  <pivotCaches>
    <pivotCache cacheId="0" r:id="rId34"/>
  </pivotCaches>
</workbook>
</file>

<file path=xl/calcChain.xml><?xml version="1.0" encoding="utf-8"?>
<calcChain xmlns="http://schemas.openxmlformats.org/spreadsheetml/2006/main">
  <c r="CL51" i="23"/>
  <c r="CM51"/>
  <c r="CN51"/>
  <c r="EG51"/>
  <c r="EF51"/>
  <c r="EE51"/>
  <c r="DR51"/>
  <c r="DQ51"/>
  <c r="DP51"/>
  <c r="DC51"/>
  <c r="DB51"/>
  <c r="DA51"/>
  <c r="BY51"/>
  <c r="BX51"/>
  <c r="BW51"/>
  <c r="BJ51"/>
  <c r="BI51"/>
  <c r="BH51"/>
  <c r="AU51"/>
  <c r="AT51"/>
  <c r="AS51"/>
  <c r="AF51"/>
  <c r="AE51"/>
  <c r="AD51"/>
  <c r="Q51"/>
  <c r="P51"/>
  <c r="O51"/>
  <c r="B47" i="50"/>
  <c r="B46" l="1"/>
  <c r="B45"/>
  <c r="B44"/>
  <c r="B43"/>
  <c r="B42"/>
  <c r="B41"/>
  <c r="B40"/>
  <c r="B39"/>
  <c r="I15" i="24"/>
  <c r="GY49" i="23" l="1"/>
  <c r="HA49"/>
  <c r="GP49"/>
  <c r="GQ49"/>
  <c r="GR49"/>
  <c r="GG49"/>
  <c r="GH49"/>
  <c r="GI49"/>
  <c r="DA49"/>
  <c r="DC49"/>
  <c r="CL49"/>
  <c r="CM49"/>
  <c r="CN49"/>
  <c r="BH49"/>
  <c r="BI49"/>
  <c r="BJ49"/>
  <c r="AG49"/>
  <c r="AH49"/>
  <c r="AJ49"/>
  <c r="AK49"/>
  <c r="AM49"/>
  <c r="AN49"/>
  <c r="AO49"/>
  <c r="AQ49"/>
  <c r="AT49" s="1"/>
  <c r="AE49"/>
  <c r="AB49"/>
  <c r="AA49"/>
  <c r="AD49" s="1"/>
  <c r="W49"/>
  <c r="AC49" s="1"/>
  <c r="AF49" s="1"/>
  <c r="T49"/>
  <c r="AI49" s="1"/>
  <c r="P49"/>
  <c r="L49"/>
  <c r="O49" s="1"/>
  <c r="M49"/>
  <c r="N49"/>
  <c r="Q49" s="1"/>
  <c r="AU49" l="1"/>
  <c r="AP49"/>
  <c r="AS49" s="1"/>
  <c r="AR49"/>
  <c r="AL49"/>
  <c r="R51" i="32"/>
  <c r="Q51"/>
  <c r="P51"/>
  <c r="R50"/>
  <c r="Q50"/>
  <c r="P50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BB8" i="24" l="1"/>
  <c r="BF8" s="1"/>
  <c r="BI8" s="1"/>
  <c r="BL8" s="1"/>
  <c r="BO8" s="1"/>
  <c r="BR8" s="1"/>
  <c r="BU8" s="1"/>
  <c r="BX8" s="1"/>
  <c r="CA8" s="1"/>
  <c r="CD8" s="1"/>
  <c r="CG8" s="1"/>
  <c r="CJ8" s="1"/>
  <c r="AS9"/>
  <c r="AT9"/>
  <c r="AS10"/>
  <c r="AT10"/>
  <c r="AS11"/>
  <c r="AT11"/>
  <c r="AS12"/>
  <c r="AT12"/>
  <c r="AS13"/>
  <c r="AT13"/>
  <c r="AS14"/>
  <c r="AS15"/>
  <c r="AT15"/>
  <c r="AT8"/>
  <c r="AS8"/>
  <c r="AV9"/>
  <c r="BB9" s="1"/>
  <c r="AW9"/>
  <c r="BC9" s="1"/>
  <c r="AV10"/>
  <c r="BB10" s="1"/>
  <c r="AW10"/>
  <c r="BC10" s="1"/>
  <c r="AV11"/>
  <c r="BB11" s="1"/>
  <c r="AW11"/>
  <c r="BC11" s="1"/>
  <c r="AV12"/>
  <c r="BB12" s="1"/>
  <c r="AW12"/>
  <c r="BC12" s="1"/>
  <c r="AV13"/>
  <c r="BB13" s="1"/>
  <c r="AW13"/>
  <c r="BC13" s="1"/>
  <c r="AV14"/>
  <c r="BB14" s="1"/>
  <c r="AV15"/>
  <c r="AW15"/>
  <c r="AW8"/>
  <c r="BC8" s="1"/>
  <c r="BG8" s="1"/>
  <c r="BJ8" s="1"/>
  <c r="BM8" s="1"/>
  <c r="BP8" s="1"/>
  <c r="BS8" s="1"/>
  <c r="BV8" s="1"/>
  <c r="BY8" s="1"/>
  <c r="CB8" s="1"/>
  <c r="CE8" s="1"/>
  <c r="CH8" s="1"/>
  <c r="CK8" s="1"/>
  <c r="AV8"/>
  <c r="AD9"/>
  <c r="AE9"/>
  <c r="AD10"/>
  <c r="AE10"/>
  <c r="AD11"/>
  <c r="AE11"/>
  <c r="AD12"/>
  <c r="AE12"/>
  <c r="AD13"/>
  <c r="AE13"/>
  <c r="AD14"/>
  <c r="AE14"/>
  <c r="AD15"/>
  <c r="AE15"/>
  <c r="AE8"/>
  <c r="AD8"/>
  <c r="L9"/>
  <c r="M9"/>
  <c r="L10"/>
  <c r="M10"/>
  <c r="L11"/>
  <c r="M11"/>
  <c r="L12"/>
  <c r="M12"/>
  <c r="L13"/>
  <c r="M13"/>
  <c r="L14"/>
  <c r="M14"/>
  <c r="L15"/>
  <c r="M15"/>
  <c r="M8"/>
  <c r="L8"/>
  <c r="AA9"/>
  <c r="AB9"/>
  <c r="AA10"/>
  <c r="AB10"/>
  <c r="AA11"/>
  <c r="AB11"/>
  <c r="AA12"/>
  <c r="AB12"/>
  <c r="AA13"/>
  <c r="AB13"/>
  <c r="AA14"/>
  <c r="AB14"/>
  <c r="AA15"/>
  <c r="AB15"/>
  <c r="AB8"/>
  <c r="AA8"/>
  <c r="I9" l="1"/>
  <c r="J9"/>
  <c r="I10"/>
  <c r="J10"/>
  <c r="I11"/>
  <c r="J11"/>
  <c r="I12"/>
  <c r="J12"/>
  <c r="I13"/>
  <c r="J13"/>
  <c r="I14"/>
  <c r="J14"/>
  <c r="J15"/>
  <c r="J8"/>
  <c r="I8"/>
  <c r="AZ16" l="1"/>
  <c r="AY16"/>
  <c r="BA14"/>
  <c r="BA13"/>
  <c r="BA12"/>
  <c r="BA11"/>
  <c r="BA10"/>
  <c r="BA9"/>
  <c r="BA8"/>
  <c r="AH16"/>
  <c r="AG16"/>
  <c r="AK14"/>
  <c r="AJ14"/>
  <c r="AI14"/>
  <c r="AK13"/>
  <c r="AJ13"/>
  <c r="AI13"/>
  <c r="AK12"/>
  <c r="AJ12"/>
  <c r="AI12"/>
  <c r="AK11"/>
  <c r="AJ11"/>
  <c r="AI11"/>
  <c r="AK10"/>
  <c r="AJ10"/>
  <c r="AI10"/>
  <c r="AK9"/>
  <c r="AJ9"/>
  <c r="AI9"/>
  <c r="AK8"/>
  <c r="AJ8"/>
  <c r="AI8"/>
  <c r="P16"/>
  <c r="O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B11" i="30"/>
  <c r="B10"/>
  <c r="H6"/>
  <c r="J6"/>
  <c r="I6"/>
  <c r="I4"/>
  <c r="J4"/>
  <c r="H4"/>
  <c r="X52" i="21"/>
  <c r="Y52"/>
  <c r="AA52"/>
  <c r="AB52"/>
  <c r="AD52"/>
  <c r="AE52"/>
  <c r="AG52"/>
  <c r="AH52"/>
  <c r="AI52"/>
  <c r="AJ52"/>
  <c r="AK52"/>
  <c r="AL52"/>
  <c r="AM52"/>
  <c r="AN52"/>
  <c r="AS52"/>
  <c r="AT52"/>
  <c r="AV52"/>
  <c r="AW52"/>
  <c r="AY52"/>
  <c r="AZ52"/>
  <c r="BB52"/>
  <c r="BC52"/>
  <c r="BE52"/>
  <c r="BF52"/>
  <c r="BG52"/>
  <c r="BH52"/>
  <c r="BI52"/>
  <c r="BN52"/>
  <c r="BO52"/>
  <c r="BQ52"/>
  <c r="BR52"/>
  <c r="BT52"/>
  <c r="BU52"/>
  <c r="BW52"/>
  <c r="BX52"/>
  <c r="BY52"/>
  <c r="BZ52"/>
  <c r="CA52"/>
  <c r="CB52"/>
  <c r="CC52"/>
  <c r="CD52"/>
  <c r="CI52"/>
  <c r="CJ52"/>
  <c r="CL52"/>
  <c r="CM52"/>
  <c r="CO52"/>
  <c r="CP52"/>
  <c r="CR52"/>
  <c r="CS52"/>
  <c r="CT52"/>
  <c r="CU52"/>
  <c r="CV52"/>
  <c r="CW52"/>
  <c r="CX52"/>
  <c r="CY52"/>
  <c r="DD52"/>
  <c r="DE52"/>
  <c r="DG52"/>
  <c r="DH52"/>
  <c r="DJ52"/>
  <c r="DK52"/>
  <c r="DM52"/>
  <c r="DN52"/>
  <c r="DO52"/>
  <c r="DP52"/>
  <c r="DQ52"/>
  <c r="DR52"/>
  <c r="DS52"/>
  <c r="DT52"/>
  <c r="DY52"/>
  <c r="DZ52"/>
  <c r="EB52"/>
  <c r="EC52"/>
  <c r="EE52"/>
  <c r="EF52"/>
  <c r="EH52"/>
  <c r="EI52"/>
  <c r="EJ52"/>
  <c r="EK52"/>
  <c r="EL52"/>
  <c r="EM52"/>
  <c r="EN52"/>
  <c r="EO52"/>
  <c r="EP52"/>
  <c r="ET52"/>
  <c r="EU52"/>
  <c r="EW52"/>
  <c r="EX52"/>
  <c r="EZ52"/>
  <c r="FA52"/>
  <c r="FC52"/>
  <c r="FD52"/>
  <c r="FE52"/>
  <c r="FF52"/>
  <c r="FG52"/>
  <c r="FH52"/>
  <c r="FI52"/>
  <c r="FJ52"/>
  <c r="FK52"/>
  <c r="S52"/>
  <c r="O52"/>
  <c r="P52"/>
  <c r="R52"/>
  <c r="M52"/>
  <c r="L52"/>
  <c r="J52"/>
  <c r="I52"/>
  <c r="G52"/>
  <c r="F52"/>
  <c r="C52"/>
  <c r="D52"/>
  <c r="BI1" i="24"/>
  <c r="CA1"/>
  <c r="BR1"/>
  <c r="D10" i="29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C10"/>
  <c r="J7" i="28"/>
  <c r="K7"/>
  <c r="J8"/>
  <c r="K8"/>
  <c r="L8"/>
  <c r="J9"/>
  <c r="K9"/>
  <c r="J10"/>
  <c r="K10"/>
  <c r="J11"/>
  <c r="K11"/>
  <c r="J12"/>
  <c r="K12"/>
  <c r="J13"/>
  <c r="K13"/>
  <c r="J14"/>
  <c r="K6"/>
  <c r="J6"/>
  <c r="H14"/>
  <c r="G14"/>
  <c r="E14"/>
  <c r="D14"/>
  <c r="I13"/>
  <c r="L13" s="1"/>
  <c r="F13"/>
  <c r="I12"/>
  <c r="L12" s="1"/>
  <c r="F12"/>
  <c r="I11"/>
  <c r="F11"/>
  <c r="I10"/>
  <c r="L10" s="1"/>
  <c r="F10"/>
  <c r="I9"/>
  <c r="F9"/>
  <c r="I8"/>
  <c r="F8"/>
  <c r="I7"/>
  <c r="L7" s="1"/>
  <c r="F7"/>
  <c r="I6"/>
  <c r="I14" s="1"/>
  <c r="F6"/>
  <c r="I5" i="27"/>
  <c r="I6"/>
  <c r="I8"/>
  <c r="I9"/>
  <c r="I10"/>
  <c r="I11"/>
  <c r="I12"/>
  <c r="I13"/>
  <c r="I15"/>
  <c r="I16"/>
  <c r="I17"/>
  <c r="I18"/>
  <c r="I19"/>
  <c r="I20"/>
  <c r="I21"/>
  <c r="I22"/>
  <c r="I24"/>
  <c r="I25"/>
  <c r="I26"/>
  <c r="I27"/>
  <c r="I28"/>
  <c r="I29"/>
  <c r="I30"/>
  <c r="I31"/>
  <c r="I32"/>
  <c r="I33"/>
  <c r="I35"/>
  <c r="I36"/>
  <c r="I37"/>
  <c r="I38"/>
  <c r="I40"/>
  <c r="I42"/>
  <c r="I43"/>
  <c r="I45"/>
  <c r="I46"/>
  <c r="I4"/>
  <c r="L9" i="28" l="1"/>
  <c r="K14"/>
  <c r="L11"/>
  <c r="BA16" i="24"/>
  <c r="L6" i="28"/>
  <c r="F14"/>
  <c r="L14" s="1"/>
  <c r="Q16" i="24"/>
  <c r="AI16"/>
  <c r="FT12" i="23"/>
  <c r="EA12"/>
  <c r="CH12"/>
  <c r="AO12"/>
  <c r="FE31"/>
  <c r="FG31"/>
  <c r="FJ31" s="1"/>
  <c r="FF31"/>
  <c r="FI31" s="1"/>
  <c r="FB31"/>
  <c r="DN31"/>
  <c r="AG11"/>
  <c r="FD51"/>
  <c r="FC51"/>
  <c r="EO51"/>
  <c r="EN51"/>
  <c r="DK51"/>
  <c r="DJ51"/>
  <c r="CV51"/>
  <c r="CU51"/>
  <c r="BR51"/>
  <c r="BQ51"/>
  <c r="BC51"/>
  <c r="BB51"/>
  <c r="Y51"/>
  <c r="X51"/>
  <c r="J51"/>
  <c r="I51"/>
  <c r="BG28"/>
  <c r="BI13" i="24"/>
  <c r="BJ13"/>
  <c r="BI14"/>
  <c r="BO14" s="1"/>
  <c r="BJ14"/>
  <c r="BP14" s="1"/>
  <c r="BI15"/>
  <c r="BJ15"/>
  <c r="BJ12"/>
  <c r="BJ11"/>
  <c r="BI12"/>
  <c r="BI11"/>
  <c r="BE15"/>
  <c r="CC15" s="1"/>
  <c r="BF14"/>
  <c r="BG14"/>
  <c r="AQ16"/>
  <c r="AP16"/>
  <c r="AN16"/>
  <c r="AM16"/>
  <c r="CE16"/>
  <c r="CD16"/>
  <c r="CA15"/>
  <c r="CB15"/>
  <c r="CA13"/>
  <c r="CG13" s="1"/>
  <c r="CB13"/>
  <c r="CH13" s="1"/>
  <c r="CA14"/>
  <c r="CG14" s="1"/>
  <c r="CB14"/>
  <c r="CH14" s="1"/>
  <c r="CA9"/>
  <c r="CG9" s="1"/>
  <c r="CB9"/>
  <c r="CH9" s="1"/>
  <c r="CA10"/>
  <c r="CB10"/>
  <c r="CA11"/>
  <c r="CG11" s="1"/>
  <c r="CB11"/>
  <c r="CH11" s="1"/>
  <c r="CA12"/>
  <c r="CG12" s="1"/>
  <c r="CB12"/>
  <c r="CH12" s="1"/>
  <c r="BR10"/>
  <c r="BS10"/>
  <c r="BR11"/>
  <c r="BS11"/>
  <c r="BR12"/>
  <c r="BS12"/>
  <c r="BR13"/>
  <c r="BS13"/>
  <c r="BR14"/>
  <c r="BX14" s="1"/>
  <c r="BR15"/>
  <c r="BS15"/>
  <c r="BR9"/>
  <c r="BS9"/>
  <c r="BI9"/>
  <c r="BJ9"/>
  <c r="BJ10"/>
  <c r="BI10"/>
  <c r="FP45" i="23"/>
  <c r="FO45"/>
  <c r="FM45"/>
  <c r="FL45"/>
  <c r="FL43"/>
  <c r="FR48"/>
  <c r="FS48"/>
  <c r="GF17"/>
  <c r="AG17"/>
  <c r="AH17"/>
  <c r="AJ17"/>
  <c r="AK17"/>
  <c r="H17"/>
  <c r="N17" s="1"/>
  <c r="AR17" s="1"/>
  <c r="M17"/>
  <c r="P17" s="1"/>
  <c r="L17"/>
  <c r="O17" s="1"/>
  <c r="E17"/>
  <c r="AI17" s="1"/>
  <c r="DZ39"/>
  <c r="DY39"/>
  <c r="CG39"/>
  <c r="CF39"/>
  <c r="AN39"/>
  <c r="AM39"/>
  <c r="EQ14"/>
  <c r="FS26"/>
  <c r="FR26"/>
  <c r="DZ26"/>
  <c r="DY26"/>
  <c r="CG26"/>
  <c r="CF26"/>
  <c r="HB1"/>
  <c r="T15"/>
  <c r="FF16"/>
  <c r="FI16" s="1"/>
  <c r="FG16"/>
  <c r="FJ16" s="1"/>
  <c r="EQ16"/>
  <c r="ET16" s="1"/>
  <c r="ER16"/>
  <c r="EU16" s="1"/>
  <c r="BW16"/>
  <c r="BU16"/>
  <c r="BX16" s="1"/>
  <c r="BE16"/>
  <c r="BH16" s="1"/>
  <c r="BF16"/>
  <c r="BI16" s="1"/>
  <c r="AA16"/>
  <c r="AD16" s="1"/>
  <c r="AB16"/>
  <c r="AE16" s="1"/>
  <c r="L16"/>
  <c r="O16" s="1"/>
  <c r="M16"/>
  <c r="P16" s="1"/>
  <c r="FE26"/>
  <c r="EP26"/>
  <c r="DL26"/>
  <c r="CW26"/>
  <c r="BS26"/>
  <c r="BD26"/>
  <c r="Z26"/>
  <c r="K26"/>
  <c r="DU47" i="21"/>
  <c r="DU52" s="1"/>
  <c r="CZ47"/>
  <c r="CZ52" s="1"/>
  <c r="CE47"/>
  <c r="CE52" s="1"/>
  <c r="BJ47"/>
  <c r="BJ52" s="1"/>
  <c r="AO47"/>
  <c r="AO52" s="1"/>
  <c r="T47"/>
  <c r="T52" s="1"/>
  <c r="DS18" i="23"/>
  <c r="DT18"/>
  <c r="AT16" i="24" l="1"/>
  <c r="AS16"/>
  <c r="FH31" i="23"/>
  <c r="AV16" i="24"/>
  <c r="BB16" s="1"/>
  <c r="AW16"/>
  <c r="BC16" s="1"/>
  <c r="AQ17" i="23"/>
  <c r="GB17" s="1"/>
  <c r="GH17" s="1"/>
  <c r="BR16" i="24"/>
  <c r="CA16"/>
  <c r="CG16" s="1"/>
  <c r="BS16"/>
  <c r="EA26" i="23"/>
  <c r="CH26"/>
  <c r="AL17"/>
  <c r="AP17"/>
  <c r="AS17" s="1"/>
  <c r="FT26"/>
  <c r="AU17"/>
  <c r="GC17"/>
  <c r="GI17" s="1"/>
  <c r="CJ16"/>
  <c r="GK16" s="1"/>
  <c r="GQ16" s="1"/>
  <c r="FV16"/>
  <c r="FU16"/>
  <c r="CB16" i="24"/>
  <c r="CH16" s="1"/>
  <c r="Q17" i="23"/>
  <c r="CI16"/>
  <c r="E28"/>
  <c r="HG16"/>
  <c r="FB16"/>
  <c r="FH16" s="1"/>
  <c r="FP16"/>
  <c r="FO16"/>
  <c r="EY16"/>
  <c r="FM16"/>
  <c r="FL16"/>
  <c r="EM16"/>
  <c r="ES16" s="1"/>
  <c r="EJ16"/>
  <c r="BP16"/>
  <c r="CD16"/>
  <c r="CC16"/>
  <c r="BM16"/>
  <c r="CA16"/>
  <c r="BZ16"/>
  <c r="BA16"/>
  <c r="BG16" s="1"/>
  <c r="AX16"/>
  <c r="W16"/>
  <c r="AC16" s="1"/>
  <c r="T16"/>
  <c r="H16"/>
  <c r="N16" s="1"/>
  <c r="E16"/>
  <c r="GA17" l="1"/>
  <c r="GG17" s="1"/>
  <c r="AF16"/>
  <c r="AT17"/>
  <c r="BJ16"/>
  <c r="Q16"/>
  <c r="FK16"/>
  <c r="FX16"/>
  <c r="FY16"/>
  <c r="FW16"/>
  <c r="EV16"/>
  <c r="CM16"/>
  <c r="GJ16"/>
  <c r="GP16" s="1"/>
  <c r="CL16"/>
  <c r="CE16"/>
  <c r="BV16"/>
  <c r="CB16"/>
  <c r="FN16"/>
  <c r="FQ16"/>
  <c r="CW39"/>
  <c r="EA39" s="1"/>
  <c r="BD39"/>
  <c r="CH39" s="1"/>
  <c r="K39"/>
  <c r="AO39" s="1"/>
  <c r="FZ16" l="1"/>
  <c r="BY16"/>
  <c r="CK16"/>
  <c r="BM46" i="22"/>
  <c r="Z46" i="21"/>
  <c r="E46"/>
  <c r="BD39" i="22"/>
  <c r="AX39"/>
  <c r="Z39"/>
  <c r="T39"/>
  <c r="HF38" i="23"/>
  <c r="HE38"/>
  <c r="GW38"/>
  <c r="GV38"/>
  <c r="GN38"/>
  <c r="GM38"/>
  <c r="GE38"/>
  <c r="GD38"/>
  <c r="CN16" l="1"/>
  <c r="GL16"/>
  <c r="GR16" s="1"/>
  <c r="CN12" i="22"/>
  <c r="CK12"/>
  <c r="CH12"/>
  <c r="BS12"/>
  <c r="BP12"/>
  <c r="BM12"/>
  <c r="BG12"/>
  <c r="EM12" s="1"/>
  <c r="AR12"/>
  <c r="AO12"/>
  <c r="AL12"/>
  <c r="EA12" s="1"/>
  <c r="AI12"/>
  <c r="DX12" s="1"/>
  <c r="AE12"/>
  <c r="AD12"/>
  <c r="AC12"/>
  <c r="DR12" s="1"/>
  <c r="N12"/>
  <c r="DL12" s="1"/>
  <c r="K12"/>
  <c r="H12"/>
  <c r="E12"/>
  <c r="EL12"/>
  <c r="EK12"/>
  <c r="EJ12"/>
  <c r="EI12"/>
  <c r="EH12"/>
  <c r="EG12"/>
  <c r="EF12"/>
  <c r="EE12"/>
  <c r="EC12"/>
  <c r="EB12"/>
  <c r="DZ12"/>
  <c r="DY12"/>
  <c r="DW12"/>
  <c r="DV12"/>
  <c r="DQ12"/>
  <c r="DP12"/>
  <c r="DO12"/>
  <c r="DN12"/>
  <c r="DM12"/>
  <c r="DK12"/>
  <c r="DJ12"/>
  <c r="DH12"/>
  <c r="DG12"/>
  <c r="DE12"/>
  <c r="DD12"/>
  <c r="DB12"/>
  <c r="DA12"/>
  <c r="CY12"/>
  <c r="CX12"/>
  <c r="CD12"/>
  <c r="CC12"/>
  <c r="BI12"/>
  <c r="BH12"/>
  <c r="AF12" l="1"/>
  <c r="DS12"/>
  <c r="ED12"/>
  <c r="DC12"/>
  <c r="DF12"/>
  <c r="CZ12"/>
  <c r="DI12"/>
  <c r="EO12"/>
  <c r="EN12"/>
  <c r="CE12"/>
  <c r="DT12"/>
  <c r="BJ12"/>
  <c r="DU12" l="1"/>
  <c r="EP12"/>
  <c r="FM33" i="21"/>
  <c r="FL33"/>
  <c r="FB33"/>
  <c r="EY33"/>
  <c r="ER33"/>
  <c r="EQ33"/>
  <c r="ES33" s="1"/>
  <c r="EG33"/>
  <c r="ED33"/>
  <c r="DW33"/>
  <c r="DV33"/>
  <c r="DL33"/>
  <c r="DI33"/>
  <c r="DX33" s="1"/>
  <c r="DB33"/>
  <c r="DA33"/>
  <c r="CQ33"/>
  <c r="CN33"/>
  <c r="CG33"/>
  <c r="CF33"/>
  <c r="BV33"/>
  <c r="BS33"/>
  <c r="CH33" s="1"/>
  <c r="BL33"/>
  <c r="BK33"/>
  <c r="BD33"/>
  <c r="BA33"/>
  <c r="AX33"/>
  <c r="AQ33"/>
  <c r="AP33"/>
  <c r="AF33"/>
  <c r="AC33"/>
  <c r="V33"/>
  <c r="U33"/>
  <c r="N33"/>
  <c r="K33"/>
  <c r="H33"/>
  <c r="HG32" i="23"/>
  <c r="GX32"/>
  <c r="GO32"/>
  <c r="GF32"/>
  <c r="FP32"/>
  <c r="FO32"/>
  <c r="FM32"/>
  <c r="FL32"/>
  <c r="FG32"/>
  <c r="FJ32" s="1"/>
  <c r="FF32"/>
  <c r="FI32" s="1"/>
  <c r="FB32"/>
  <c r="FH32" s="1"/>
  <c r="EY32"/>
  <c r="ER32"/>
  <c r="EQ32"/>
  <c r="ET32" s="1"/>
  <c r="EM32"/>
  <c r="ES32" s="1"/>
  <c r="EJ32"/>
  <c r="DW32"/>
  <c r="DV32"/>
  <c r="DT32"/>
  <c r="DS32"/>
  <c r="DN32"/>
  <c r="DQ32" s="1"/>
  <c r="DI32"/>
  <c r="DO32" s="1"/>
  <c r="DF32"/>
  <c r="CY32"/>
  <c r="CX32"/>
  <c r="DA32" s="1"/>
  <c r="CT32"/>
  <c r="CZ32" s="1"/>
  <c r="CQ32"/>
  <c r="CD32"/>
  <c r="CC32"/>
  <c r="CA32"/>
  <c r="BZ32"/>
  <c r="BU32"/>
  <c r="BX32" s="1"/>
  <c r="BT32"/>
  <c r="BW32" s="1"/>
  <c r="BP32"/>
  <c r="BV32" s="1"/>
  <c r="BM32"/>
  <c r="BF32"/>
  <c r="BI32" s="1"/>
  <c r="BE32"/>
  <c r="BA32"/>
  <c r="BG32" s="1"/>
  <c r="AX32"/>
  <c r="AK32"/>
  <c r="AJ32"/>
  <c r="AH32"/>
  <c r="AG32"/>
  <c r="AB32"/>
  <c r="AE32" s="1"/>
  <c r="AA32"/>
  <c r="AD32" s="1"/>
  <c r="W32"/>
  <c r="AC32" s="1"/>
  <c r="AF32" s="1"/>
  <c r="T32"/>
  <c r="M32"/>
  <c r="P32" s="1"/>
  <c r="L32"/>
  <c r="O32" s="1"/>
  <c r="H32"/>
  <c r="N32" s="1"/>
  <c r="E32"/>
  <c r="E33" i="22"/>
  <c r="H33"/>
  <c r="K33"/>
  <c r="N33"/>
  <c r="Q33"/>
  <c r="AD33"/>
  <c r="AE33"/>
  <c r="AI33"/>
  <c r="AL33"/>
  <c r="AO33"/>
  <c r="AR33"/>
  <c r="AU33"/>
  <c r="BH33"/>
  <c r="BI33"/>
  <c r="BM33"/>
  <c r="BP33"/>
  <c r="BS33"/>
  <c r="BV33"/>
  <c r="BY33"/>
  <c r="CB33"/>
  <c r="DR33" s="1"/>
  <c r="CC33"/>
  <c r="CD33"/>
  <c r="CH33"/>
  <c r="CK33"/>
  <c r="CN33"/>
  <c r="CQ33"/>
  <c r="CT33"/>
  <c r="EJ33" s="1"/>
  <c r="CX33"/>
  <c r="CY33"/>
  <c r="DA33"/>
  <c r="DB33"/>
  <c r="DD33"/>
  <c r="DE33"/>
  <c r="DG33"/>
  <c r="DH33"/>
  <c r="DJ33"/>
  <c r="DK33"/>
  <c r="DM33"/>
  <c r="DN33"/>
  <c r="DO33"/>
  <c r="DP33"/>
  <c r="DQ33"/>
  <c r="DV33"/>
  <c r="DW33"/>
  <c r="DY33"/>
  <c r="DZ33"/>
  <c r="EB33"/>
  <c r="EC33"/>
  <c r="EE33"/>
  <c r="EF33"/>
  <c r="EH33"/>
  <c r="EI33"/>
  <c r="EK33"/>
  <c r="EL33"/>
  <c r="EM33"/>
  <c r="EV22" i="21"/>
  <c r="EA22"/>
  <c r="DF22"/>
  <c r="CK22"/>
  <c r="BP22"/>
  <c r="AU22"/>
  <c r="Z22"/>
  <c r="E22"/>
  <c r="BM33" l="1"/>
  <c r="DC33"/>
  <c r="EO33" i="22"/>
  <c r="DS33"/>
  <c r="FN32" i="23"/>
  <c r="AI32"/>
  <c r="BY32"/>
  <c r="AR33" i="21"/>
  <c r="FN33"/>
  <c r="CB32" i="23"/>
  <c r="EG33" i="22"/>
  <c r="CI32" i="23"/>
  <c r="GJ32" s="1"/>
  <c r="GP32" s="1"/>
  <c r="FV32"/>
  <c r="HC32" s="1"/>
  <c r="HI32" s="1"/>
  <c r="EC32"/>
  <c r="EF32" s="1"/>
  <c r="DU32"/>
  <c r="DC33" i="22"/>
  <c r="AF33"/>
  <c r="ED33"/>
  <c r="DI33"/>
  <c r="EN33"/>
  <c r="CE33"/>
  <c r="DL33"/>
  <c r="FK32" i="23"/>
  <c r="W33" i="21"/>
  <c r="CZ33" i="22"/>
  <c r="EP33" s="1"/>
  <c r="DT33"/>
  <c r="BJ33"/>
  <c r="DR32" i="23"/>
  <c r="ED32"/>
  <c r="DC32"/>
  <c r="CK32"/>
  <c r="BJ32"/>
  <c r="FW32"/>
  <c r="EV32"/>
  <c r="AR32"/>
  <c r="Q32"/>
  <c r="AQ32"/>
  <c r="CJ32"/>
  <c r="AP32"/>
  <c r="DB32"/>
  <c r="EU32"/>
  <c r="FU32"/>
  <c r="AL32"/>
  <c r="BH32"/>
  <c r="CE32"/>
  <c r="DX32"/>
  <c r="FQ32"/>
  <c r="DF33" i="22"/>
  <c r="DX33"/>
  <c r="EA33"/>
  <c r="CG36" i="23"/>
  <c r="CF36"/>
  <c r="AN36"/>
  <c r="AM36"/>
  <c r="FS15"/>
  <c r="FR15"/>
  <c r="DZ15"/>
  <c r="DY15"/>
  <c r="CG15"/>
  <c r="CF15"/>
  <c r="AB41"/>
  <c r="AE41" s="1"/>
  <c r="AA41"/>
  <c r="AD41" s="1"/>
  <c r="CL32" l="1"/>
  <c r="GT32"/>
  <c r="GZ32" s="1"/>
  <c r="DU33" i="22"/>
  <c r="FY32" i="23"/>
  <c r="AT32"/>
  <c r="GB32"/>
  <c r="GH32" s="1"/>
  <c r="GK32"/>
  <c r="GQ32" s="1"/>
  <c r="CM32"/>
  <c r="HD32"/>
  <c r="HJ32" s="1"/>
  <c r="FZ32"/>
  <c r="GU32"/>
  <c r="HA32" s="1"/>
  <c r="EG32"/>
  <c r="AU32"/>
  <c r="GC32"/>
  <c r="GI32" s="1"/>
  <c r="GL32"/>
  <c r="GR32" s="1"/>
  <c r="CN32"/>
  <c r="HB32"/>
  <c r="HH32" s="1"/>
  <c r="FX32"/>
  <c r="GA32"/>
  <c r="GG32" s="1"/>
  <c r="AS32"/>
  <c r="EL13" i="22"/>
  <c r="EK13"/>
  <c r="EI13"/>
  <c r="EH13"/>
  <c r="EF13"/>
  <c r="EE13"/>
  <c r="EC13"/>
  <c r="EB13"/>
  <c r="DZ13"/>
  <c r="DY13"/>
  <c r="DW13"/>
  <c r="DV13"/>
  <c r="DQ13"/>
  <c r="DP13"/>
  <c r="DN13"/>
  <c r="DM13"/>
  <c r="DK13"/>
  <c r="DJ13"/>
  <c r="DH13"/>
  <c r="DG13"/>
  <c r="DE13"/>
  <c r="DD13"/>
  <c r="DB13"/>
  <c r="DA13"/>
  <c r="CY13"/>
  <c r="CX13"/>
  <c r="CW13"/>
  <c r="CT13"/>
  <c r="CQ13"/>
  <c r="CN13"/>
  <c r="CK13"/>
  <c r="CH13"/>
  <c r="CD13"/>
  <c r="CC13"/>
  <c r="CB13"/>
  <c r="BY13"/>
  <c r="DO13" s="1"/>
  <c r="BV13"/>
  <c r="BS13"/>
  <c r="BP13"/>
  <c r="BM13"/>
  <c r="BI13"/>
  <c r="EO13" s="1"/>
  <c r="BH13"/>
  <c r="BG13"/>
  <c r="EM13" s="1"/>
  <c r="AU13"/>
  <c r="AR13"/>
  <c r="EG13" s="1"/>
  <c r="AO13"/>
  <c r="AL13"/>
  <c r="AI13"/>
  <c r="AE13"/>
  <c r="DT13" s="1"/>
  <c r="AD13"/>
  <c r="AC13"/>
  <c r="DR13" s="1"/>
  <c r="N13"/>
  <c r="K13"/>
  <c r="E13"/>
  <c r="DL13" l="1"/>
  <c r="EJ13"/>
  <c r="DS13"/>
  <c r="DC13"/>
  <c r="DI13"/>
  <c r="EN13"/>
  <c r="EA13"/>
  <c r="BJ13"/>
  <c r="CE13"/>
  <c r="CZ13"/>
  <c r="ED13"/>
  <c r="DX13"/>
  <c r="CF14" i="24"/>
  <c r="BW14"/>
  <c r="BN14"/>
  <c r="BE14"/>
  <c r="AR14"/>
  <c r="AO14"/>
  <c r="Z14"/>
  <c r="W14"/>
  <c r="H14"/>
  <c r="E14"/>
  <c r="N14" l="1"/>
  <c r="K14"/>
  <c r="AL14"/>
  <c r="AF14"/>
  <c r="AC14"/>
  <c r="AU14"/>
  <c r="AX14"/>
  <c r="BD14" s="1"/>
  <c r="BH14"/>
  <c r="T14"/>
  <c r="BK14"/>
  <c r="BQ14" s="1"/>
  <c r="CC14"/>
  <c r="CI14" s="1"/>
  <c r="BT14"/>
  <c r="EP13" i="22"/>
  <c r="AF37" i="21"/>
  <c r="Q37"/>
  <c r="Q52" s="1"/>
  <c r="E37"/>
  <c r="FR36" i="23"/>
  <c r="FS36"/>
  <c r="FO36"/>
  <c r="FP36"/>
  <c r="FL36"/>
  <c r="FM36"/>
  <c r="FF36"/>
  <c r="FI36" s="1"/>
  <c r="FG36"/>
  <c r="FB36"/>
  <c r="EY36"/>
  <c r="CC36"/>
  <c r="CD36"/>
  <c r="BZ36"/>
  <c r="CA36"/>
  <c r="BT36"/>
  <c r="BU36"/>
  <c r="AJ36"/>
  <c r="AK36"/>
  <c r="AG36"/>
  <c r="AH36"/>
  <c r="DN36"/>
  <c r="EQ36"/>
  <c r="ER36"/>
  <c r="EP36"/>
  <c r="FT36" s="1"/>
  <c r="EM36"/>
  <c r="EJ36"/>
  <c r="EA36"/>
  <c r="DX36"/>
  <c r="DU36"/>
  <c r="DI36"/>
  <c r="DF36"/>
  <c r="CX36"/>
  <c r="CY36"/>
  <c r="CW36"/>
  <c r="CT36"/>
  <c r="CQ36"/>
  <c r="BP36"/>
  <c r="BM36"/>
  <c r="BE36"/>
  <c r="BF36"/>
  <c r="BD36"/>
  <c r="BA36"/>
  <c r="AX36"/>
  <c r="AA36"/>
  <c r="AB36"/>
  <c r="W36"/>
  <c r="T36"/>
  <c r="L36"/>
  <c r="M36"/>
  <c r="K36"/>
  <c r="AO36" s="1"/>
  <c r="H36"/>
  <c r="E36"/>
  <c r="FE15"/>
  <c r="EP15"/>
  <c r="DL15"/>
  <c r="CW15"/>
  <c r="BS15"/>
  <c r="BD15"/>
  <c r="Z15"/>
  <c r="K15"/>
  <c r="BA25" i="22"/>
  <c r="AX25"/>
  <c r="W25"/>
  <c r="CF13" i="24"/>
  <c r="CF12"/>
  <c r="CF11"/>
  <c r="CF9"/>
  <c r="AR15"/>
  <c r="AR13"/>
  <c r="AR12"/>
  <c r="AR11"/>
  <c r="AR10"/>
  <c r="AR9"/>
  <c r="AO9"/>
  <c r="AO10"/>
  <c r="AO11"/>
  <c r="AO12"/>
  <c r="AO13"/>
  <c r="AO15"/>
  <c r="AO8"/>
  <c r="AR8"/>
  <c r="T9" i="11"/>
  <c r="Q9"/>
  <c r="N9"/>
  <c r="K9"/>
  <c r="H9"/>
  <c r="E9"/>
  <c r="BT12" i="24" l="1"/>
  <c r="AU12"/>
  <c r="AX12"/>
  <c r="BD12" s="1"/>
  <c r="BT13"/>
  <c r="AX13"/>
  <c r="BD13" s="1"/>
  <c r="AU13"/>
  <c r="BT10"/>
  <c r="AX10"/>
  <c r="BD10" s="1"/>
  <c r="AU10"/>
  <c r="BT11"/>
  <c r="AU11"/>
  <c r="AX11"/>
  <c r="BD11" s="1"/>
  <c r="BT15"/>
  <c r="AX15"/>
  <c r="AU15"/>
  <c r="AU8"/>
  <c r="AX8"/>
  <c r="BD8" s="1"/>
  <c r="BE8" s="1"/>
  <c r="BH8" s="1"/>
  <c r="BK8" s="1"/>
  <c r="BN8" s="1"/>
  <c r="BQ8" s="1"/>
  <c r="BT8" s="1"/>
  <c r="BW8" s="1"/>
  <c r="BZ8" s="1"/>
  <c r="CC8" s="1"/>
  <c r="CF8" s="1"/>
  <c r="CI8" s="1"/>
  <c r="BT9"/>
  <c r="AU9"/>
  <c r="AX9"/>
  <c r="BD9" s="1"/>
  <c r="CH15" i="23"/>
  <c r="FT15"/>
  <c r="AI36"/>
  <c r="AO16" i="24"/>
  <c r="AR16"/>
  <c r="AU16" s="1"/>
  <c r="N36" i="23"/>
  <c r="BZ14" i="24"/>
  <c r="BV36" i="23"/>
  <c r="CB36"/>
  <c r="CH36"/>
  <c r="DO36"/>
  <c r="CI36"/>
  <c r="AP36"/>
  <c r="GA36" s="1"/>
  <c r="BG36"/>
  <c r="CZ36"/>
  <c r="AL36"/>
  <c r="CJ36"/>
  <c r="EA15"/>
  <c r="AQ36"/>
  <c r="GB36" s="1"/>
  <c r="ES36"/>
  <c r="FV36"/>
  <c r="FU36"/>
  <c r="FQ36"/>
  <c r="AC36"/>
  <c r="CE36"/>
  <c r="EC36"/>
  <c r="FH36"/>
  <c r="FK36" s="1"/>
  <c r="FN36"/>
  <c r="CF16" i="24" l="1"/>
  <c r="BT16"/>
  <c r="AX16"/>
  <c r="BD16" s="1"/>
  <c r="AR36" i="23"/>
  <c r="GC36" s="1"/>
  <c r="ED36"/>
  <c r="CK36"/>
  <c r="FW36"/>
  <c r="M33"/>
  <c r="N33" s="1"/>
  <c r="AU36" l="1"/>
  <c r="AK50"/>
  <c r="AJ50"/>
  <c r="AH50"/>
  <c r="AG50"/>
  <c r="AK41"/>
  <c r="AJ41"/>
  <c r="AH41"/>
  <c r="AG41"/>
  <c r="M41"/>
  <c r="P41" s="1"/>
  <c r="L41"/>
  <c r="O41" s="1"/>
  <c r="W41"/>
  <c r="AC41" s="1"/>
  <c r="T41"/>
  <c r="M50"/>
  <c r="P50" s="1"/>
  <c r="L50"/>
  <c r="O50" s="1"/>
  <c r="H41"/>
  <c r="N41" s="1"/>
  <c r="E41"/>
  <c r="HG50"/>
  <c r="GX50"/>
  <c r="GO50"/>
  <c r="H13" i="22"/>
  <c r="AQ25"/>
  <c r="AP25"/>
  <c r="AK25"/>
  <c r="AL25" s="1"/>
  <c r="AJ25"/>
  <c r="AH25"/>
  <c r="AG25"/>
  <c r="M25"/>
  <c r="L25"/>
  <c r="G25"/>
  <c r="F25"/>
  <c r="D25"/>
  <c r="C25"/>
  <c r="EY11" i="21"/>
  <c r="EY12"/>
  <c r="EY14"/>
  <c r="EY15"/>
  <c r="EY16"/>
  <c r="EY17"/>
  <c r="EY19"/>
  <c r="EY20"/>
  <c r="EY21"/>
  <c r="EY22"/>
  <c r="EY23"/>
  <c r="EY24"/>
  <c r="EY25"/>
  <c r="EY26"/>
  <c r="EY27"/>
  <c r="EY28"/>
  <c r="EY29"/>
  <c r="EY30"/>
  <c r="EY31"/>
  <c r="EY32"/>
  <c r="EY34"/>
  <c r="EY35"/>
  <c r="EY36"/>
  <c r="EY37"/>
  <c r="EY38"/>
  <c r="EY39"/>
  <c r="EY40"/>
  <c r="EY41"/>
  <c r="EY42"/>
  <c r="EY43"/>
  <c r="EY44"/>
  <c r="EY45"/>
  <c r="EY46"/>
  <c r="EY47"/>
  <c r="EY48"/>
  <c r="EY49"/>
  <c r="EY50"/>
  <c r="EY51"/>
  <c r="EY13"/>
  <c r="ED21"/>
  <c r="ED22"/>
  <c r="ED23"/>
  <c r="ED24"/>
  <c r="ED25"/>
  <c r="ED26"/>
  <c r="ED27"/>
  <c r="ED28"/>
  <c r="ED29"/>
  <c r="ED30"/>
  <c r="ED31"/>
  <c r="ED32"/>
  <c r="ED34"/>
  <c r="ED35"/>
  <c r="ED36"/>
  <c r="ED37"/>
  <c r="ED38"/>
  <c r="ED39"/>
  <c r="ED40"/>
  <c r="ED41"/>
  <c r="ED42"/>
  <c r="ED43"/>
  <c r="ED44"/>
  <c r="ED45"/>
  <c r="ED46"/>
  <c r="ED47"/>
  <c r="ED48"/>
  <c r="ED49"/>
  <c r="ED50"/>
  <c r="ED51"/>
  <c r="ED14"/>
  <c r="ED15"/>
  <c r="ED16"/>
  <c r="ED17"/>
  <c r="ED19"/>
  <c r="ED20"/>
  <c r="ED13"/>
  <c r="DI14"/>
  <c r="DI15"/>
  <c r="DI16"/>
  <c r="DI17"/>
  <c r="DI19"/>
  <c r="DI20"/>
  <c r="DI21"/>
  <c r="DI22"/>
  <c r="DI23"/>
  <c r="DI24"/>
  <c r="DI25"/>
  <c r="DI26"/>
  <c r="DI27"/>
  <c r="DI28"/>
  <c r="DI29"/>
  <c r="DI30"/>
  <c r="DI31"/>
  <c r="DI32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13"/>
  <c r="CN14"/>
  <c r="CN15"/>
  <c r="CN16"/>
  <c r="CN17"/>
  <c r="CN19"/>
  <c r="CN20"/>
  <c r="CN21"/>
  <c r="CN22"/>
  <c r="CN23"/>
  <c r="CN24"/>
  <c r="CN25"/>
  <c r="CN26"/>
  <c r="CN27"/>
  <c r="CN28"/>
  <c r="CN29"/>
  <c r="CN30"/>
  <c r="CN31"/>
  <c r="CN32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13"/>
  <c r="BS14"/>
  <c r="BS15"/>
  <c r="BS16"/>
  <c r="BS17"/>
  <c r="BS19"/>
  <c r="BS20"/>
  <c r="BS21"/>
  <c r="BS22"/>
  <c r="BS23"/>
  <c r="BS24"/>
  <c r="BS26"/>
  <c r="BS27"/>
  <c r="BS28"/>
  <c r="BS29"/>
  <c r="BS30"/>
  <c r="BS31"/>
  <c r="BS32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13"/>
  <c r="AX14"/>
  <c r="AX15"/>
  <c r="AX16"/>
  <c r="AX17"/>
  <c r="AX19"/>
  <c r="AX20"/>
  <c r="AX21"/>
  <c r="AX22"/>
  <c r="AX23"/>
  <c r="AX24"/>
  <c r="AX25"/>
  <c r="AX26"/>
  <c r="AX27"/>
  <c r="AX28"/>
  <c r="AX29"/>
  <c r="AX30"/>
  <c r="AX31"/>
  <c r="AX32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13"/>
  <c r="AC16"/>
  <c r="AC17"/>
  <c r="AC19"/>
  <c r="AC20"/>
  <c r="AC21"/>
  <c r="AC22"/>
  <c r="AC23"/>
  <c r="AC24"/>
  <c r="AC25"/>
  <c r="AC26"/>
  <c r="AC27"/>
  <c r="AC28"/>
  <c r="AC30"/>
  <c r="AC31"/>
  <c r="AC32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14"/>
  <c r="AC15"/>
  <c r="AC13"/>
  <c r="H14"/>
  <c r="H15"/>
  <c r="H16"/>
  <c r="H17"/>
  <c r="H19"/>
  <c r="H20"/>
  <c r="H21"/>
  <c r="H22"/>
  <c r="H23"/>
  <c r="H24"/>
  <c r="H25"/>
  <c r="H26"/>
  <c r="H27"/>
  <c r="H28"/>
  <c r="H30"/>
  <c r="H31"/>
  <c r="H3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13"/>
  <c r="FB14"/>
  <c r="FB15"/>
  <c r="FB16"/>
  <c r="FB17"/>
  <c r="FB19"/>
  <c r="FB20"/>
  <c r="FB21"/>
  <c r="FB22"/>
  <c r="FB23"/>
  <c r="FB24"/>
  <c r="FB25"/>
  <c r="FB26"/>
  <c r="FB27"/>
  <c r="FB28"/>
  <c r="FB29"/>
  <c r="FB30"/>
  <c r="FB31"/>
  <c r="FB32"/>
  <c r="FB34"/>
  <c r="FB35"/>
  <c r="FB36"/>
  <c r="FB37"/>
  <c r="FB38"/>
  <c r="FB39"/>
  <c r="FB40"/>
  <c r="FB41"/>
  <c r="FB42"/>
  <c r="FB43"/>
  <c r="FB44"/>
  <c r="FB45"/>
  <c r="FB46"/>
  <c r="FB47"/>
  <c r="FB48"/>
  <c r="FB49"/>
  <c r="FB50"/>
  <c r="FB51"/>
  <c r="FB13"/>
  <c r="EG14"/>
  <c r="EG15"/>
  <c r="EG16"/>
  <c r="EG17"/>
  <c r="EG19"/>
  <c r="EG20"/>
  <c r="EG21"/>
  <c r="EG22"/>
  <c r="EG23"/>
  <c r="EG24"/>
  <c r="EG25"/>
  <c r="EG26"/>
  <c r="EG27"/>
  <c r="EG28"/>
  <c r="EG29"/>
  <c r="EG30"/>
  <c r="EG31"/>
  <c r="EG32"/>
  <c r="EG34"/>
  <c r="EG35"/>
  <c r="EG36"/>
  <c r="EG37"/>
  <c r="EG38"/>
  <c r="EG39"/>
  <c r="EG40"/>
  <c r="EG41"/>
  <c r="EG42"/>
  <c r="EG43"/>
  <c r="EG44"/>
  <c r="EG45"/>
  <c r="EG46"/>
  <c r="EG47"/>
  <c r="EG48"/>
  <c r="EG49"/>
  <c r="EG50"/>
  <c r="EG51"/>
  <c r="EG13"/>
  <c r="DL14"/>
  <c r="DL15"/>
  <c r="DL16"/>
  <c r="DL17"/>
  <c r="DL19"/>
  <c r="DL20"/>
  <c r="DL21"/>
  <c r="DL22"/>
  <c r="DL23"/>
  <c r="DL24"/>
  <c r="DL25"/>
  <c r="DL26"/>
  <c r="DL27"/>
  <c r="DL28"/>
  <c r="DL29"/>
  <c r="DL30"/>
  <c r="DL31"/>
  <c r="DL32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13"/>
  <c r="CQ14"/>
  <c r="CQ15"/>
  <c r="CQ16"/>
  <c r="CQ17"/>
  <c r="CQ19"/>
  <c r="CQ20"/>
  <c r="CQ21"/>
  <c r="CQ22"/>
  <c r="CQ23"/>
  <c r="CQ24"/>
  <c r="CQ25"/>
  <c r="CQ26"/>
  <c r="CQ27"/>
  <c r="CQ28"/>
  <c r="CQ29"/>
  <c r="CQ30"/>
  <c r="CQ31"/>
  <c r="CQ32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13"/>
  <c r="BV14"/>
  <c r="BV15"/>
  <c r="BV16"/>
  <c r="BV17"/>
  <c r="BV19"/>
  <c r="BV20"/>
  <c r="BV21"/>
  <c r="BV22"/>
  <c r="BV23"/>
  <c r="BV24"/>
  <c r="BV25"/>
  <c r="BV26"/>
  <c r="BV27"/>
  <c r="BV28"/>
  <c r="BV29"/>
  <c r="BV30"/>
  <c r="BV31"/>
  <c r="BV32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13"/>
  <c r="BA14"/>
  <c r="BA15"/>
  <c r="BA16"/>
  <c r="BA17"/>
  <c r="BA19"/>
  <c r="BA20"/>
  <c r="BA21"/>
  <c r="BA22"/>
  <c r="BA23"/>
  <c r="BA24"/>
  <c r="BA25"/>
  <c r="BA26"/>
  <c r="BA27"/>
  <c r="BA28"/>
  <c r="BA29"/>
  <c r="BA30"/>
  <c r="BA31"/>
  <c r="BA32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2"/>
  <c r="BD31"/>
  <c r="BD30"/>
  <c r="BD29"/>
  <c r="BD28"/>
  <c r="BD27"/>
  <c r="BD26"/>
  <c r="BD25"/>
  <c r="BD24"/>
  <c r="BD23"/>
  <c r="BD22"/>
  <c r="BD21"/>
  <c r="BD20"/>
  <c r="BD19"/>
  <c r="BD17"/>
  <c r="BD16"/>
  <c r="BD15"/>
  <c r="BD14"/>
  <c r="BD13"/>
  <c r="BD12"/>
  <c r="BD11"/>
  <c r="BA13"/>
  <c r="AR8"/>
  <c r="AF14"/>
  <c r="AF15"/>
  <c r="AF16"/>
  <c r="AF17"/>
  <c r="AF19"/>
  <c r="AF20"/>
  <c r="AF21"/>
  <c r="AF22"/>
  <c r="AF52" s="1"/>
  <c r="AF13"/>
  <c r="AF10"/>
  <c r="AF11"/>
  <c r="AF12"/>
  <c r="AF9"/>
  <c r="N11"/>
  <c r="N12"/>
  <c r="N13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10"/>
  <c r="N8"/>
  <c r="N9"/>
  <c r="K10"/>
  <c r="K11"/>
  <c r="K12"/>
  <c r="K13"/>
  <c r="K14"/>
  <c r="K15"/>
  <c r="K16"/>
  <c r="K17"/>
  <c r="K19"/>
  <c r="K20"/>
  <c r="K21"/>
  <c r="K22"/>
  <c r="K23"/>
  <c r="K24"/>
  <c r="K25"/>
  <c r="K26"/>
  <c r="K27"/>
  <c r="K28"/>
  <c r="K29"/>
  <c r="K30"/>
  <c r="K31"/>
  <c r="K32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9"/>
  <c r="W19" i="23"/>
  <c r="T19"/>
  <c r="AF32" i="21"/>
  <c r="DB35"/>
  <c r="H32" i="22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14"/>
  <c r="H15"/>
  <c r="H16"/>
  <c r="H17"/>
  <c r="H19"/>
  <c r="H20"/>
  <c r="H21"/>
  <c r="H22"/>
  <c r="H23"/>
  <c r="H24"/>
  <c r="H26"/>
  <c r="H27"/>
  <c r="H28"/>
  <c r="H29"/>
  <c r="H30"/>
  <c r="H31"/>
  <c r="CW25"/>
  <c r="CW14"/>
  <c r="CW15"/>
  <c r="CW16"/>
  <c r="CW17"/>
  <c r="CW19"/>
  <c r="CW20"/>
  <c r="CW21"/>
  <c r="CW22"/>
  <c r="CW23"/>
  <c r="CW24"/>
  <c r="CW26"/>
  <c r="CW27"/>
  <c r="CW28"/>
  <c r="CW29"/>
  <c r="CW30"/>
  <c r="CT25"/>
  <c r="CT14"/>
  <c r="CT15"/>
  <c r="CT16"/>
  <c r="CT17"/>
  <c r="CT19"/>
  <c r="CT20"/>
  <c r="CT21"/>
  <c r="CT22"/>
  <c r="CT23"/>
  <c r="CT24"/>
  <c r="CT26"/>
  <c r="CT27"/>
  <c r="CT28"/>
  <c r="CT29"/>
  <c r="CT30"/>
  <c r="CT31"/>
  <c r="CT32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Q25"/>
  <c r="CQ14"/>
  <c r="CQ15"/>
  <c r="CQ16"/>
  <c r="CQ17"/>
  <c r="CQ19"/>
  <c r="CQ20"/>
  <c r="CQ21"/>
  <c r="CQ22"/>
  <c r="CQ23"/>
  <c r="CQ24"/>
  <c r="CQ26"/>
  <c r="CQ27"/>
  <c r="CQ28"/>
  <c r="CQ29"/>
  <c r="CQ30"/>
  <c r="CQ31"/>
  <c r="CQ32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N25"/>
  <c r="CN14"/>
  <c r="CN15"/>
  <c r="CN16"/>
  <c r="CN17"/>
  <c r="CN19"/>
  <c r="CN20"/>
  <c r="CN21"/>
  <c r="CN22"/>
  <c r="CN23"/>
  <c r="CN24"/>
  <c r="CN26"/>
  <c r="CN27"/>
  <c r="CN28"/>
  <c r="CN29"/>
  <c r="CN30"/>
  <c r="CN31"/>
  <c r="CN32"/>
  <c r="CN34"/>
  <c r="CN35"/>
  <c r="CN36"/>
  <c r="CN37"/>
  <c r="CN38"/>
  <c r="CN39"/>
  <c r="CN40"/>
  <c r="CN41"/>
  <c r="CN42"/>
  <c r="CN43"/>
  <c r="CN44"/>
  <c r="CN45"/>
  <c r="CN46"/>
  <c r="CN47"/>
  <c r="CN48"/>
  <c r="CN49"/>
  <c r="CN50"/>
  <c r="CN51"/>
  <c r="CN52"/>
  <c r="CK25"/>
  <c r="CK14"/>
  <c r="CK15"/>
  <c r="CK16"/>
  <c r="CK17"/>
  <c r="CK19"/>
  <c r="CK20"/>
  <c r="CK21"/>
  <c r="CK22"/>
  <c r="CK23"/>
  <c r="CK24"/>
  <c r="CK26"/>
  <c r="CK27"/>
  <c r="CK28"/>
  <c r="CK29"/>
  <c r="CK30"/>
  <c r="CK31"/>
  <c r="CK32"/>
  <c r="CK34"/>
  <c r="CK35"/>
  <c r="CK36"/>
  <c r="CK37"/>
  <c r="CK38"/>
  <c r="CK39"/>
  <c r="CK40"/>
  <c r="CK41"/>
  <c r="CK42"/>
  <c r="CK43"/>
  <c r="CK44"/>
  <c r="CK45"/>
  <c r="CK46"/>
  <c r="CK47"/>
  <c r="CK48"/>
  <c r="CK49"/>
  <c r="CK50"/>
  <c r="CK51"/>
  <c r="CK52"/>
  <c r="CH52"/>
  <c r="CH25"/>
  <c r="CH14"/>
  <c r="CH15"/>
  <c r="CH16"/>
  <c r="CH17"/>
  <c r="CH19"/>
  <c r="CH20"/>
  <c r="CH21"/>
  <c r="CH22"/>
  <c r="CH23"/>
  <c r="CH24"/>
  <c r="CH26"/>
  <c r="CH27"/>
  <c r="CH28"/>
  <c r="CH29"/>
  <c r="CH30"/>
  <c r="CH31"/>
  <c r="CH32"/>
  <c r="CH34"/>
  <c r="CH35"/>
  <c r="CH36"/>
  <c r="CH37"/>
  <c r="CH38"/>
  <c r="CH39"/>
  <c r="CH40"/>
  <c r="CH41"/>
  <c r="CH42"/>
  <c r="CH43"/>
  <c r="CH44"/>
  <c r="CH45"/>
  <c r="CH46"/>
  <c r="CH47"/>
  <c r="CH48"/>
  <c r="CH49"/>
  <c r="CH50"/>
  <c r="CH51"/>
  <c r="CB25"/>
  <c r="CB14"/>
  <c r="CB15"/>
  <c r="CB16"/>
  <c r="CB17"/>
  <c r="CB19"/>
  <c r="CB20"/>
  <c r="CB21"/>
  <c r="CB22"/>
  <c r="CB23"/>
  <c r="CB24"/>
  <c r="CB26"/>
  <c r="CB27"/>
  <c r="CB28"/>
  <c r="CB29"/>
  <c r="CB30"/>
  <c r="CB31"/>
  <c r="CB32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BY25"/>
  <c r="BY14"/>
  <c r="BY15"/>
  <c r="BY16"/>
  <c r="BY17"/>
  <c r="BY19"/>
  <c r="BY20"/>
  <c r="BY21"/>
  <c r="BY22"/>
  <c r="BY23"/>
  <c r="BY24"/>
  <c r="BY26"/>
  <c r="BY27"/>
  <c r="BY28"/>
  <c r="BY29"/>
  <c r="BY30"/>
  <c r="BY31"/>
  <c r="BY32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V25"/>
  <c r="BV14"/>
  <c r="BV15"/>
  <c r="BV16"/>
  <c r="BV17"/>
  <c r="BV19"/>
  <c r="BV20"/>
  <c r="BV21"/>
  <c r="BV22"/>
  <c r="BV23"/>
  <c r="BV24"/>
  <c r="BV26"/>
  <c r="BV27"/>
  <c r="BV28"/>
  <c r="BV29"/>
  <c r="BV30"/>
  <c r="BV31"/>
  <c r="BV32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S25"/>
  <c r="BS14"/>
  <c r="BS15"/>
  <c r="BS16"/>
  <c r="BS17"/>
  <c r="BS19"/>
  <c r="BS20"/>
  <c r="BS21"/>
  <c r="BS22"/>
  <c r="BS23"/>
  <c r="BS24"/>
  <c r="BS26"/>
  <c r="BS27"/>
  <c r="BS28"/>
  <c r="BS29"/>
  <c r="BS30"/>
  <c r="BS31"/>
  <c r="BS32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P25"/>
  <c r="BP14"/>
  <c r="BP15"/>
  <c r="BP16"/>
  <c r="BP17"/>
  <c r="BP19"/>
  <c r="BP20"/>
  <c r="BP21"/>
  <c r="BP22"/>
  <c r="BP23"/>
  <c r="BP24"/>
  <c r="BP26"/>
  <c r="BP27"/>
  <c r="BP28"/>
  <c r="BP29"/>
  <c r="BP30"/>
  <c r="BP31"/>
  <c r="BP32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M25"/>
  <c r="BM14"/>
  <c r="BM15"/>
  <c r="BM16"/>
  <c r="BM17"/>
  <c r="BM19"/>
  <c r="BM20"/>
  <c r="BM21"/>
  <c r="BM22"/>
  <c r="BM23"/>
  <c r="BM24"/>
  <c r="BM26"/>
  <c r="BM27"/>
  <c r="BM28"/>
  <c r="BM29"/>
  <c r="BM30"/>
  <c r="BM31"/>
  <c r="BM32"/>
  <c r="BM34"/>
  <c r="BM35"/>
  <c r="BM36"/>
  <c r="BM37"/>
  <c r="BM38"/>
  <c r="BM39"/>
  <c r="BM40"/>
  <c r="BM41"/>
  <c r="BM42"/>
  <c r="BM43"/>
  <c r="BM44"/>
  <c r="BM45"/>
  <c r="BM47"/>
  <c r="BM48"/>
  <c r="BM49"/>
  <c r="BM50"/>
  <c r="BM51"/>
  <c r="BM52"/>
  <c r="BG25"/>
  <c r="BG14"/>
  <c r="BG15"/>
  <c r="BG16"/>
  <c r="BG17"/>
  <c r="BG19"/>
  <c r="BG20"/>
  <c r="BG21"/>
  <c r="BG22"/>
  <c r="BG23"/>
  <c r="BG24"/>
  <c r="BG26"/>
  <c r="BG27"/>
  <c r="BG28"/>
  <c r="BG29"/>
  <c r="AU25"/>
  <c r="AU14"/>
  <c r="AU15"/>
  <c r="AU16"/>
  <c r="AU17"/>
  <c r="AU19"/>
  <c r="AU20"/>
  <c r="AU21"/>
  <c r="AU22"/>
  <c r="AU23"/>
  <c r="AU24"/>
  <c r="AU26"/>
  <c r="AU27"/>
  <c r="AU28"/>
  <c r="AU29"/>
  <c r="AU30"/>
  <c r="AU31"/>
  <c r="AU32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R14"/>
  <c r="AR15"/>
  <c r="AR16"/>
  <c r="AR17"/>
  <c r="AR19"/>
  <c r="AR20"/>
  <c r="AR21"/>
  <c r="AR22"/>
  <c r="AR23"/>
  <c r="AR24"/>
  <c r="AR26"/>
  <c r="AR27"/>
  <c r="AR28"/>
  <c r="AR29"/>
  <c r="AR30"/>
  <c r="AR31"/>
  <c r="AR32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O25"/>
  <c r="AO14"/>
  <c r="AO15"/>
  <c r="AO16"/>
  <c r="AO17"/>
  <c r="AO19"/>
  <c r="AO20"/>
  <c r="AO21"/>
  <c r="AO22"/>
  <c r="AO23"/>
  <c r="AO24"/>
  <c r="AO26"/>
  <c r="AO27"/>
  <c r="AO28"/>
  <c r="AO29"/>
  <c r="AO30"/>
  <c r="AO31"/>
  <c r="AO32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L14"/>
  <c r="AL15"/>
  <c r="AL16"/>
  <c r="AL17"/>
  <c r="AL19"/>
  <c r="AL20"/>
  <c r="AL21"/>
  <c r="AL22"/>
  <c r="AL23"/>
  <c r="AL24"/>
  <c r="AL26"/>
  <c r="AL27"/>
  <c r="AL28"/>
  <c r="AL29"/>
  <c r="AL30"/>
  <c r="AL31"/>
  <c r="AL32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C29"/>
  <c r="AC28"/>
  <c r="AC27"/>
  <c r="AC26"/>
  <c r="AC24"/>
  <c r="AC23"/>
  <c r="AC22"/>
  <c r="AC21"/>
  <c r="AC20"/>
  <c r="AC19"/>
  <c r="AC17"/>
  <c r="AC16"/>
  <c r="AC15"/>
  <c r="AC14"/>
  <c r="AC25"/>
  <c r="Q25"/>
  <c r="Q14"/>
  <c r="Q15"/>
  <c r="Q16"/>
  <c r="Q17"/>
  <c r="Q19"/>
  <c r="Q20"/>
  <c r="Q21"/>
  <c r="Q22"/>
  <c r="Q23"/>
  <c r="Q24"/>
  <c r="Q26"/>
  <c r="Q27"/>
  <c r="Q28"/>
  <c r="Q29"/>
  <c r="Q30"/>
  <c r="Q31"/>
  <c r="Q32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N14"/>
  <c r="N15"/>
  <c r="N16"/>
  <c r="N17"/>
  <c r="N19"/>
  <c r="N20"/>
  <c r="N21"/>
  <c r="N22"/>
  <c r="N23"/>
  <c r="N24"/>
  <c r="N26"/>
  <c r="N27"/>
  <c r="N28"/>
  <c r="N29"/>
  <c r="N30"/>
  <c r="N31"/>
  <c r="N32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K25"/>
  <c r="K14"/>
  <c r="K15"/>
  <c r="K16"/>
  <c r="K17"/>
  <c r="K19"/>
  <c r="K20"/>
  <c r="K21"/>
  <c r="K22"/>
  <c r="K23"/>
  <c r="K24"/>
  <c r="K26"/>
  <c r="K27"/>
  <c r="K28"/>
  <c r="K29"/>
  <c r="K30"/>
  <c r="K31"/>
  <c r="K32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AF28" i="21"/>
  <c r="BG30" i="22"/>
  <c r="AC30"/>
  <c r="EV30" i="21"/>
  <c r="EV52" s="1"/>
  <c r="EA30"/>
  <c r="EA52" s="1"/>
  <c r="DF30"/>
  <c r="DF52" s="1"/>
  <c r="CK30"/>
  <c r="CK52" s="1"/>
  <c r="BP30"/>
  <c r="BP52" s="1"/>
  <c r="AU30"/>
  <c r="AU52" s="1"/>
  <c r="Z30"/>
  <c r="Z52" s="1"/>
  <c r="E30"/>
  <c r="E52" s="1"/>
  <c r="AI14" i="22"/>
  <c r="AI15"/>
  <c r="AI16"/>
  <c r="AI17"/>
  <c r="AI19"/>
  <c r="AI20"/>
  <c r="AI21"/>
  <c r="AI22"/>
  <c r="AI23"/>
  <c r="AI24"/>
  <c r="AI26"/>
  <c r="AI27"/>
  <c r="AI28"/>
  <c r="AI29"/>
  <c r="AI30"/>
  <c r="AI31"/>
  <c r="AI32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E14"/>
  <c r="E15"/>
  <c r="E16"/>
  <c r="E17"/>
  <c r="E19"/>
  <c r="E20"/>
  <c r="E21"/>
  <c r="E22"/>
  <c r="E23"/>
  <c r="E24"/>
  <c r="E26"/>
  <c r="E27"/>
  <c r="E28"/>
  <c r="E29"/>
  <c r="E30"/>
  <c r="E31"/>
  <c r="E32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B52" i="21" l="1"/>
  <c r="CQ52"/>
  <c r="EG52"/>
  <c r="DI52"/>
  <c r="BV52"/>
  <c r="H52"/>
  <c r="BS52"/>
  <c r="AC52"/>
  <c r="AX52"/>
  <c r="EY52"/>
  <c r="BD52"/>
  <c r="DL52"/>
  <c r="CN52"/>
  <c r="ED52"/>
  <c r="N52"/>
  <c r="K52"/>
  <c r="BA52"/>
  <c r="AF41" i="23"/>
  <c r="AI41"/>
  <c r="N25" i="22"/>
  <c r="AI25"/>
  <c r="H25"/>
  <c r="AR25"/>
  <c r="DF13"/>
  <c r="AF13"/>
  <c r="DU13" s="1"/>
  <c r="E25"/>
  <c r="Q41" i="23"/>
  <c r="AL41"/>
  <c r="CW10" i="22"/>
  <c r="CT10"/>
  <c r="CQ10"/>
  <c r="CN10"/>
  <c r="CK10"/>
  <c r="CH10"/>
  <c r="CB10"/>
  <c r="BY10"/>
  <c r="BV10"/>
  <c r="BS10"/>
  <c r="BP10"/>
  <c r="BM10"/>
  <c r="BG10"/>
  <c r="AU10"/>
  <c r="AR10"/>
  <c r="AO10"/>
  <c r="AL10"/>
  <c r="AI10"/>
  <c r="AC10"/>
  <c r="Q10"/>
  <c r="N10"/>
  <c r="K10"/>
  <c r="H10"/>
  <c r="E10"/>
  <c r="CZ52"/>
  <c r="CY52"/>
  <c r="CX52"/>
  <c r="CZ51"/>
  <c r="CY51"/>
  <c r="CX51"/>
  <c r="CZ50"/>
  <c r="CY50"/>
  <c r="CX50"/>
  <c r="CZ49"/>
  <c r="CY49"/>
  <c r="CX49"/>
  <c r="CZ48"/>
  <c r="CY48"/>
  <c r="CX48"/>
  <c r="CZ47"/>
  <c r="CY47"/>
  <c r="CX47"/>
  <c r="CZ46"/>
  <c r="CY46"/>
  <c r="CX46"/>
  <c r="CZ45"/>
  <c r="CY45"/>
  <c r="CX45"/>
  <c r="CZ44"/>
  <c r="CY44"/>
  <c r="CX44"/>
  <c r="CZ43"/>
  <c r="CY43"/>
  <c r="CX43"/>
  <c r="CZ42"/>
  <c r="CY42"/>
  <c r="CX42"/>
  <c r="CZ41"/>
  <c r="CY41"/>
  <c r="CX41"/>
  <c r="CZ40"/>
  <c r="CY40"/>
  <c r="CX40"/>
  <c r="CZ39"/>
  <c r="CY39"/>
  <c r="CX39"/>
  <c r="CZ38"/>
  <c r="CY38"/>
  <c r="CX38"/>
  <c r="CZ37"/>
  <c r="CY37"/>
  <c r="CX37"/>
  <c r="CZ36"/>
  <c r="CY36"/>
  <c r="CX36"/>
  <c r="CZ35"/>
  <c r="CY35"/>
  <c r="CX35"/>
  <c r="CZ34"/>
  <c r="CY34"/>
  <c r="CX34"/>
  <c r="CZ32"/>
  <c r="CY32"/>
  <c r="CX32"/>
  <c r="CZ31"/>
  <c r="CY31"/>
  <c r="CX31"/>
  <c r="CZ30"/>
  <c r="CY30"/>
  <c r="CX30"/>
  <c r="CZ29"/>
  <c r="CY29"/>
  <c r="CX29"/>
  <c r="CZ28"/>
  <c r="CY28"/>
  <c r="CX28"/>
  <c r="CZ27"/>
  <c r="CY27"/>
  <c r="CX27"/>
  <c r="CZ26"/>
  <c r="CY26"/>
  <c r="CX26"/>
  <c r="CZ24"/>
  <c r="CY24"/>
  <c r="CX24"/>
  <c r="CZ23"/>
  <c r="CY23"/>
  <c r="CX23"/>
  <c r="CZ22"/>
  <c r="CY22"/>
  <c r="CX22"/>
  <c r="CZ21"/>
  <c r="CY21"/>
  <c r="CX21"/>
  <c r="CZ20"/>
  <c r="CY20"/>
  <c r="CX20"/>
  <c r="CZ19"/>
  <c r="CY19"/>
  <c r="CX19"/>
  <c r="CZ17"/>
  <c r="CY17"/>
  <c r="CX17"/>
  <c r="CZ16"/>
  <c r="CY16"/>
  <c r="CX16"/>
  <c r="CZ15"/>
  <c r="CY15"/>
  <c r="CX15"/>
  <c r="CZ14"/>
  <c r="CY14"/>
  <c r="CX14"/>
  <c r="CZ25"/>
  <c r="CY25"/>
  <c r="CX25"/>
  <c r="CY10"/>
  <c r="CX10"/>
  <c r="CZ9"/>
  <c r="CY9"/>
  <c r="CX9"/>
  <c r="CE52"/>
  <c r="CD52"/>
  <c r="CC52"/>
  <c r="CE51"/>
  <c r="CD51"/>
  <c r="CC51"/>
  <c r="CE50"/>
  <c r="CD50"/>
  <c r="CC50"/>
  <c r="CE49"/>
  <c r="CD49"/>
  <c r="CC49"/>
  <c r="CE48"/>
  <c r="CD48"/>
  <c r="CC48"/>
  <c r="CE47"/>
  <c r="CD47"/>
  <c r="CC47"/>
  <c r="CE46"/>
  <c r="CD46"/>
  <c r="CC46"/>
  <c r="CE45"/>
  <c r="CD45"/>
  <c r="CC45"/>
  <c r="CE44"/>
  <c r="CD44"/>
  <c r="CC44"/>
  <c r="CE43"/>
  <c r="CD43"/>
  <c r="CC43"/>
  <c r="CE42"/>
  <c r="CD42"/>
  <c r="CC42"/>
  <c r="CE41"/>
  <c r="CD41"/>
  <c r="CC41"/>
  <c r="CE40"/>
  <c r="CD40"/>
  <c r="CC40"/>
  <c r="CE39"/>
  <c r="CD39"/>
  <c r="CC39"/>
  <c r="CE38"/>
  <c r="CD38"/>
  <c r="CC38"/>
  <c r="CE37"/>
  <c r="CD37"/>
  <c r="CC37"/>
  <c r="CE36"/>
  <c r="CD36"/>
  <c r="CC36"/>
  <c r="CE35"/>
  <c r="CD35"/>
  <c r="CC35"/>
  <c r="CE34"/>
  <c r="CD34"/>
  <c r="CC34"/>
  <c r="CE32"/>
  <c r="CD32"/>
  <c r="CC32"/>
  <c r="CE31"/>
  <c r="CD31"/>
  <c r="CC31"/>
  <c r="CE30"/>
  <c r="CD30"/>
  <c r="CC30"/>
  <c r="CE29"/>
  <c r="CD29"/>
  <c r="CC29"/>
  <c r="CE28"/>
  <c r="CD28"/>
  <c r="CC28"/>
  <c r="CE27"/>
  <c r="CD27"/>
  <c r="CC27"/>
  <c r="CE26"/>
  <c r="CD26"/>
  <c r="CC26"/>
  <c r="CE24"/>
  <c r="CD24"/>
  <c r="CC24"/>
  <c r="CE23"/>
  <c r="CD23"/>
  <c r="CC23"/>
  <c r="CE22"/>
  <c r="CD22"/>
  <c r="CC22"/>
  <c r="CE21"/>
  <c r="CD21"/>
  <c r="CC21"/>
  <c r="CE20"/>
  <c r="CD20"/>
  <c r="CC20"/>
  <c r="CE19"/>
  <c r="CD19"/>
  <c r="CC19"/>
  <c r="CE17"/>
  <c r="CD17"/>
  <c r="CC17"/>
  <c r="CE16"/>
  <c r="CD16"/>
  <c r="CC16"/>
  <c r="CE15"/>
  <c r="CD15"/>
  <c r="CC15"/>
  <c r="CE14"/>
  <c r="CD14"/>
  <c r="CC14"/>
  <c r="CE25"/>
  <c r="CD25"/>
  <c r="CC25"/>
  <c r="CD10"/>
  <c r="CC10"/>
  <c r="CE9"/>
  <c r="CD9"/>
  <c r="CC9"/>
  <c r="BJ52"/>
  <c r="BI52"/>
  <c r="BH52"/>
  <c r="BJ51"/>
  <c r="BI51"/>
  <c r="BH51"/>
  <c r="BJ50"/>
  <c r="BI50"/>
  <c r="BH50"/>
  <c r="BJ49"/>
  <c r="BI49"/>
  <c r="BH49"/>
  <c r="BJ48"/>
  <c r="BI48"/>
  <c r="BH48"/>
  <c r="BJ47"/>
  <c r="BI47"/>
  <c r="BH47"/>
  <c r="BJ46"/>
  <c r="BI46"/>
  <c r="BH46"/>
  <c r="BJ45"/>
  <c r="BI45"/>
  <c r="BH45"/>
  <c r="BJ44"/>
  <c r="BI44"/>
  <c r="BH44"/>
  <c r="BJ43"/>
  <c r="BI43"/>
  <c r="BH43"/>
  <c r="BJ42"/>
  <c r="BI42"/>
  <c r="BH42"/>
  <c r="BJ41"/>
  <c r="BI41"/>
  <c r="BH41"/>
  <c r="BJ40"/>
  <c r="BI40"/>
  <c r="BH40"/>
  <c r="BJ39"/>
  <c r="BI39"/>
  <c r="BH39"/>
  <c r="BJ38"/>
  <c r="BI38"/>
  <c r="BH38"/>
  <c r="BJ37"/>
  <c r="BI37"/>
  <c r="BH37"/>
  <c r="BJ36"/>
  <c r="BI36"/>
  <c r="BH36"/>
  <c r="BJ35"/>
  <c r="BI35"/>
  <c r="BH35"/>
  <c r="BJ34"/>
  <c r="BI34"/>
  <c r="BH34"/>
  <c r="BJ32"/>
  <c r="BI32"/>
  <c r="BH32"/>
  <c r="BJ31"/>
  <c r="BI31"/>
  <c r="BH31"/>
  <c r="BJ30"/>
  <c r="BI30"/>
  <c r="BH30"/>
  <c r="BJ29"/>
  <c r="BI29"/>
  <c r="BH29"/>
  <c r="BJ28"/>
  <c r="BI28"/>
  <c r="BH28"/>
  <c r="BJ27"/>
  <c r="BI27"/>
  <c r="BH27"/>
  <c r="BJ26"/>
  <c r="BI26"/>
  <c r="BH26"/>
  <c r="BJ24"/>
  <c r="BI24"/>
  <c r="BH24"/>
  <c r="BJ23"/>
  <c r="BI23"/>
  <c r="BH23"/>
  <c r="BJ22"/>
  <c r="BI22"/>
  <c r="BH22"/>
  <c r="BJ21"/>
  <c r="BI21"/>
  <c r="BH21"/>
  <c r="BJ20"/>
  <c r="BI20"/>
  <c r="BH20"/>
  <c r="BJ19"/>
  <c r="BI19"/>
  <c r="BH19"/>
  <c r="BJ17"/>
  <c r="BI17"/>
  <c r="BH17"/>
  <c r="BJ16"/>
  <c r="BI16"/>
  <c r="BH16"/>
  <c r="BJ15"/>
  <c r="BI15"/>
  <c r="BH15"/>
  <c r="BJ14"/>
  <c r="BI14"/>
  <c r="BH14"/>
  <c r="BI25"/>
  <c r="BH25"/>
  <c r="BI10"/>
  <c r="BH10"/>
  <c r="BJ9"/>
  <c r="BI9"/>
  <c r="BH9"/>
  <c r="AD25"/>
  <c r="AE25"/>
  <c r="AD14"/>
  <c r="AE14"/>
  <c r="AF14"/>
  <c r="AD15"/>
  <c r="AE15"/>
  <c r="AF15"/>
  <c r="AD16"/>
  <c r="AE16"/>
  <c r="AF16"/>
  <c r="AD17"/>
  <c r="AE17"/>
  <c r="AF17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4"/>
  <c r="AE34"/>
  <c r="AF34"/>
  <c r="AD35"/>
  <c r="AE35"/>
  <c r="AF35"/>
  <c r="AD36"/>
  <c r="AE36"/>
  <c r="AF36"/>
  <c r="AD37"/>
  <c r="AE37"/>
  <c r="AF37"/>
  <c r="AD38"/>
  <c r="AE38"/>
  <c r="AF38"/>
  <c r="AD39"/>
  <c r="AE39"/>
  <c r="AF39"/>
  <c r="AD40"/>
  <c r="AE40"/>
  <c r="AF40"/>
  <c r="AD41"/>
  <c r="AE41"/>
  <c r="AF41"/>
  <c r="AD42"/>
  <c r="AE42"/>
  <c r="AF42"/>
  <c r="AD43"/>
  <c r="AE43"/>
  <c r="AF43"/>
  <c r="AD44"/>
  <c r="AE44"/>
  <c r="AF44"/>
  <c r="AD45"/>
  <c r="AE45"/>
  <c r="AF45"/>
  <c r="AD46"/>
  <c r="AE46"/>
  <c r="AF46"/>
  <c r="AD47"/>
  <c r="AE47"/>
  <c r="AF47"/>
  <c r="AD48"/>
  <c r="AE48"/>
  <c r="AF48"/>
  <c r="AD49"/>
  <c r="AE49"/>
  <c r="AF49"/>
  <c r="AD50"/>
  <c r="AE50"/>
  <c r="AF50"/>
  <c r="AD51"/>
  <c r="AE51"/>
  <c r="AF51"/>
  <c r="AD52"/>
  <c r="AE52"/>
  <c r="AF52"/>
  <c r="AD9"/>
  <c r="AE9"/>
  <c r="AF9"/>
  <c r="AE10"/>
  <c r="AD10"/>
  <c r="FN51" i="21"/>
  <c r="FM51"/>
  <c r="FL51"/>
  <c r="FN50"/>
  <c r="FM50"/>
  <c r="FL50"/>
  <c r="FN49"/>
  <c r="FM49"/>
  <c r="FL49"/>
  <c r="FN48"/>
  <c r="FM48"/>
  <c r="FL48"/>
  <c r="FN47"/>
  <c r="FM47"/>
  <c r="FL47"/>
  <c r="FN46"/>
  <c r="FM46"/>
  <c r="FL46"/>
  <c r="FN45"/>
  <c r="FM45"/>
  <c r="FL45"/>
  <c r="FN44"/>
  <c r="FM44"/>
  <c r="FL44"/>
  <c r="FN43"/>
  <c r="FM43"/>
  <c r="FL43"/>
  <c r="FN42"/>
  <c r="FM42"/>
  <c r="FL42"/>
  <c r="FN41"/>
  <c r="FM41"/>
  <c r="FL41"/>
  <c r="FN40"/>
  <c r="FM40"/>
  <c r="FL40"/>
  <c r="FN39"/>
  <c r="FM39"/>
  <c r="FL39"/>
  <c r="FN38"/>
  <c r="FM38"/>
  <c r="FL38"/>
  <c r="FN37"/>
  <c r="FM37"/>
  <c r="FL37"/>
  <c r="FN36"/>
  <c r="FM36"/>
  <c r="FL36"/>
  <c r="FN35"/>
  <c r="FM35"/>
  <c r="FL35"/>
  <c r="FN34"/>
  <c r="FM34"/>
  <c r="FL34"/>
  <c r="FN32"/>
  <c r="FM32"/>
  <c r="FL32"/>
  <c r="FN31"/>
  <c r="FM31"/>
  <c r="FL31"/>
  <c r="FN30"/>
  <c r="FM30"/>
  <c r="FL30"/>
  <c r="FN29"/>
  <c r="FM29"/>
  <c r="FL29"/>
  <c r="FN28"/>
  <c r="FM28"/>
  <c r="FL28"/>
  <c r="FN27"/>
  <c r="FM27"/>
  <c r="FL27"/>
  <c r="FN26"/>
  <c r="FM26"/>
  <c r="FL26"/>
  <c r="FN25"/>
  <c r="FM25"/>
  <c r="FL25"/>
  <c r="FN24"/>
  <c r="FM24"/>
  <c r="FL24"/>
  <c r="FN23"/>
  <c r="FM23"/>
  <c r="FL23"/>
  <c r="FN22"/>
  <c r="FM22"/>
  <c r="FM52" s="1"/>
  <c r="FL22"/>
  <c r="FN21"/>
  <c r="FM21"/>
  <c r="FL21"/>
  <c r="FN20"/>
  <c r="FM20"/>
  <c r="FL20"/>
  <c r="FN19"/>
  <c r="FM19"/>
  <c r="FL19"/>
  <c r="FN17"/>
  <c r="FM17"/>
  <c r="FL17"/>
  <c r="FN16"/>
  <c r="FM16"/>
  <c r="FL16"/>
  <c r="FN15"/>
  <c r="FM15"/>
  <c r="FL15"/>
  <c r="FN14"/>
  <c r="FM14"/>
  <c r="FL14"/>
  <c r="FN13"/>
  <c r="FM13"/>
  <c r="FL13"/>
  <c r="FN12"/>
  <c r="FM12"/>
  <c r="FL12"/>
  <c r="FN11"/>
  <c r="FM11"/>
  <c r="FL11"/>
  <c r="FM10"/>
  <c r="FL10"/>
  <c r="FN9"/>
  <c r="FM9"/>
  <c r="FL9"/>
  <c r="ER51"/>
  <c r="EQ51"/>
  <c r="ER50"/>
  <c r="EQ50"/>
  <c r="ES50" s="1"/>
  <c r="ER49"/>
  <c r="EQ49"/>
  <c r="ER48"/>
  <c r="EQ48"/>
  <c r="ER47"/>
  <c r="EQ47"/>
  <c r="ER46"/>
  <c r="EQ46"/>
  <c r="ES46" s="1"/>
  <c r="ER45"/>
  <c r="EQ45"/>
  <c r="ER44"/>
  <c r="EQ44"/>
  <c r="ER43"/>
  <c r="EQ43"/>
  <c r="ER42"/>
  <c r="EQ42"/>
  <c r="ES42" s="1"/>
  <c r="ER41"/>
  <c r="EQ41"/>
  <c r="ER40"/>
  <c r="EQ40"/>
  <c r="ER39"/>
  <c r="EQ39"/>
  <c r="ER38"/>
  <c r="EQ38"/>
  <c r="ES38" s="1"/>
  <c r="ER37"/>
  <c r="EQ37"/>
  <c r="ER36"/>
  <c r="EQ36"/>
  <c r="ER35"/>
  <c r="EQ35"/>
  <c r="ER34"/>
  <c r="EQ34"/>
  <c r="ES34" s="1"/>
  <c r="ER32"/>
  <c r="EQ32"/>
  <c r="ER31"/>
  <c r="EQ31"/>
  <c r="ER30"/>
  <c r="EQ30"/>
  <c r="ER29"/>
  <c r="EQ29"/>
  <c r="ER28"/>
  <c r="EQ28"/>
  <c r="ER27"/>
  <c r="EQ27"/>
  <c r="ER26"/>
  <c r="EQ26"/>
  <c r="ER25"/>
  <c r="EQ25"/>
  <c r="ER24"/>
  <c r="EQ24"/>
  <c r="ER23"/>
  <c r="EQ23"/>
  <c r="ER22"/>
  <c r="EQ22"/>
  <c r="ER21"/>
  <c r="EQ21"/>
  <c r="ER20"/>
  <c r="EQ20"/>
  <c r="ER19"/>
  <c r="EQ19"/>
  <c r="ER17"/>
  <c r="EQ17"/>
  <c r="ER16"/>
  <c r="EQ16"/>
  <c r="ER15"/>
  <c r="EQ15"/>
  <c r="ER14"/>
  <c r="EQ14"/>
  <c r="EQ13"/>
  <c r="ES13" s="1"/>
  <c r="ER12"/>
  <c r="EQ12"/>
  <c r="ER11"/>
  <c r="EQ11"/>
  <c r="ER10"/>
  <c r="EQ10"/>
  <c r="ER9"/>
  <c r="EQ9"/>
  <c r="DX51"/>
  <c r="DW51"/>
  <c r="DV51"/>
  <c r="DX50"/>
  <c r="DW50"/>
  <c r="DV50"/>
  <c r="DX49"/>
  <c r="DW49"/>
  <c r="DV49"/>
  <c r="DX48"/>
  <c r="DW48"/>
  <c r="DV48"/>
  <c r="DX47"/>
  <c r="DW47"/>
  <c r="DV47"/>
  <c r="DX46"/>
  <c r="DW46"/>
  <c r="DV46"/>
  <c r="DX45"/>
  <c r="DW45"/>
  <c r="DV45"/>
  <c r="DX44"/>
  <c r="DW44"/>
  <c r="DV44"/>
  <c r="DX43"/>
  <c r="DW43"/>
  <c r="DV43"/>
  <c r="DX42"/>
  <c r="DW42"/>
  <c r="DV42"/>
  <c r="DX41"/>
  <c r="DW41"/>
  <c r="DV41"/>
  <c r="DX40"/>
  <c r="DW40"/>
  <c r="DV40"/>
  <c r="DX39"/>
  <c r="DW39"/>
  <c r="DV39"/>
  <c r="DX38"/>
  <c r="DW38"/>
  <c r="DV38"/>
  <c r="DX37"/>
  <c r="DW37"/>
  <c r="DV37"/>
  <c r="DX36"/>
  <c r="DW36"/>
  <c r="DV36"/>
  <c r="DX35"/>
  <c r="DW35"/>
  <c r="DV35"/>
  <c r="DX34"/>
  <c r="DW34"/>
  <c r="DV34"/>
  <c r="DX32"/>
  <c r="DW32"/>
  <c r="DV32"/>
  <c r="DX31"/>
  <c r="DW31"/>
  <c r="DV31"/>
  <c r="DX30"/>
  <c r="DW30"/>
  <c r="DV30"/>
  <c r="DX29"/>
  <c r="DW29"/>
  <c r="DV29"/>
  <c r="DX28"/>
  <c r="DW28"/>
  <c r="DV28"/>
  <c r="DX27"/>
  <c r="DW27"/>
  <c r="DV27"/>
  <c r="DX26"/>
  <c r="DW26"/>
  <c r="DV26"/>
  <c r="DX25"/>
  <c r="DW25"/>
  <c r="DV25"/>
  <c r="DX24"/>
  <c r="DW24"/>
  <c r="DV24"/>
  <c r="DX23"/>
  <c r="DW23"/>
  <c r="DV23"/>
  <c r="DX22"/>
  <c r="DW22"/>
  <c r="DV22"/>
  <c r="DX21"/>
  <c r="DW21"/>
  <c r="DV21"/>
  <c r="DX20"/>
  <c r="DW20"/>
  <c r="DV20"/>
  <c r="DX19"/>
  <c r="DW19"/>
  <c r="DV19"/>
  <c r="DX17"/>
  <c r="DW17"/>
  <c r="DV17"/>
  <c r="DX16"/>
  <c r="DW16"/>
  <c r="DV16"/>
  <c r="DX15"/>
  <c r="DW15"/>
  <c r="DV15"/>
  <c r="DX14"/>
  <c r="DW14"/>
  <c r="DV14"/>
  <c r="DX13"/>
  <c r="DW13"/>
  <c r="DV13"/>
  <c r="DX12"/>
  <c r="DW12"/>
  <c r="DV12"/>
  <c r="DX11"/>
  <c r="DW11"/>
  <c r="DV11"/>
  <c r="DW10"/>
  <c r="DV10"/>
  <c r="DX9"/>
  <c r="DW9"/>
  <c r="DV9"/>
  <c r="DC51"/>
  <c r="DB51"/>
  <c r="DA51"/>
  <c r="DC50"/>
  <c r="DB50"/>
  <c r="DA50"/>
  <c r="DC49"/>
  <c r="DB49"/>
  <c r="DA49"/>
  <c r="DC48"/>
  <c r="DB48"/>
  <c r="DA48"/>
  <c r="DC47"/>
  <c r="DB47"/>
  <c r="DA47"/>
  <c r="DC46"/>
  <c r="DB46"/>
  <c r="DA46"/>
  <c r="DC45"/>
  <c r="DB45"/>
  <c r="DA45"/>
  <c r="DC44"/>
  <c r="DB44"/>
  <c r="DA44"/>
  <c r="DC43"/>
  <c r="DB43"/>
  <c r="DA43"/>
  <c r="DC42"/>
  <c r="DB42"/>
  <c r="DA42"/>
  <c r="DC41"/>
  <c r="DB41"/>
  <c r="DA41"/>
  <c r="DC40"/>
  <c r="DB40"/>
  <c r="DA40"/>
  <c r="DC39"/>
  <c r="DB39"/>
  <c r="DA39"/>
  <c r="DC38"/>
  <c r="DB38"/>
  <c r="DA38"/>
  <c r="DC37"/>
  <c r="DB37"/>
  <c r="DA37"/>
  <c r="DC36"/>
  <c r="DB36"/>
  <c r="DA36"/>
  <c r="DC35"/>
  <c r="DA35"/>
  <c r="DC34"/>
  <c r="DB34"/>
  <c r="DA34"/>
  <c r="DC32"/>
  <c r="DB32"/>
  <c r="DA32"/>
  <c r="DC31"/>
  <c r="DB31"/>
  <c r="DA31"/>
  <c r="DC30"/>
  <c r="DB30"/>
  <c r="DA30"/>
  <c r="DC29"/>
  <c r="DB29"/>
  <c r="DA29"/>
  <c r="DC28"/>
  <c r="DB28"/>
  <c r="DA28"/>
  <c r="DC27"/>
  <c r="DB27"/>
  <c r="DA27"/>
  <c r="DC26"/>
  <c r="DB26"/>
  <c r="DA26"/>
  <c r="DC25"/>
  <c r="DB25"/>
  <c r="DA25"/>
  <c r="DC24"/>
  <c r="DB24"/>
  <c r="DA24"/>
  <c r="DC23"/>
  <c r="DB23"/>
  <c r="DA23"/>
  <c r="DC22"/>
  <c r="DB22"/>
  <c r="DA22"/>
  <c r="DC21"/>
  <c r="DB21"/>
  <c r="DA21"/>
  <c r="DC20"/>
  <c r="DB20"/>
  <c r="DA20"/>
  <c r="DC19"/>
  <c r="DB19"/>
  <c r="DA19"/>
  <c r="DC17"/>
  <c r="DB17"/>
  <c r="DA17"/>
  <c r="DC16"/>
  <c r="DB16"/>
  <c r="DA16"/>
  <c r="DC15"/>
  <c r="DB15"/>
  <c r="DA15"/>
  <c r="DC14"/>
  <c r="DB14"/>
  <c r="DA14"/>
  <c r="DC13"/>
  <c r="DB13"/>
  <c r="DA13"/>
  <c r="DC12"/>
  <c r="DB12"/>
  <c r="DA12"/>
  <c r="DC11"/>
  <c r="DB11"/>
  <c r="DA11"/>
  <c r="DB10"/>
  <c r="DA10"/>
  <c r="DC9"/>
  <c r="DB9"/>
  <c r="DA9"/>
  <c r="CH51"/>
  <c r="CG51"/>
  <c r="CF51"/>
  <c r="CH50"/>
  <c r="CG50"/>
  <c r="CF50"/>
  <c r="CH49"/>
  <c r="CG49"/>
  <c r="CF49"/>
  <c r="CH48"/>
  <c r="CG48"/>
  <c r="CF48"/>
  <c r="CH47"/>
  <c r="CG47"/>
  <c r="CF47"/>
  <c r="CH46"/>
  <c r="CG46"/>
  <c r="CF46"/>
  <c r="CH45"/>
  <c r="CG45"/>
  <c r="CF45"/>
  <c r="CH44"/>
  <c r="CG44"/>
  <c r="CF44"/>
  <c r="CH43"/>
  <c r="CG43"/>
  <c r="CF43"/>
  <c r="CH42"/>
  <c r="CG42"/>
  <c r="CF42"/>
  <c r="CH41"/>
  <c r="CG41"/>
  <c r="CF41"/>
  <c r="CH40"/>
  <c r="CG40"/>
  <c r="CF40"/>
  <c r="CH39"/>
  <c r="CG39"/>
  <c r="CF39"/>
  <c r="CH38"/>
  <c r="CG38"/>
  <c r="CF38"/>
  <c r="CH37"/>
  <c r="CG37"/>
  <c r="CF37"/>
  <c r="CH36"/>
  <c r="CG36"/>
  <c r="CF36"/>
  <c r="CH35"/>
  <c r="CG35"/>
  <c r="CF35"/>
  <c r="CH34"/>
  <c r="CG34"/>
  <c r="CF34"/>
  <c r="CH32"/>
  <c r="CG32"/>
  <c r="CF32"/>
  <c r="CH31"/>
  <c r="CF31"/>
  <c r="CH30"/>
  <c r="CG30"/>
  <c r="CF30"/>
  <c r="CH29"/>
  <c r="CG29"/>
  <c r="CF29"/>
  <c r="CH28"/>
  <c r="CG28"/>
  <c r="CF28"/>
  <c r="CH27"/>
  <c r="CG27"/>
  <c r="CF27"/>
  <c r="CH26"/>
  <c r="CG26"/>
  <c r="CF26"/>
  <c r="CH25"/>
  <c r="CG25"/>
  <c r="CF25"/>
  <c r="CH24"/>
  <c r="CG24"/>
  <c r="CF24"/>
  <c r="CH23"/>
  <c r="CG23"/>
  <c r="CF23"/>
  <c r="CH22"/>
  <c r="CG22"/>
  <c r="CF22"/>
  <c r="CH21"/>
  <c r="CG21"/>
  <c r="CF21"/>
  <c r="CH20"/>
  <c r="CG20"/>
  <c r="CF20"/>
  <c r="CH19"/>
  <c r="CG19"/>
  <c r="CF19"/>
  <c r="CH17"/>
  <c r="CG17"/>
  <c r="CF17"/>
  <c r="CH16"/>
  <c r="CG16"/>
  <c r="CF16"/>
  <c r="CH15"/>
  <c r="CG15"/>
  <c r="CF15"/>
  <c r="CH14"/>
  <c r="CG14"/>
  <c r="CF14"/>
  <c r="CH13"/>
  <c r="CG13"/>
  <c r="CF13"/>
  <c r="CH12"/>
  <c r="CG12"/>
  <c r="CF12"/>
  <c r="CH11"/>
  <c r="CG11"/>
  <c r="CF11"/>
  <c r="CG10"/>
  <c r="CF10"/>
  <c r="CH9"/>
  <c r="CG9"/>
  <c r="CF9"/>
  <c r="BM51"/>
  <c r="BL51"/>
  <c r="BK51"/>
  <c r="BM50"/>
  <c r="BL50"/>
  <c r="BK50"/>
  <c r="BM49"/>
  <c r="BL49"/>
  <c r="BK49"/>
  <c r="BM48"/>
  <c r="BL48"/>
  <c r="BK48"/>
  <c r="BM47"/>
  <c r="BL47"/>
  <c r="BK47"/>
  <c r="BM46"/>
  <c r="BL46"/>
  <c r="BK46"/>
  <c r="BM45"/>
  <c r="BL45"/>
  <c r="BK45"/>
  <c r="BM44"/>
  <c r="BL44"/>
  <c r="BK44"/>
  <c r="BM43"/>
  <c r="BL43"/>
  <c r="BK43"/>
  <c r="BM42"/>
  <c r="BL42"/>
  <c r="BK42"/>
  <c r="BM41"/>
  <c r="BL41"/>
  <c r="BK41"/>
  <c r="BM40"/>
  <c r="BL40"/>
  <c r="BK40"/>
  <c r="BM39"/>
  <c r="BL39"/>
  <c r="BK39"/>
  <c r="BM38"/>
  <c r="BL38"/>
  <c r="BK38"/>
  <c r="BM37"/>
  <c r="BL37"/>
  <c r="BK37"/>
  <c r="BM36"/>
  <c r="BL36"/>
  <c r="BK36"/>
  <c r="BM35"/>
  <c r="BL35"/>
  <c r="BK35"/>
  <c r="BM34"/>
  <c r="BL34"/>
  <c r="BK34"/>
  <c r="BM32"/>
  <c r="BL32"/>
  <c r="BK32"/>
  <c r="BM31"/>
  <c r="BL31"/>
  <c r="BK31"/>
  <c r="BM30"/>
  <c r="BL30"/>
  <c r="BK30"/>
  <c r="BM29"/>
  <c r="BL29"/>
  <c r="BK29"/>
  <c r="BM28"/>
  <c r="BL28"/>
  <c r="BK28"/>
  <c r="BM27"/>
  <c r="BL27"/>
  <c r="BK27"/>
  <c r="BM26"/>
  <c r="BL26"/>
  <c r="BK26"/>
  <c r="BM25"/>
  <c r="BL25"/>
  <c r="BK25"/>
  <c r="BM24"/>
  <c r="BL24"/>
  <c r="BK24"/>
  <c r="BM23"/>
  <c r="BL23"/>
  <c r="BK23"/>
  <c r="BM22"/>
  <c r="BL22"/>
  <c r="BK22"/>
  <c r="BK52" s="1"/>
  <c r="BM21"/>
  <c r="BL21"/>
  <c r="BK21"/>
  <c r="BM20"/>
  <c r="BL20"/>
  <c r="BK20"/>
  <c r="BM19"/>
  <c r="BL19"/>
  <c r="BK19"/>
  <c r="BM17"/>
  <c r="BL17"/>
  <c r="BK17"/>
  <c r="BM16"/>
  <c r="BL16"/>
  <c r="BK16"/>
  <c r="BM15"/>
  <c r="BL15"/>
  <c r="BK15"/>
  <c r="BM14"/>
  <c r="BL14"/>
  <c r="BK14"/>
  <c r="BM13"/>
  <c r="BL13"/>
  <c r="BK13"/>
  <c r="BM12"/>
  <c r="BL12"/>
  <c r="BK12"/>
  <c r="BM11"/>
  <c r="BL11"/>
  <c r="BK11"/>
  <c r="BL10"/>
  <c r="BK10"/>
  <c r="BM9"/>
  <c r="BL9"/>
  <c r="BK9"/>
  <c r="AQ51"/>
  <c r="AP51"/>
  <c r="AQ50"/>
  <c r="AP50"/>
  <c r="AQ49"/>
  <c r="AP49"/>
  <c r="AQ48"/>
  <c r="AP48"/>
  <c r="AQ47"/>
  <c r="AP47"/>
  <c r="AQ46"/>
  <c r="AP46"/>
  <c r="AQ45"/>
  <c r="AP45"/>
  <c r="AQ44"/>
  <c r="AP44"/>
  <c r="AQ43"/>
  <c r="AP43"/>
  <c r="AQ42"/>
  <c r="AP42"/>
  <c r="AQ41"/>
  <c r="AP41"/>
  <c r="AQ40"/>
  <c r="AP40"/>
  <c r="AQ39"/>
  <c r="AP39"/>
  <c r="AQ38"/>
  <c r="AP38"/>
  <c r="AQ37"/>
  <c r="AP37"/>
  <c r="AQ36"/>
  <c r="AP36"/>
  <c r="AQ35"/>
  <c r="AP35"/>
  <c r="AQ34"/>
  <c r="AP34"/>
  <c r="AQ32"/>
  <c r="AP32"/>
  <c r="AQ31"/>
  <c r="AP31"/>
  <c r="AQ30"/>
  <c r="AP30"/>
  <c r="AQ29"/>
  <c r="AP29"/>
  <c r="AQ28"/>
  <c r="AP28"/>
  <c r="AQ27"/>
  <c r="AP27"/>
  <c r="AQ26"/>
  <c r="AP26"/>
  <c r="AQ25"/>
  <c r="AP25"/>
  <c r="AQ24"/>
  <c r="AP24"/>
  <c r="AQ23"/>
  <c r="AP23"/>
  <c r="AQ22"/>
  <c r="AP22"/>
  <c r="AQ21"/>
  <c r="AP21"/>
  <c r="AQ20"/>
  <c r="AP20"/>
  <c r="AQ19"/>
  <c r="AP19"/>
  <c r="AQ17"/>
  <c r="AP17"/>
  <c r="AQ16"/>
  <c r="AP16"/>
  <c r="AQ15"/>
  <c r="AP15"/>
  <c r="AQ14"/>
  <c r="AP14"/>
  <c r="AQ13"/>
  <c r="AP13"/>
  <c r="AQ12"/>
  <c r="AP12"/>
  <c r="AQ11"/>
  <c r="AP11"/>
  <c r="AQ10"/>
  <c r="AP10"/>
  <c r="AQ9"/>
  <c r="AP9"/>
  <c r="U11"/>
  <c r="V11"/>
  <c r="W11"/>
  <c r="U12"/>
  <c r="V12"/>
  <c r="W12"/>
  <c r="U13"/>
  <c r="V13"/>
  <c r="W13"/>
  <c r="U14"/>
  <c r="V14"/>
  <c r="W14"/>
  <c r="U15"/>
  <c r="V15"/>
  <c r="W15"/>
  <c r="U16"/>
  <c r="V16"/>
  <c r="W16"/>
  <c r="U17"/>
  <c r="V17"/>
  <c r="W17"/>
  <c r="U19"/>
  <c r="V19"/>
  <c r="W19"/>
  <c r="U20"/>
  <c r="V20"/>
  <c r="W20"/>
  <c r="U21"/>
  <c r="V21"/>
  <c r="W21"/>
  <c r="U22"/>
  <c r="V22"/>
  <c r="W22"/>
  <c r="U23"/>
  <c r="V23"/>
  <c r="W23"/>
  <c r="U24"/>
  <c r="V24"/>
  <c r="W24"/>
  <c r="U25"/>
  <c r="V25"/>
  <c r="W25"/>
  <c r="U26"/>
  <c r="V26"/>
  <c r="W26"/>
  <c r="U27"/>
  <c r="V27"/>
  <c r="W27"/>
  <c r="U28"/>
  <c r="V28"/>
  <c r="U29"/>
  <c r="V29"/>
  <c r="W29"/>
  <c r="U30"/>
  <c r="V30"/>
  <c r="W30"/>
  <c r="U31"/>
  <c r="V31"/>
  <c r="W31"/>
  <c r="U32"/>
  <c r="V32"/>
  <c r="W32"/>
  <c r="U34"/>
  <c r="V34"/>
  <c r="W34"/>
  <c r="U35"/>
  <c r="V35"/>
  <c r="W35"/>
  <c r="U36"/>
  <c r="V36"/>
  <c r="W36"/>
  <c r="U37"/>
  <c r="V37"/>
  <c r="W37"/>
  <c r="U38"/>
  <c r="V38"/>
  <c r="W38"/>
  <c r="U39"/>
  <c r="V39"/>
  <c r="W39"/>
  <c r="U40"/>
  <c r="V40"/>
  <c r="W40"/>
  <c r="U41"/>
  <c r="V41"/>
  <c r="W41"/>
  <c r="U42"/>
  <c r="V42"/>
  <c r="W42"/>
  <c r="U43"/>
  <c r="V43"/>
  <c r="W43"/>
  <c r="U44"/>
  <c r="V44"/>
  <c r="W44"/>
  <c r="U45"/>
  <c r="V45"/>
  <c r="W45"/>
  <c r="U46"/>
  <c r="V46"/>
  <c r="W46"/>
  <c r="U47"/>
  <c r="V47"/>
  <c r="W47"/>
  <c r="U48"/>
  <c r="V48"/>
  <c r="W48"/>
  <c r="U49"/>
  <c r="V49"/>
  <c r="W49"/>
  <c r="U50"/>
  <c r="V50"/>
  <c r="W50"/>
  <c r="U51"/>
  <c r="V51"/>
  <c r="W51"/>
  <c r="U10"/>
  <c r="V10"/>
  <c r="W10"/>
  <c r="V9"/>
  <c r="W9"/>
  <c r="U9"/>
  <c r="FE10"/>
  <c r="FN10" s="1"/>
  <c r="EJ10"/>
  <c r="DO10"/>
  <c r="DX10" s="1"/>
  <c r="CT10"/>
  <c r="DC10" s="1"/>
  <c r="BY10"/>
  <c r="CH10" s="1"/>
  <c r="BD10"/>
  <c r="BM10" s="1"/>
  <c r="AI10"/>
  <c r="EM10" i="23"/>
  <c r="ES10" s="1"/>
  <c r="HB16"/>
  <c r="HH16" s="1"/>
  <c r="HC16"/>
  <c r="HI16" s="1"/>
  <c r="HD16"/>
  <c r="HJ16" s="1"/>
  <c r="HF51"/>
  <c r="HE51"/>
  <c r="HG48"/>
  <c r="HG47"/>
  <c r="HG43"/>
  <c r="HG42"/>
  <c r="HG38"/>
  <c r="HG37"/>
  <c r="HG36"/>
  <c r="HG35"/>
  <c r="HG34"/>
  <c r="HG33"/>
  <c r="HG31"/>
  <c r="HG30"/>
  <c r="HG29"/>
  <c r="HG27"/>
  <c r="HG26"/>
  <c r="HG24"/>
  <c r="HG23"/>
  <c r="HG22"/>
  <c r="HG21"/>
  <c r="HG20"/>
  <c r="HG18"/>
  <c r="HG15"/>
  <c r="HG14"/>
  <c r="HG13"/>
  <c r="HG11"/>
  <c r="HG10"/>
  <c r="HG9"/>
  <c r="FA51"/>
  <c r="EZ51"/>
  <c r="EX51"/>
  <c r="EW51"/>
  <c r="EL51"/>
  <c r="EK51"/>
  <c r="EI51"/>
  <c r="EH51"/>
  <c r="FP50"/>
  <c r="FO50"/>
  <c r="FM50"/>
  <c r="FL50"/>
  <c r="FF50"/>
  <c r="FI50" s="1"/>
  <c r="FB50"/>
  <c r="FH50" s="1"/>
  <c r="EY50"/>
  <c r="ER50"/>
  <c r="EU50" s="1"/>
  <c r="EQ50"/>
  <c r="EM50"/>
  <c r="ES50" s="1"/>
  <c r="EJ50"/>
  <c r="FP48"/>
  <c r="FO48"/>
  <c r="FM48"/>
  <c r="FL48"/>
  <c r="ER48"/>
  <c r="EU48" s="1"/>
  <c r="EQ48"/>
  <c r="EP48"/>
  <c r="FT48" s="1"/>
  <c r="EM48"/>
  <c r="EJ48"/>
  <c r="FP47"/>
  <c r="FO47"/>
  <c r="FM47"/>
  <c r="FL47"/>
  <c r="ER47"/>
  <c r="EQ47"/>
  <c r="EM47"/>
  <c r="EJ47"/>
  <c r="ER45"/>
  <c r="EQ45"/>
  <c r="EM45"/>
  <c r="FQ45" s="1"/>
  <c r="EJ45"/>
  <c r="FN45" s="1"/>
  <c r="FP43"/>
  <c r="FO43"/>
  <c r="FM43"/>
  <c r="FG43"/>
  <c r="FJ43" s="1"/>
  <c r="FF43"/>
  <c r="FI43" s="1"/>
  <c r="FB43"/>
  <c r="FH43" s="1"/>
  <c r="EY43"/>
  <c r="ER43"/>
  <c r="EU43" s="1"/>
  <c r="EQ43"/>
  <c r="ET43" s="1"/>
  <c r="EM43"/>
  <c r="ES43" s="1"/>
  <c r="EJ43"/>
  <c r="FP42"/>
  <c r="FO42"/>
  <c r="FM42"/>
  <c r="FL42"/>
  <c r="ER42"/>
  <c r="EU42" s="1"/>
  <c r="EQ42"/>
  <c r="EM42"/>
  <c r="ES42" s="1"/>
  <c r="EJ42"/>
  <c r="FP38"/>
  <c r="FO38"/>
  <c r="FM38"/>
  <c r="FL38"/>
  <c r="FG38"/>
  <c r="FJ38" s="1"/>
  <c r="FF38"/>
  <c r="FI38" s="1"/>
  <c r="FB38"/>
  <c r="FH38" s="1"/>
  <c r="EY38"/>
  <c r="ER38"/>
  <c r="EU38" s="1"/>
  <c r="EQ38"/>
  <c r="ET38" s="1"/>
  <c r="EM38"/>
  <c r="ES38" s="1"/>
  <c r="EJ38"/>
  <c r="FS37"/>
  <c r="FR37"/>
  <c r="FP37"/>
  <c r="FO37"/>
  <c r="FM37"/>
  <c r="FL37"/>
  <c r="FG37"/>
  <c r="FJ37" s="1"/>
  <c r="FF37"/>
  <c r="FI37" s="1"/>
  <c r="FE37"/>
  <c r="FB37"/>
  <c r="EY37"/>
  <c r="ER37"/>
  <c r="EU37" s="1"/>
  <c r="EQ37"/>
  <c r="ET37" s="1"/>
  <c r="EP37"/>
  <c r="EM37"/>
  <c r="EJ37"/>
  <c r="FJ36"/>
  <c r="EU36"/>
  <c r="ET36"/>
  <c r="FP35"/>
  <c r="FO35"/>
  <c r="FM35"/>
  <c r="FL35"/>
  <c r="ER35"/>
  <c r="EU35" s="1"/>
  <c r="EQ35"/>
  <c r="EM35"/>
  <c r="EJ35"/>
  <c r="FP34"/>
  <c r="FO34"/>
  <c r="FM34"/>
  <c r="FL34"/>
  <c r="FG34"/>
  <c r="FJ34" s="1"/>
  <c r="FF34"/>
  <c r="FI34" s="1"/>
  <c r="FB34"/>
  <c r="FH34" s="1"/>
  <c r="EY34"/>
  <c r="ER34"/>
  <c r="EU34" s="1"/>
  <c r="EQ34"/>
  <c r="EM34"/>
  <c r="EJ34"/>
  <c r="FP33"/>
  <c r="FO33"/>
  <c r="FM33"/>
  <c r="FL33"/>
  <c r="ER33"/>
  <c r="EU33" s="1"/>
  <c r="EQ33"/>
  <c r="EM33"/>
  <c r="EJ33"/>
  <c r="FS31"/>
  <c r="FR31"/>
  <c r="FP31"/>
  <c r="FO31"/>
  <c r="FM31"/>
  <c r="FL31"/>
  <c r="EY31"/>
  <c r="FK31" s="1"/>
  <c r="ER31"/>
  <c r="EQ31"/>
  <c r="EP31"/>
  <c r="EM31"/>
  <c r="EJ31"/>
  <c r="FS30"/>
  <c r="FR30"/>
  <c r="FP30"/>
  <c r="FO30"/>
  <c r="FM30"/>
  <c r="FL30"/>
  <c r="FG30"/>
  <c r="FJ30" s="1"/>
  <c r="FF30"/>
  <c r="FI30" s="1"/>
  <c r="FE30"/>
  <c r="FB30"/>
  <c r="EY30"/>
  <c r="ER30"/>
  <c r="EU30" s="1"/>
  <c r="EQ30"/>
  <c r="ET30" s="1"/>
  <c r="EP30"/>
  <c r="EM30"/>
  <c r="EJ30"/>
  <c r="FS29"/>
  <c r="FR29"/>
  <c r="FP29"/>
  <c r="FO29"/>
  <c r="FM29"/>
  <c r="FL29"/>
  <c r="FG29"/>
  <c r="FJ29" s="1"/>
  <c r="FF29"/>
  <c r="FI29" s="1"/>
  <c r="FE29"/>
  <c r="FB29"/>
  <c r="EY29"/>
  <c r="ER29"/>
  <c r="EQ29"/>
  <c r="ET29" s="1"/>
  <c r="EP29"/>
  <c r="EM29"/>
  <c r="EJ29"/>
  <c r="FS27"/>
  <c r="FR27"/>
  <c r="FP27"/>
  <c r="FO27"/>
  <c r="FM27"/>
  <c r="FL27"/>
  <c r="FG27"/>
  <c r="FJ27" s="1"/>
  <c r="FF27"/>
  <c r="FI27" s="1"/>
  <c r="FE27"/>
  <c r="EY27"/>
  <c r="ER27"/>
  <c r="EQ27"/>
  <c r="EP27"/>
  <c r="EM27"/>
  <c r="EJ27"/>
  <c r="FP26"/>
  <c r="FO26"/>
  <c r="FM26"/>
  <c r="FL26"/>
  <c r="FG26"/>
  <c r="FJ26" s="1"/>
  <c r="FF26"/>
  <c r="FI26" s="1"/>
  <c r="FB26"/>
  <c r="FH26" s="1"/>
  <c r="EY26"/>
  <c r="ER26"/>
  <c r="EU26" s="1"/>
  <c r="EQ26"/>
  <c r="ET26" s="1"/>
  <c r="EM26"/>
  <c r="ES26" s="1"/>
  <c r="EJ26"/>
  <c r="FS24"/>
  <c r="FR24"/>
  <c r="FP24"/>
  <c r="FO24"/>
  <c r="FM24"/>
  <c r="FL24"/>
  <c r="ER24"/>
  <c r="EQ24"/>
  <c r="EP24"/>
  <c r="EM24"/>
  <c r="EJ24"/>
  <c r="FS23"/>
  <c r="FR23"/>
  <c r="FP23"/>
  <c r="FO23"/>
  <c r="FM23"/>
  <c r="FL23"/>
  <c r="ER23"/>
  <c r="EQ23"/>
  <c r="ET23" s="1"/>
  <c r="EP23"/>
  <c r="EM23"/>
  <c r="EJ23"/>
  <c r="FS22"/>
  <c r="FR22"/>
  <c r="FP22"/>
  <c r="FO22"/>
  <c r="FM22"/>
  <c r="FL22"/>
  <c r="FG22"/>
  <c r="FJ22" s="1"/>
  <c r="FF22"/>
  <c r="FI22" s="1"/>
  <c r="FE22"/>
  <c r="FB22"/>
  <c r="EY22"/>
  <c r="ER22"/>
  <c r="EU22" s="1"/>
  <c r="EQ22"/>
  <c r="EP22"/>
  <c r="EM22"/>
  <c r="EJ22"/>
  <c r="FS21"/>
  <c r="FR21"/>
  <c r="FP21"/>
  <c r="FO21"/>
  <c r="FM21"/>
  <c r="FL21"/>
  <c r="FG21"/>
  <c r="FJ21" s="1"/>
  <c r="FF21"/>
  <c r="FI21" s="1"/>
  <c r="FE21"/>
  <c r="FB21"/>
  <c r="EY21"/>
  <c r="ER21"/>
  <c r="EQ21"/>
  <c r="EP21"/>
  <c r="EM21"/>
  <c r="EJ21"/>
  <c r="FS20"/>
  <c r="FR20"/>
  <c r="FP20"/>
  <c r="FO20"/>
  <c r="FM20"/>
  <c r="FL20"/>
  <c r="FG20"/>
  <c r="FJ20" s="1"/>
  <c r="FF20"/>
  <c r="FI20" s="1"/>
  <c r="FB20"/>
  <c r="EY20"/>
  <c r="ER20"/>
  <c r="EQ20"/>
  <c r="EP20"/>
  <c r="EM20"/>
  <c r="EJ20"/>
  <c r="FS18"/>
  <c r="FR18"/>
  <c r="FP18"/>
  <c r="FO18"/>
  <c r="FM18"/>
  <c r="FL18"/>
  <c r="FG18"/>
  <c r="FJ18" s="1"/>
  <c r="FF18"/>
  <c r="FI18" s="1"/>
  <c r="FE18"/>
  <c r="FB18"/>
  <c r="EY18"/>
  <c r="ER18"/>
  <c r="EQ18"/>
  <c r="EP18"/>
  <c r="EM18"/>
  <c r="EJ18"/>
  <c r="FP15"/>
  <c r="FO15"/>
  <c r="FM15"/>
  <c r="FL15"/>
  <c r="FG15"/>
  <c r="FJ15" s="1"/>
  <c r="FF15"/>
  <c r="FI15" s="1"/>
  <c r="FB15"/>
  <c r="FH15" s="1"/>
  <c r="EY15"/>
  <c r="ER15"/>
  <c r="EU15" s="1"/>
  <c r="EQ15"/>
  <c r="ET15" s="1"/>
  <c r="EM15"/>
  <c r="ES15" s="1"/>
  <c r="EJ15"/>
  <c r="FP14"/>
  <c r="FO14"/>
  <c r="FM14"/>
  <c r="FL14"/>
  <c r="ER14"/>
  <c r="FU14"/>
  <c r="HB14" s="1"/>
  <c r="HH14" s="1"/>
  <c r="EM14"/>
  <c r="ES14" s="1"/>
  <c r="EJ14"/>
  <c r="FN14" s="1"/>
  <c r="FS13"/>
  <c r="FR13"/>
  <c r="FP13"/>
  <c r="FO13"/>
  <c r="FM13"/>
  <c r="FL13"/>
  <c r="ER13"/>
  <c r="EQ13"/>
  <c r="EP13"/>
  <c r="EM13"/>
  <c r="EJ13"/>
  <c r="FP12"/>
  <c r="FO12"/>
  <c r="FM12"/>
  <c r="FL12"/>
  <c r="FG12"/>
  <c r="FJ12" s="1"/>
  <c r="FF12"/>
  <c r="FI12" s="1"/>
  <c r="FB12"/>
  <c r="EY12"/>
  <c r="ER12"/>
  <c r="EQ12"/>
  <c r="EM12"/>
  <c r="EJ12"/>
  <c r="FP11"/>
  <c r="FO11"/>
  <c r="FM11"/>
  <c r="FL11"/>
  <c r="FG11"/>
  <c r="FJ11" s="1"/>
  <c r="FF11"/>
  <c r="FI11" s="1"/>
  <c r="FB11"/>
  <c r="FH11" s="1"/>
  <c r="EY11"/>
  <c r="ER11"/>
  <c r="EU11" s="1"/>
  <c r="EQ11"/>
  <c r="ET11" s="1"/>
  <c r="EM11"/>
  <c r="EJ11"/>
  <c r="FP10"/>
  <c r="FO10"/>
  <c r="FM10"/>
  <c r="FL10"/>
  <c r="FG10"/>
  <c r="FJ10" s="1"/>
  <c r="FF10"/>
  <c r="FI10" s="1"/>
  <c r="FB10"/>
  <c r="FH10" s="1"/>
  <c r="EY10"/>
  <c r="ER10"/>
  <c r="EU10" s="1"/>
  <c r="EQ10"/>
  <c r="ET10" s="1"/>
  <c r="EJ10"/>
  <c r="FS9"/>
  <c r="FR9"/>
  <c r="FP9"/>
  <c r="FO9"/>
  <c r="FM9"/>
  <c r="FL9"/>
  <c r="FG9"/>
  <c r="FF9"/>
  <c r="FI9" s="1"/>
  <c r="FE9"/>
  <c r="FB9"/>
  <c r="EY9"/>
  <c r="ER9"/>
  <c r="EQ9"/>
  <c r="EP9"/>
  <c r="EM9"/>
  <c r="EJ9"/>
  <c r="AP52" i="21" l="1"/>
  <c r="ER52"/>
  <c r="BJ25" i="22"/>
  <c r="FU12" i="23"/>
  <c r="HB12" s="1"/>
  <c r="HH12" s="1"/>
  <c r="ES15" i="21"/>
  <c r="ES20"/>
  <c r="ES24"/>
  <c r="ES28"/>
  <c r="ES32"/>
  <c r="BL52"/>
  <c r="FN52"/>
  <c r="BM52"/>
  <c r="CF52"/>
  <c r="ES17"/>
  <c r="EQ52"/>
  <c r="ES26"/>
  <c r="ES30"/>
  <c r="CG52"/>
  <c r="CH52"/>
  <c r="DB52"/>
  <c r="DC52"/>
  <c r="DW52"/>
  <c r="V52"/>
  <c r="DA52"/>
  <c r="AQ52"/>
  <c r="DV52"/>
  <c r="DX52"/>
  <c r="U52"/>
  <c r="FL52"/>
  <c r="FE51" i="23"/>
  <c r="FV12"/>
  <c r="EP51"/>
  <c r="ES36" i="21"/>
  <c r="ES40"/>
  <c r="ES44"/>
  <c r="ES48"/>
  <c r="EU45" i="23"/>
  <c r="FV45"/>
  <c r="ET45"/>
  <c r="FU45"/>
  <c r="FN38"/>
  <c r="FN15"/>
  <c r="AF25" i="22"/>
  <c r="DU25" s="1"/>
  <c r="AR11" i="21"/>
  <c r="AR15"/>
  <c r="AR20"/>
  <c r="AR24"/>
  <c r="AR28"/>
  <c r="AR32"/>
  <c r="AR36"/>
  <c r="AR40"/>
  <c r="AR44"/>
  <c r="AR48"/>
  <c r="EV42" i="23"/>
  <c r="FK38"/>
  <c r="FQ11"/>
  <c r="FN11"/>
  <c r="FV13"/>
  <c r="FY13" s="1"/>
  <c r="FN13"/>
  <c r="FU48"/>
  <c r="FX48" s="1"/>
  <c r="FK11"/>
  <c r="FK15"/>
  <c r="FU43"/>
  <c r="FX43" s="1"/>
  <c r="ES23"/>
  <c r="FW23" s="1"/>
  <c r="HD23" s="1"/>
  <c r="HJ23" s="1"/>
  <c r="FU47"/>
  <c r="HB47" s="1"/>
  <c r="HH47" s="1"/>
  <c r="ES22" i="21"/>
  <c r="FU24" i="23"/>
  <c r="HB24" s="1"/>
  <c r="HH24" s="1"/>
  <c r="FT20"/>
  <c r="FH20"/>
  <c r="FK20" s="1"/>
  <c r="FT21"/>
  <c r="FH21"/>
  <c r="FK21" s="1"/>
  <c r="FT22"/>
  <c r="FH22"/>
  <c r="FK22" s="1"/>
  <c r="FT23"/>
  <c r="ES30"/>
  <c r="EV30" s="1"/>
  <c r="FN42"/>
  <c r="FV48"/>
  <c r="FY48" s="1"/>
  <c r="FU21"/>
  <c r="HB21" s="1"/>
  <c r="HH21" s="1"/>
  <c r="FU33"/>
  <c r="HB33" s="1"/>
  <c r="HH33" s="1"/>
  <c r="FK26"/>
  <c r="FN30"/>
  <c r="AF10" i="22"/>
  <c r="BJ10"/>
  <c r="FU9" i="23"/>
  <c r="HB9" s="1"/>
  <c r="HH9" s="1"/>
  <c r="FN18"/>
  <c r="ES21"/>
  <c r="EV21" s="1"/>
  <c r="FV23"/>
  <c r="FY23" s="1"/>
  <c r="FQ48"/>
  <c r="FG51"/>
  <c r="FJ51" s="1"/>
  <c r="FV20"/>
  <c r="HC20" s="1"/>
  <c r="HI20" s="1"/>
  <c r="FU26"/>
  <c r="HB26" s="1"/>
  <c r="HH26" s="1"/>
  <c r="FN26"/>
  <c r="FT30"/>
  <c r="FK43"/>
  <c r="CE10" i="22"/>
  <c r="DU10" s="1"/>
  <c r="FU13" i="23"/>
  <c r="HB13" s="1"/>
  <c r="HH13" s="1"/>
  <c r="FV18"/>
  <c r="FY18" s="1"/>
  <c r="FT37"/>
  <c r="FN43"/>
  <c r="ES47"/>
  <c r="EV47" s="1"/>
  <c r="FR51"/>
  <c r="FU18"/>
  <c r="FX18" s="1"/>
  <c r="ES20"/>
  <c r="EV20" s="1"/>
  <c r="EU20"/>
  <c r="FN21"/>
  <c r="FV21"/>
  <c r="FY21" s="1"/>
  <c r="FN22"/>
  <c r="FN27"/>
  <c r="FN28"/>
  <c r="FH30"/>
  <c r="FK30" s="1"/>
  <c r="FQ33"/>
  <c r="FU42"/>
  <c r="FX42" s="1"/>
  <c r="AR10" i="21"/>
  <c r="AR12"/>
  <c r="AR14"/>
  <c r="AR19"/>
  <c r="AR23"/>
  <c r="AR27"/>
  <c r="AR31"/>
  <c r="AR35"/>
  <c r="ES14"/>
  <c r="ES16"/>
  <c r="ES19"/>
  <c r="ES21"/>
  <c r="ES23"/>
  <c r="ES25"/>
  <c r="ES27"/>
  <c r="ES29"/>
  <c r="ES31"/>
  <c r="ES35"/>
  <c r="ES37"/>
  <c r="ES39"/>
  <c r="ES41"/>
  <c r="ES43"/>
  <c r="ES45"/>
  <c r="ES47"/>
  <c r="ES49"/>
  <c r="ES51"/>
  <c r="FT9" i="23"/>
  <c r="FJ9"/>
  <c r="ES13"/>
  <c r="EV13" s="1"/>
  <c r="ES18"/>
  <c r="EV18" s="1"/>
  <c r="FN24"/>
  <c r="FQ28"/>
  <c r="FQ35"/>
  <c r="EV36"/>
  <c r="FH37"/>
  <c r="FK37" s="1"/>
  <c r="ET42"/>
  <c r="FN48"/>
  <c r="FN9"/>
  <c r="FS51"/>
  <c r="FN12"/>
  <c r="FH18"/>
  <c r="FK18" s="1"/>
  <c r="FN20"/>
  <c r="FV38"/>
  <c r="FV42"/>
  <c r="FN47"/>
  <c r="ET14"/>
  <c r="ET21"/>
  <c r="FQ23"/>
  <c r="FV37"/>
  <c r="ET48"/>
  <c r="FU50"/>
  <c r="HB50" s="1"/>
  <c r="HH50" s="1"/>
  <c r="FH9"/>
  <c r="FK9" s="1"/>
  <c r="FH12"/>
  <c r="FK12" s="1"/>
  <c r="ET13"/>
  <c r="FV14"/>
  <c r="FY14" s="1"/>
  <c r="ET18"/>
  <c r="FU22"/>
  <c r="FV24"/>
  <c r="HC24" s="1"/>
  <c r="HI24" s="1"/>
  <c r="FV30"/>
  <c r="FN35"/>
  <c r="FQ42"/>
  <c r="FV9"/>
  <c r="HC9" s="1"/>
  <c r="HI9" s="1"/>
  <c r="HC12"/>
  <c r="HI12" s="1"/>
  <c r="FV15"/>
  <c r="FQ22"/>
  <c r="FT24"/>
  <c r="FU35"/>
  <c r="ES37"/>
  <c r="EV37" s="1"/>
  <c r="ES45"/>
  <c r="FV47"/>
  <c r="HC47" s="1"/>
  <c r="HI47" s="1"/>
  <c r="ES48"/>
  <c r="FT13"/>
  <c r="FT18"/>
  <c r="FU20"/>
  <c r="EU23"/>
  <c r="FV26"/>
  <c r="FN37"/>
  <c r="EU47"/>
  <c r="FQ47"/>
  <c r="FV50"/>
  <c r="HC50" s="1"/>
  <c r="HI50" s="1"/>
  <c r="FQ50"/>
  <c r="FK50"/>
  <c r="FN50"/>
  <c r="ET50"/>
  <c r="ES10" i="21"/>
  <c r="ES9"/>
  <c r="ES12"/>
  <c r="ES11"/>
  <c r="AR9"/>
  <c r="AR13"/>
  <c r="AR17"/>
  <c r="AR22"/>
  <c r="AR26"/>
  <c r="AR30"/>
  <c r="AR34"/>
  <c r="AR38"/>
  <c r="AR42"/>
  <c r="AR46"/>
  <c r="AR50"/>
  <c r="AR16"/>
  <c r="AR21"/>
  <c r="AR25"/>
  <c r="AR29"/>
  <c r="AR37"/>
  <c r="AR41"/>
  <c r="AR45"/>
  <c r="AR49"/>
  <c r="AR39"/>
  <c r="AR43"/>
  <c r="AR47"/>
  <c r="AR51"/>
  <c r="ES24" i="23"/>
  <c r="FW24" s="1"/>
  <c r="EU24"/>
  <c r="FQ24"/>
  <c r="ET24"/>
  <c r="ES12"/>
  <c r="EU12"/>
  <c r="FV31"/>
  <c r="HC31" s="1"/>
  <c r="HI31" s="1"/>
  <c r="FT31"/>
  <c r="FU31"/>
  <c r="HB31" s="1"/>
  <c r="HH31" s="1"/>
  <c r="FN31"/>
  <c r="ES31"/>
  <c r="EV31" s="1"/>
  <c r="ET31"/>
  <c r="FN33"/>
  <c r="FU34"/>
  <c r="FX34" s="1"/>
  <c r="FQ34"/>
  <c r="FN34"/>
  <c r="FK34"/>
  <c r="ES34"/>
  <c r="FW34" s="1"/>
  <c r="HD34" s="1"/>
  <c r="HJ34" s="1"/>
  <c r="FP51"/>
  <c r="FH27"/>
  <c r="FK27" s="1"/>
  <c r="FT27"/>
  <c r="FV27"/>
  <c r="HC27" s="1"/>
  <c r="HI27" s="1"/>
  <c r="FU27"/>
  <c r="FX27" s="1"/>
  <c r="ES27"/>
  <c r="EV27" s="1"/>
  <c r="ET27"/>
  <c r="FM51"/>
  <c r="FT29"/>
  <c r="FH29"/>
  <c r="FK29" s="1"/>
  <c r="FV29"/>
  <c r="HC29" s="1"/>
  <c r="HI29" s="1"/>
  <c r="FN29"/>
  <c r="ES29"/>
  <c r="EV29" s="1"/>
  <c r="EU29"/>
  <c r="FQ29"/>
  <c r="CZ10" i="22"/>
  <c r="HG51" i="23"/>
  <c r="FK10"/>
  <c r="EY51"/>
  <c r="FL51"/>
  <c r="FN10"/>
  <c r="EM51"/>
  <c r="FO51"/>
  <c r="EV26"/>
  <c r="FW26"/>
  <c r="EV15"/>
  <c r="FW15"/>
  <c r="FX9"/>
  <c r="EV10"/>
  <c r="FW10"/>
  <c r="EV43"/>
  <c r="FW43"/>
  <c r="EV14"/>
  <c r="FW14"/>
  <c r="FW50"/>
  <c r="EV50"/>
  <c r="EV38"/>
  <c r="FW38"/>
  <c r="ES11"/>
  <c r="EU13"/>
  <c r="FQ13"/>
  <c r="EU14"/>
  <c r="EU18"/>
  <c r="FQ18"/>
  <c r="EU21"/>
  <c r="FQ21"/>
  <c r="ET22"/>
  <c r="EU27"/>
  <c r="FQ27"/>
  <c r="ET33"/>
  <c r="ET34"/>
  <c r="ET35"/>
  <c r="FF51"/>
  <c r="FI51" s="1"/>
  <c r="FV10"/>
  <c r="FQ12"/>
  <c r="FQ14"/>
  <c r="FQ20"/>
  <c r="ES22"/>
  <c r="FN23"/>
  <c r="ES28"/>
  <c r="FU30"/>
  <c r="ES33"/>
  <c r="ES35"/>
  <c r="FU37"/>
  <c r="EU9"/>
  <c r="FQ9"/>
  <c r="FU10"/>
  <c r="ET12"/>
  <c r="ET20"/>
  <c r="FV22"/>
  <c r="FU23"/>
  <c r="FU29"/>
  <c r="FV33"/>
  <c r="FV35"/>
  <c r="EJ51"/>
  <c r="FB51"/>
  <c r="ET9"/>
  <c r="FQ10"/>
  <c r="FV34"/>
  <c r="FV43"/>
  <c r="ET47"/>
  <c r="ES9"/>
  <c r="EU31"/>
  <c r="FQ31"/>
  <c r="ER51"/>
  <c r="EU51" s="1"/>
  <c r="FV11"/>
  <c r="FU15"/>
  <c r="FQ30"/>
  <c r="FQ37"/>
  <c r="FU38"/>
  <c r="FQ43"/>
  <c r="EQ51"/>
  <c r="ET51" s="1"/>
  <c r="FU11"/>
  <c r="FQ15"/>
  <c r="FQ26"/>
  <c r="FQ38"/>
  <c r="FW42"/>
  <c r="DA9" i="22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V25"/>
  <c r="DW25"/>
  <c r="DX25"/>
  <c r="DY25"/>
  <c r="DZ25"/>
  <c r="EA25"/>
  <c r="EB25"/>
  <c r="EC25"/>
  <c r="ED25"/>
  <c r="EE25"/>
  <c r="EF25"/>
  <c r="EG25"/>
  <c r="EH25"/>
  <c r="EI25"/>
  <c r="EJ25"/>
  <c r="EK25"/>
  <c r="EL25"/>
  <c r="EM25"/>
  <c r="EN25"/>
  <c r="EO25"/>
  <c r="EP25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F14"/>
  <c r="EG14"/>
  <c r="EH14"/>
  <c r="EI14"/>
  <c r="EJ14"/>
  <c r="EK14"/>
  <c r="EL14"/>
  <c r="EM14"/>
  <c r="EN14"/>
  <c r="EO14"/>
  <c r="EP14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F16"/>
  <c r="EG16"/>
  <c r="EH16"/>
  <c r="EI16"/>
  <c r="EJ16"/>
  <c r="EK16"/>
  <c r="EL16"/>
  <c r="EM16"/>
  <c r="EN16"/>
  <c r="EO16"/>
  <c r="EP16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F17"/>
  <c r="EG17"/>
  <c r="EH17"/>
  <c r="EI17"/>
  <c r="EJ17"/>
  <c r="EK17"/>
  <c r="EL17"/>
  <c r="EM17"/>
  <c r="EN17"/>
  <c r="EO17"/>
  <c r="EP17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F19"/>
  <c r="EG19"/>
  <c r="EH19"/>
  <c r="EI19"/>
  <c r="EJ19"/>
  <c r="EK19"/>
  <c r="EL19"/>
  <c r="EM19"/>
  <c r="EN19"/>
  <c r="EO19"/>
  <c r="EP19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F20"/>
  <c r="EG20"/>
  <c r="EH20"/>
  <c r="EI20"/>
  <c r="EJ20"/>
  <c r="EK20"/>
  <c r="EL20"/>
  <c r="EM20"/>
  <c r="EN20"/>
  <c r="EO20"/>
  <c r="EP20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F21"/>
  <c r="EG21"/>
  <c r="EH21"/>
  <c r="EI21"/>
  <c r="EJ21"/>
  <c r="EK21"/>
  <c r="EL21"/>
  <c r="EM21"/>
  <c r="EN21"/>
  <c r="EO21"/>
  <c r="EP21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F23"/>
  <c r="EG23"/>
  <c r="EH23"/>
  <c r="EI23"/>
  <c r="EJ23"/>
  <c r="EK23"/>
  <c r="EL23"/>
  <c r="EM23"/>
  <c r="EN23"/>
  <c r="EO23"/>
  <c r="EP23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F24"/>
  <c r="EG24"/>
  <c r="EH24"/>
  <c r="EI24"/>
  <c r="EJ24"/>
  <c r="EK24"/>
  <c r="EL24"/>
  <c r="EM24"/>
  <c r="EN24"/>
  <c r="EO24"/>
  <c r="EP24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EH27"/>
  <c r="EI27"/>
  <c r="EJ27"/>
  <c r="EK27"/>
  <c r="EL27"/>
  <c r="EM27"/>
  <c r="EN27"/>
  <c r="EO27"/>
  <c r="EP27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EH29"/>
  <c r="EI29"/>
  <c r="EJ29"/>
  <c r="EK29"/>
  <c r="EL29"/>
  <c r="EM29"/>
  <c r="EN29"/>
  <c r="EO29"/>
  <c r="EP29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EH30"/>
  <c r="EI30"/>
  <c r="EJ30"/>
  <c r="EK30"/>
  <c r="EL30"/>
  <c r="EM30"/>
  <c r="EN30"/>
  <c r="EO30"/>
  <c r="EP30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EH31"/>
  <c r="EI31"/>
  <c r="EJ31"/>
  <c r="EK31"/>
  <c r="EL31"/>
  <c r="EM31"/>
  <c r="EN31"/>
  <c r="EO31"/>
  <c r="EP31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EH32"/>
  <c r="EI32"/>
  <c r="EJ32"/>
  <c r="EK32"/>
  <c r="EL32"/>
  <c r="EM32"/>
  <c r="EN32"/>
  <c r="EO32"/>
  <c r="EP32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EH34"/>
  <c r="EI34"/>
  <c r="EJ34"/>
  <c r="EK34"/>
  <c r="EL34"/>
  <c r="EM34"/>
  <c r="EN34"/>
  <c r="EO34"/>
  <c r="EP34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EH35"/>
  <c r="EI35"/>
  <c r="EJ35"/>
  <c r="EK35"/>
  <c r="EL35"/>
  <c r="EM35"/>
  <c r="EN35"/>
  <c r="EO35"/>
  <c r="EP35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EH36"/>
  <c r="EI36"/>
  <c r="EJ36"/>
  <c r="EK36"/>
  <c r="EL36"/>
  <c r="EM36"/>
  <c r="EN36"/>
  <c r="EO36"/>
  <c r="EP36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EH37"/>
  <c r="EI37"/>
  <c r="EJ37"/>
  <c r="EK37"/>
  <c r="EL37"/>
  <c r="EM37"/>
  <c r="EN37"/>
  <c r="EO37"/>
  <c r="EP37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EH42"/>
  <c r="EI42"/>
  <c r="EJ42"/>
  <c r="EK42"/>
  <c r="EL42"/>
  <c r="EM42"/>
  <c r="EN42"/>
  <c r="EO42"/>
  <c r="EP42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EH44"/>
  <c r="EI44"/>
  <c r="EJ44"/>
  <c r="EK44"/>
  <c r="EL44"/>
  <c r="EM44"/>
  <c r="EN44"/>
  <c r="EO44"/>
  <c r="EP44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EH45"/>
  <c r="EI45"/>
  <c r="EJ45"/>
  <c r="EK45"/>
  <c r="EL45"/>
  <c r="EM45"/>
  <c r="EN45"/>
  <c r="EO45"/>
  <c r="EP45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EH46"/>
  <c r="EI46"/>
  <c r="EJ46"/>
  <c r="EK46"/>
  <c r="EL46"/>
  <c r="EM46"/>
  <c r="EN46"/>
  <c r="EO46"/>
  <c r="EP46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EH47"/>
  <c r="EI47"/>
  <c r="EJ47"/>
  <c r="EK47"/>
  <c r="EL47"/>
  <c r="EM47"/>
  <c r="EN47"/>
  <c r="EO47"/>
  <c r="EP47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EH48"/>
  <c r="EI48"/>
  <c r="EJ48"/>
  <c r="EK48"/>
  <c r="EL48"/>
  <c r="EM48"/>
  <c r="EN48"/>
  <c r="EO48"/>
  <c r="EP48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EH49"/>
  <c r="EI49"/>
  <c r="EJ49"/>
  <c r="EK49"/>
  <c r="EL49"/>
  <c r="EM49"/>
  <c r="EN49"/>
  <c r="EO49"/>
  <c r="EP49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EH50"/>
  <c r="EI50"/>
  <c r="EJ50"/>
  <c r="EK50"/>
  <c r="EL50"/>
  <c r="EM50"/>
  <c r="EN50"/>
  <c r="EO50"/>
  <c r="EP50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EH51"/>
  <c r="EI51"/>
  <c r="EJ51"/>
  <c r="EK51"/>
  <c r="EL51"/>
  <c r="EM51"/>
  <c r="EN51"/>
  <c r="EO51"/>
  <c r="EP51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EH52"/>
  <c r="EI52"/>
  <c r="EJ52"/>
  <c r="EK52"/>
  <c r="EL52"/>
  <c r="EM52"/>
  <c r="EN52"/>
  <c r="EO52"/>
  <c r="EP52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EH41"/>
  <c r="EI41"/>
  <c r="EJ41"/>
  <c r="EK41"/>
  <c r="EL41"/>
  <c r="EM41"/>
  <c r="EN41"/>
  <c r="EO41"/>
  <c r="EP41"/>
  <c r="DA41"/>
  <c r="Z15" i="24"/>
  <c r="W15"/>
  <c r="Z13"/>
  <c r="W13"/>
  <c r="Z12"/>
  <c r="W12"/>
  <c r="Z11"/>
  <c r="W11"/>
  <c r="Z10"/>
  <c r="W10"/>
  <c r="Z9"/>
  <c r="W9"/>
  <c r="Z8"/>
  <c r="W8"/>
  <c r="BV16"/>
  <c r="BU16"/>
  <c r="BM16"/>
  <c r="BL16"/>
  <c r="Y16"/>
  <c r="G16"/>
  <c r="F16"/>
  <c r="BG15"/>
  <c r="V16"/>
  <c r="U16"/>
  <c r="BF15"/>
  <c r="D16"/>
  <c r="E15"/>
  <c r="BW13"/>
  <c r="BY13"/>
  <c r="BX13"/>
  <c r="BN13"/>
  <c r="BP13"/>
  <c r="BO13"/>
  <c r="BE13"/>
  <c r="BG13"/>
  <c r="BF13"/>
  <c r="H13"/>
  <c r="E13"/>
  <c r="BW12"/>
  <c r="BY12"/>
  <c r="BX12"/>
  <c r="BN12"/>
  <c r="BP12"/>
  <c r="BO12"/>
  <c r="BE12"/>
  <c r="BG12"/>
  <c r="BF12"/>
  <c r="H12"/>
  <c r="E12"/>
  <c r="BW11"/>
  <c r="BY11"/>
  <c r="BX11"/>
  <c r="BP11"/>
  <c r="BO11"/>
  <c r="BN11"/>
  <c r="BE11"/>
  <c r="BG11"/>
  <c r="BF11"/>
  <c r="H11"/>
  <c r="E11"/>
  <c r="BW10"/>
  <c r="BY10"/>
  <c r="BX10"/>
  <c r="BP10"/>
  <c r="BN10"/>
  <c r="BO10"/>
  <c r="BE10"/>
  <c r="CC10" s="1"/>
  <c r="BG10"/>
  <c r="BF10"/>
  <c r="H10"/>
  <c r="E10"/>
  <c r="BW9"/>
  <c r="BY9"/>
  <c r="BX9"/>
  <c r="BN9"/>
  <c r="BP9"/>
  <c r="BO9"/>
  <c r="BE9"/>
  <c r="BG9"/>
  <c r="BF9"/>
  <c r="H9"/>
  <c r="E9"/>
  <c r="H8"/>
  <c r="E8"/>
  <c r="DH51" i="23"/>
  <c r="DG51"/>
  <c r="DE51"/>
  <c r="DD51"/>
  <c r="DM50"/>
  <c r="DP50" s="1"/>
  <c r="DI50"/>
  <c r="DO50" s="1"/>
  <c r="DF50"/>
  <c r="DN43"/>
  <c r="DQ43" s="1"/>
  <c r="DM43"/>
  <c r="DP43" s="1"/>
  <c r="DI43"/>
  <c r="DO43" s="1"/>
  <c r="DF43"/>
  <c r="DN41"/>
  <c r="DQ41" s="1"/>
  <c r="DM41"/>
  <c r="DP41" s="1"/>
  <c r="DI41"/>
  <c r="DO41" s="1"/>
  <c r="DF41"/>
  <c r="DN40"/>
  <c r="DQ40" s="1"/>
  <c r="DM40"/>
  <c r="DP40" s="1"/>
  <c r="DL40"/>
  <c r="DI40"/>
  <c r="DF40"/>
  <c r="DF39"/>
  <c r="DN38"/>
  <c r="DQ38" s="1"/>
  <c r="DM38"/>
  <c r="DP38" s="1"/>
  <c r="DI38"/>
  <c r="DO38" s="1"/>
  <c r="DF38"/>
  <c r="DN37"/>
  <c r="DQ37" s="1"/>
  <c r="DM37"/>
  <c r="DP37" s="1"/>
  <c r="DL37"/>
  <c r="DI37"/>
  <c r="DF37"/>
  <c r="DQ36"/>
  <c r="DM32"/>
  <c r="DN34"/>
  <c r="DQ34" s="1"/>
  <c r="DM34"/>
  <c r="DP34" s="1"/>
  <c r="DI34"/>
  <c r="DO34" s="1"/>
  <c r="DF34"/>
  <c r="DN33"/>
  <c r="DQ33" s="1"/>
  <c r="DM33"/>
  <c r="DP33" s="1"/>
  <c r="DL33"/>
  <c r="DI33"/>
  <c r="DF33"/>
  <c r="DQ31"/>
  <c r="DM31"/>
  <c r="DP31" s="1"/>
  <c r="DI31"/>
  <c r="DF31"/>
  <c r="DN30"/>
  <c r="DQ30" s="1"/>
  <c r="DM30"/>
  <c r="DP30" s="1"/>
  <c r="DL30"/>
  <c r="DI30"/>
  <c r="DF30"/>
  <c r="DN29"/>
  <c r="DQ29" s="1"/>
  <c r="DM29"/>
  <c r="DP29" s="1"/>
  <c r="DL29"/>
  <c r="DI29"/>
  <c r="DF29"/>
  <c r="DN27"/>
  <c r="DQ27" s="1"/>
  <c r="DM27"/>
  <c r="DP27" s="1"/>
  <c r="DL27"/>
  <c r="DI27"/>
  <c r="DF27"/>
  <c r="DN26"/>
  <c r="DQ26" s="1"/>
  <c r="DM26"/>
  <c r="DP26" s="1"/>
  <c r="DI26"/>
  <c r="DO26" s="1"/>
  <c r="DF26"/>
  <c r="DN22"/>
  <c r="DQ22" s="1"/>
  <c r="DM22"/>
  <c r="DP22" s="1"/>
  <c r="DL22"/>
  <c r="DI22"/>
  <c r="DF22"/>
  <c r="DN21"/>
  <c r="DQ21" s="1"/>
  <c r="DM21"/>
  <c r="DP21" s="1"/>
  <c r="DL21"/>
  <c r="DI21"/>
  <c r="DF21"/>
  <c r="DN20"/>
  <c r="DQ20" s="1"/>
  <c r="DM20"/>
  <c r="DP20" s="1"/>
  <c r="DI20"/>
  <c r="DF20"/>
  <c r="DN18"/>
  <c r="DQ18" s="1"/>
  <c r="DM18"/>
  <c r="DP18" s="1"/>
  <c r="DL18"/>
  <c r="DI18"/>
  <c r="DF18"/>
  <c r="DN15"/>
  <c r="DQ15" s="1"/>
  <c r="DM15"/>
  <c r="DP15" s="1"/>
  <c r="DI15"/>
  <c r="DO15" s="1"/>
  <c r="DF15"/>
  <c r="DN12"/>
  <c r="DQ12" s="1"/>
  <c r="DM12"/>
  <c r="DP12" s="1"/>
  <c r="DI12"/>
  <c r="DF12"/>
  <c r="DN11"/>
  <c r="DQ11" s="1"/>
  <c r="DM11"/>
  <c r="DP11" s="1"/>
  <c r="DI11"/>
  <c r="DO11" s="1"/>
  <c r="DF11"/>
  <c r="DN10"/>
  <c r="DQ10" s="1"/>
  <c r="DM10"/>
  <c r="DP10" s="1"/>
  <c r="DI10"/>
  <c r="DO10" s="1"/>
  <c r="DF10"/>
  <c r="DN9"/>
  <c r="DM9"/>
  <c r="DL9"/>
  <c r="DI9"/>
  <c r="DF9"/>
  <c r="CS51"/>
  <c r="CR51"/>
  <c r="CP51"/>
  <c r="CO51"/>
  <c r="CX50"/>
  <c r="DA50" s="1"/>
  <c r="CT50"/>
  <c r="CZ50" s="1"/>
  <c r="CQ50"/>
  <c r="DU50" s="1"/>
  <c r="CY48"/>
  <c r="DB48" s="1"/>
  <c r="CX48"/>
  <c r="DA48" s="1"/>
  <c r="CW48"/>
  <c r="CT48"/>
  <c r="CQ48"/>
  <c r="DU48" s="1"/>
  <c r="CY47"/>
  <c r="DB47" s="1"/>
  <c r="CX47"/>
  <c r="DA47" s="1"/>
  <c r="CT47"/>
  <c r="CQ47"/>
  <c r="DU47" s="1"/>
  <c r="CY46"/>
  <c r="DB46" s="1"/>
  <c r="CX46"/>
  <c r="DA46" s="1"/>
  <c r="CW46"/>
  <c r="EA46" s="1"/>
  <c r="CT46"/>
  <c r="DX46" s="1"/>
  <c r="CQ46"/>
  <c r="DU46" s="1"/>
  <c r="CY43"/>
  <c r="DB43" s="1"/>
  <c r="CX43"/>
  <c r="DA43" s="1"/>
  <c r="CT43"/>
  <c r="CZ43" s="1"/>
  <c r="CQ43"/>
  <c r="DU43" s="1"/>
  <c r="CY42"/>
  <c r="DB42" s="1"/>
  <c r="CX42"/>
  <c r="DA42" s="1"/>
  <c r="CT42"/>
  <c r="CZ42" s="1"/>
  <c r="CQ42"/>
  <c r="DU42" s="1"/>
  <c r="CY41"/>
  <c r="DB41" s="1"/>
  <c r="CX41"/>
  <c r="DA41" s="1"/>
  <c r="CT41"/>
  <c r="CZ41" s="1"/>
  <c r="CQ41"/>
  <c r="CY40"/>
  <c r="DB40" s="1"/>
  <c r="CX40"/>
  <c r="DA40" s="1"/>
  <c r="CW40"/>
  <c r="CT40"/>
  <c r="CQ40"/>
  <c r="CY39"/>
  <c r="DB39" s="1"/>
  <c r="CX39"/>
  <c r="DA39" s="1"/>
  <c r="CT39"/>
  <c r="CZ39" s="1"/>
  <c r="CQ39"/>
  <c r="CY38"/>
  <c r="DB38" s="1"/>
  <c r="CX38"/>
  <c r="DA38" s="1"/>
  <c r="CT38"/>
  <c r="CZ38" s="1"/>
  <c r="CQ38"/>
  <c r="CY37"/>
  <c r="DB37" s="1"/>
  <c r="CX37"/>
  <c r="DA37" s="1"/>
  <c r="CW37"/>
  <c r="CT37"/>
  <c r="CQ37"/>
  <c r="DB36"/>
  <c r="DA36"/>
  <c r="CY35"/>
  <c r="DB35" s="1"/>
  <c r="CX35"/>
  <c r="DA35" s="1"/>
  <c r="CT35"/>
  <c r="CQ35"/>
  <c r="DU35" s="1"/>
  <c r="CY34"/>
  <c r="DB34" s="1"/>
  <c r="CX34"/>
  <c r="DA34" s="1"/>
  <c r="CT34"/>
  <c r="CZ34" s="1"/>
  <c r="CQ34"/>
  <c r="CY33"/>
  <c r="DB33" s="1"/>
  <c r="CX33"/>
  <c r="DA33" s="1"/>
  <c r="CW33"/>
  <c r="CT33"/>
  <c r="CQ33"/>
  <c r="CY31"/>
  <c r="DB31" s="1"/>
  <c r="CX31"/>
  <c r="DA31" s="1"/>
  <c r="CW31"/>
  <c r="EA31" s="1"/>
  <c r="CT31"/>
  <c r="CQ31"/>
  <c r="CY30"/>
  <c r="DB30" s="1"/>
  <c r="CX30"/>
  <c r="DA30" s="1"/>
  <c r="CW30"/>
  <c r="CT30"/>
  <c r="CQ30"/>
  <c r="CY29"/>
  <c r="DB29" s="1"/>
  <c r="CX29"/>
  <c r="DA29" s="1"/>
  <c r="CW29"/>
  <c r="CT29"/>
  <c r="CQ29"/>
  <c r="CZ28"/>
  <c r="DC28" s="1"/>
  <c r="CY27"/>
  <c r="DB27" s="1"/>
  <c r="CX27"/>
  <c r="DA27" s="1"/>
  <c r="CW27"/>
  <c r="CT27"/>
  <c r="CQ27"/>
  <c r="CY26"/>
  <c r="DB26" s="1"/>
  <c r="CX26"/>
  <c r="DA26" s="1"/>
  <c r="CT26"/>
  <c r="CZ26" s="1"/>
  <c r="CQ26"/>
  <c r="CY24"/>
  <c r="DB24" s="1"/>
  <c r="CX24"/>
  <c r="DA24" s="1"/>
  <c r="CW24"/>
  <c r="CT24"/>
  <c r="CQ24"/>
  <c r="DU24" s="1"/>
  <c r="CY22"/>
  <c r="DB22" s="1"/>
  <c r="CX22"/>
  <c r="DA22" s="1"/>
  <c r="CW22"/>
  <c r="CT22"/>
  <c r="DX22" s="1"/>
  <c r="CQ22"/>
  <c r="CY21"/>
  <c r="DB21" s="1"/>
  <c r="CX21"/>
  <c r="DA21" s="1"/>
  <c r="CW21"/>
  <c r="CT21"/>
  <c r="CQ21"/>
  <c r="CY20"/>
  <c r="DB20" s="1"/>
  <c r="CX20"/>
  <c r="DA20" s="1"/>
  <c r="CW20"/>
  <c r="EA20" s="1"/>
  <c r="CT20"/>
  <c r="CQ20"/>
  <c r="CY18"/>
  <c r="DB18" s="1"/>
  <c r="CX18"/>
  <c r="DA18" s="1"/>
  <c r="CW18"/>
  <c r="CT18"/>
  <c r="CQ18"/>
  <c r="CY15"/>
  <c r="DB15" s="1"/>
  <c r="CX15"/>
  <c r="DA15" s="1"/>
  <c r="CT15"/>
  <c r="CZ15" s="1"/>
  <c r="CQ15"/>
  <c r="CY14"/>
  <c r="DB14" s="1"/>
  <c r="CT14"/>
  <c r="CZ14" s="1"/>
  <c r="CQ14"/>
  <c r="DU14" s="1"/>
  <c r="CY13"/>
  <c r="DB13" s="1"/>
  <c r="CX13"/>
  <c r="DA13" s="1"/>
  <c r="CW13"/>
  <c r="EA13" s="1"/>
  <c r="CT13"/>
  <c r="DX13" s="1"/>
  <c r="CQ13"/>
  <c r="DU13" s="1"/>
  <c r="CY12"/>
  <c r="CX12"/>
  <c r="CT12"/>
  <c r="CQ12"/>
  <c r="CY11"/>
  <c r="DB11" s="1"/>
  <c r="CX11"/>
  <c r="DA11" s="1"/>
  <c r="CT11"/>
  <c r="CZ11" s="1"/>
  <c r="CQ11"/>
  <c r="CY10"/>
  <c r="DB10" s="1"/>
  <c r="CX10"/>
  <c r="DA10" s="1"/>
  <c r="CT10"/>
  <c r="CZ10" s="1"/>
  <c r="CQ10"/>
  <c r="CY9"/>
  <c r="CX9"/>
  <c r="DA9" s="1"/>
  <c r="CW9"/>
  <c r="CT9"/>
  <c r="CQ9"/>
  <c r="BO51"/>
  <c r="BN51"/>
  <c r="BL51"/>
  <c r="BK51"/>
  <c r="BU50"/>
  <c r="BX50" s="1"/>
  <c r="BT50"/>
  <c r="BW50" s="1"/>
  <c r="BP50"/>
  <c r="BV50" s="1"/>
  <c r="BM50"/>
  <c r="BU43"/>
  <c r="BX43" s="1"/>
  <c r="BT43"/>
  <c r="BW43" s="1"/>
  <c r="BP43"/>
  <c r="BV43" s="1"/>
  <c r="BM43"/>
  <c r="BU41"/>
  <c r="BX41" s="1"/>
  <c r="BT41"/>
  <c r="BW41" s="1"/>
  <c r="BP41"/>
  <c r="BV41" s="1"/>
  <c r="BM41"/>
  <c r="BU40"/>
  <c r="BX40" s="1"/>
  <c r="BT40"/>
  <c r="BW40" s="1"/>
  <c r="BS40"/>
  <c r="BP40"/>
  <c r="BM40"/>
  <c r="BX39"/>
  <c r="BT39"/>
  <c r="BW39" s="1"/>
  <c r="BP39"/>
  <c r="BV39" s="1"/>
  <c r="BM39"/>
  <c r="BU38"/>
  <c r="BX38" s="1"/>
  <c r="BT38"/>
  <c r="BW38" s="1"/>
  <c r="BP38"/>
  <c r="BV38" s="1"/>
  <c r="BM38"/>
  <c r="BU37"/>
  <c r="BX37" s="1"/>
  <c r="BT37"/>
  <c r="BW37" s="1"/>
  <c r="BS37"/>
  <c r="BP37"/>
  <c r="BM37"/>
  <c r="BX36"/>
  <c r="BW36"/>
  <c r="BX34"/>
  <c r="BT34"/>
  <c r="BW34" s="1"/>
  <c r="BP34"/>
  <c r="BV34" s="1"/>
  <c r="BM34"/>
  <c r="BU30"/>
  <c r="BX30" s="1"/>
  <c r="BT30"/>
  <c r="BW30" s="1"/>
  <c r="BS30"/>
  <c r="BP30"/>
  <c r="BM30"/>
  <c r="BU29"/>
  <c r="BX29" s="1"/>
  <c r="BT29"/>
  <c r="BW29" s="1"/>
  <c r="BS29"/>
  <c r="BP29"/>
  <c r="BM29"/>
  <c r="BU27"/>
  <c r="BX27" s="1"/>
  <c r="BT27"/>
  <c r="BW27" s="1"/>
  <c r="BS27"/>
  <c r="BP27"/>
  <c r="BM27"/>
  <c r="BU26"/>
  <c r="BX26" s="1"/>
  <c r="BT26"/>
  <c r="BW26" s="1"/>
  <c r="BP26"/>
  <c r="BV26" s="1"/>
  <c r="BM26"/>
  <c r="BU22"/>
  <c r="BX22" s="1"/>
  <c r="BT22"/>
  <c r="BW22" s="1"/>
  <c r="BS22"/>
  <c r="BP22"/>
  <c r="BM22"/>
  <c r="BU21"/>
  <c r="BX21" s="1"/>
  <c r="BT21"/>
  <c r="BW21" s="1"/>
  <c r="BS21"/>
  <c r="BP21"/>
  <c r="BM21"/>
  <c r="BU18"/>
  <c r="BX18" s="1"/>
  <c r="BT18"/>
  <c r="BW18" s="1"/>
  <c r="BS18"/>
  <c r="BP18"/>
  <c r="BM18"/>
  <c r="BU15"/>
  <c r="BX15" s="1"/>
  <c r="BT15"/>
  <c r="BW15" s="1"/>
  <c r="BP15"/>
  <c r="BV15" s="1"/>
  <c r="BM15"/>
  <c r="BU12"/>
  <c r="BX12" s="1"/>
  <c r="BT12"/>
  <c r="BW12" s="1"/>
  <c r="BP12"/>
  <c r="BM12"/>
  <c r="BU11"/>
  <c r="BX11" s="1"/>
  <c r="BT11"/>
  <c r="BW11" s="1"/>
  <c r="BP11"/>
  <c r="BV11" s="1"/>
  <c r="BM11"/>
  <c r="BU10"/>
  <c r="BX10" s="1"/>
  <c r="BT10"/>
  <c r="BW10" s="1"/>
  <c r="BP10"/>
  <c r="BV10" s="1"/>
  <c r="BM10"/>
  <c r="BU9"/>
  <c r="BT9"/>
  <c r="BW9" s="1"/>
  <c r="BS9"/>
  <c r="BP9"/>
  <c r="BM9"/>
  <c r="AZ51"/>
  <c r="AY51"/>
  <c r="AW51"/>
  <c r="AV51"/>
  <c r="BF50"/>
  <c r="BI50" s="1"/>
  <c r="BE50"/>
  <c r="BH50" s="1"/>
  <c r="BA50"/>
  <c r="BG50" s="1"/>
  <c r="AX50"/>
  <c r="BF48"/>
  <c r="BI48" s="1"/>
  <c r="BE48"/>
  <c r="BH48" s="1"/>
  <c r="BA48"/>
  <c r="AX48"/>
  <c r="CB48" s="1"/>
  <c r="BF47"/>
  <c r="BI47" s="1"/>
  <c r="BE47"/>
  <c r="BH47" s="1"/>
  <c r="BA47"/>
  <c r="AX47"/>
  <c r="BF46"/>
  <c r="BI46" s="1"/>
  <c r="BE46"/>
  <c r="BH46" s="1"/>
  <c r="BD46"/>
  <c r="CH46" s="1"/>
  <c r="BA46"/>
  <c r="AX46"/>
  <c r="CB46" s="1"/>
  <c r="BF45"/>
  <c r="BI45" s="1"/>
  <c r="BE45"/>
  <c r="BH45" s="1"/>
  <c r="BA45"/>
  <c r="AX45"/>
  <c r="BF43"/>
  <c r="BI43" s="1"/>
  <c r="BE43"/>
  <c r="BH43" s="1"/>
  <c r="BA43"/>
  <c r="BG43" s="1"/>
  <c r="AX43"/>
  <c r="CB43" s="1"/>
  <c r="BF42"/>
  <c r="BI42" s="1"/>
  <c r="BE42"/>
  <c r="BH42" s="1"/>
  <c r="BA42"/>
  <c r="BG42" s="1"/>
  <c r="AX42"/>
  <c r="BF41"/>
  <c r="BI41" s="1"/>
  <c r="BE41"/>
  <c r="BH41" s="1"/>
  <c r="BA41"/>
  <c r="BG41" s="1"/>
  <c r="AX41"/>
  <c r="BF40"/>
  <c r="BI40" s="1"/>
  <c r="BE40"/>
  <c r="BH40" s="1"/>
  <c r="BD40"/>
  <c r="BA40"/>
  <c r="AX40"/>
  <c r="BF39"/>
  <c r="BI39" s="1"/>
  <c r="BE39"/>
  <c r="BH39" s="1"/>
  <c r="BA39"/>
  <c r="BG39" s="1"/>
  <c r="AX39"/>
  <c r="BF38"/>
  <c r="BI38" s="1"/>
  <c r="BE38"/>
  <c r="BH38" s="1"/>
  <c r="BA38"/>
  <c r="BG38" s="1"/>
  <c r="AX38"/>
  <c r="CB38" s="1"/>
  <c r="BF37"/>
  <c r="BI37" s="1"/>
  <c r="BE37"/>
  <c r="BH37" s="1"/>
  <c r="BD37"/>
  <c r="BA37"/>
  <c r="AX37"/>
  <c r="BH36"/>
  <c r="BI36"/>
  <c r="BF35"/>
  <c r="BI35" s="1"/>
  <c r="BE35"/>
  <c r="BH35" s="1"/>
  <c r="BA35"/>
  <c r="CE35" s="1"/>
  <c r="AX35"/>
  <c r="BF34"/>
  <c r="BI34" s="1"/>
  <c r="BE34"/>
  <c r="BH34" s="1"/>
  <c r="BA34"/>
  <c r="BG34" s="1"/>
  <c r="AX34"/>
  <c r="CB34" s="1"/>
  <c r="BF33"/>
  <c r="BI33" s="1"/>
  <c r="BE33"/>
  <c r="BH33" s="1"/>
  <c r="BD33"/>
  <c r="CH33" s="1"/>
  <c r="BA33"/>
  <c r="AX33"/>
  <c r="CB33" s="1"/>
  <c r="BF31"/>
  <c r="BI31" s="1"/>
  <c r="BE31"/>
  <c r="BH31" s="1"/>
  <c r="BD31"/>
  <c r="BA31"/>
  <c r="CE31" s="1"/>
  <c r="AX31"/>
  <c r="BF30"/>
  <c r="BI30" s="1"/>
  <c r="BE30"/>
  <c r="BH30" s="1"/>
  <c r="BD30"/>
  <c r="BA30"/>
  <c r="AX30"/>
  <c r="BF29"/>
  <c r="BI29" s="1"/>
  <c r="BE29"/>
  <c r="BH29" s="1"/>
  <c r="BD29"/>
  <c r="BA29"/>
  <c r="AX29"/>
  <c r="CB28"/>
  <c r="BF27"/>
  <c r="BI27" s="1"/>
  <c r="BE27"/>
  <c r="BH27" s="1"/>
  <c r="BD27"/>
  <c r="BA27"/>
  <c r="AX27"/>
  <c r="BF26"/>
  <c r="BI26" s="1"/>
  <c r="BE26"/>
  <c r="BH26" s="1"/>
  <c r="BA26"/>
  <c r="BG26" s="1"/>
  <c r="AX26"/>
  <c r="BF24"/>
  <c r="BI24" s="1"/>
  <c r="BE24"/>
  <c r="BH24" s="1"/>
  <c r="BD24"/>
  <c r="CH24" s="1"/>
  <c r="BA24"/>
  <c r="AX24"/>
  <c r="BF23"/>
  <c r="BI23" s="1"/>
  <c r="BE23"/>
  <c r="BH23" s="1"/>
  <c r="BD23"/>
  <c r="CH23" s="1"/>
  <c r="BA23"/>
  <c r="CE23" s="1"/>
  <c r="AX23"/>
  <c r="BF22"/>
  <c r="BI22" s="1"/>
  <c r="BE22"/>
  <c r="BH22" s="1"/>
  <c r="BD22"/>
  <c r="BA22"/>
  <c r="AX22"/>
  <c r="BF21"/>
  <c r="BI21" s="1"/>
  <c r="BE21"/>
  <c r="BH21" s="1"/>
  <c r="BD21"/>
  <c r="BA21"/>
  <c r="AX21"/>
  <c r="BF20"/>
  <c r="BI20" s="1"/>
  <c r="BE20"/>
  <c r="BH20" s="1"/>
  <c r="BD20"/>
  <c r="CH20" s="1"/>
  <c r="BA20"/>
  <c r="CE20" s="1"/>
  <c r="AX20"/>
  <c r="CB20" s="1"/>
  <c r="BF18"/>
  <c r="BI18" s="1"/>
  <c r="BE18"/>
  <c r="BH18" s="1"/>
  <c r="BD18"/>
  <c r="BA18"/>
  <c r="AX18"/>
  <c r="BF15"/>
  <c r="BI15" s="1"/>
  <c r="BE15"/>
  <c r="BH15" s="1"/>
  <c r="BA15"/>
  <c r="BG15" s="1"/>
  <c r="AX15"/>
  <c r="BF14"/>
  <c r="BI14" s="1"/>
  <c r="BE14"/>
  <c r="BH14" s="1"/>
  <c r="BA14"/>
  <c r="BG14" s="1"/>
  <c r="AX14"/>
  <c r="CB14" s="1"/>
  <c r="BF13"/>
  <c r="BI13" s="1"/>
  <c r="BE13"/>
  <c r="BH13" s="1"/>
  <c r="BD13"/>
  <c r="BA13"/>
  <c r="AX13"/>
  <c r="BF12"/>
  <c r="BE12"/>
  <c r="BA12"/>
  <c r="AX12"/>
  <c r="BF11"/>
  <c r="BI11" s="1"/>
  <c r="BE11"/>
  <c r="BH11" s="1"/>
  <c r="BA11"/>
  <c r="BG11" s="1"/>
  <c r="AX11"/>
  <c r="BF10"/>
  <c r="BI10" s="1"/>
  <c r="BE10"/>
  <c r="BH10" s="1"/>
  <c r="BA10"/>
  <c r="BG10" s="1"/>
  <c r="AX10"/>
  <c r="BF9"/>
  <c r="BI9" s="1"/>
  <c r="BE9"/>
  <c r="BH9" s="1"/>
  <c r="BD9"/>
  <c r="BA9"/>
  <c r="AX9"/>
  <c r="V51"/>
  <c r="U51"/>
  <c r="S51"/>
  <c r="R51"/>
  <c r="AB45"/>
  <c r="AE45" s="1"/>
  <c r="Z45"/>
  <c r="W45"/>
  <c r="T45"/>
  <c r="AA44"/>
  <c r="AD44" s="1"/>
  <c r="W44"/>
  <c r="T44"/>
  <c r="AB43"/>
  <c r="AE43" s="1"/>
  <c r="AA43"/>
  <c r="AD43" s="1"/>
  <c r="W43"/>
  <c r="AC43" s="1"/>
  <c r="T43"/>
  <c r="AB50"/>
  <c r="AQ41" s="1"/>
  <c r="AA50"/>
  <c r="AP41" s="1"/>
  <c r="GA41" s="1"/>
  <c r="GG41" s="1"/>
  <c r="W50"/>
  <c r="AC50" s="1"/>
  <c r="T50"/>
  <c r="AB40"/>
  <c r="AE40" s="1"/>
  <c r="AA40"/>
  <c r="AD40" s="1"/>
  <c r="Z40"/>
  <c r="W40"/>
  <c r="T40"/>
  <c r="AB39"/>
  <c r="AE39" s="1"/>
  <c r="AA39"/>
  <c r="AD39" s="1"/>
  <c r="W39"/>
  <c r="AC39" s="1"/>
  <c r="T39"/>
  <c r="AB38"/>
  <c r="AE38" s="1"/>
  <c r="AA38"/>
  <c r="AD38" s="1"/>
  <c r="W38"/>
  <c r="AC38" s="1"/>
  <c r="T38"/>
  <c r="AB37"/>
  <c r="AE37" s="1"/>
  <c r="AA37"/>
  <c r="AD37" s="1"/>
  <c r="Z37"/>
  <c r="W37"/>
  <c r="T37"/>
  <c r="AE36"/>
  <c r="AD36"/>
  <c r="AB34"/>
  <c r="AE34" s="1"/>
  <c r="AA34"/>
  <c r="AD34" s="1"/>
  <c r="W34"/>
  <c r="AC34" s="1"/>
  <c r="T34"/>
  <c r="AB33"/>
  <c r="AE33" s="1"/>
  <c r="AA33"/>
  <c r="AD33" s="1"/>
  <c r="Z33"/>
  <c r="W33"/>
  <c r="T33"/>
  <c r="AB31"/>
  <c r="AE31" s="1"/>
  <c r="AA31"/>
  <c r="AD31" s="1"/>
  <c r="Z31"/>
  <c r="W31"/>
  <c r="T31"/>
  <c r="AB30"/>
  <c r="AE30" s="1"/>
  <c r="AA30"/>
  <c r="AD30" s="1"/>
  <c r="Z30"/>
  <c r="W30"/>
  <c r="T30"/>
  <c r="AB29"/>
  <c r="AE29" s="1"/>
  <c r="AA29"/>
  <c r="AD29" s="1"/>
  <c r="Z29"/>
  <c r="W29"/>
  <c r="T29"/>
  <c r="AB27"/>
  <c r="AE27" s="1"/>
  <c r="AA27"/>
  <c r="AD27" s="1"/>
  <c r="Z27"/>
  <c r="W27"/>
  <c r="T27"/>
  <c r="AB26"/>
  <c r="AE26" s="1"/>
  <c r="AA26"/>
  <c r="AD26" s="1"/>
  <c r="W26"/>
  <c r="AC26" s="1"/>
  <c r="T26"/>
  <c r="AB25"/>
  <c r="AE25" s="1"/>
  <c r="AA25"/>
  <c r="AD25" s="1"/>
  <c r="W25"/>
  <c r="AC25" s="1"/>
  <c r="T25"/>
  <c r="AB22"/>
  <c r="AE22" s="1"/>
  <c r="AA22"/>
  <c r="AD22" s="1"/>
  <c r="Z22"/>
  <c r="W22"/>
  <c r="T22"/>
  <c r="AB21"/>
  <c r="AE21" s="1"/>
  <c r="AA21"/>
  <c r="AD21" s="1"/>
  <c r="Z21"/>
  <c r="W21"/>
  <c r="T21"/>
  <c r="AB20"/>
  <c r="AE20" s="1"/>
  <c r="AA20"/>
  <c r="AD20" s="1"/>
  <c r="W20"/>
  <c r="T20"/>
  <c r="AC19"/>
  <c r="AF19" s="1"/>
  <c r="AB19"/>
  <c r="AE19" s="1"/>
  <c r="AA19"/>
  <c r="AD19" s="1"/>
  <c r="AB18"/>
  <c r="AE18" s="1"/>
  <c r="AA18"/>
  <c r="AD18" s="1"/>
  <c r="Z18"/>
  <c r="W18"/>
  <c r="T18"/>
  <c r="AB15"/>
  <c r="AE15" s="1"/>
  <c r="AA15"/>
  <c r="AD15" s="1"/>
  <c r="W15"/>
  <c r="AC15" s="1"/>
  <c r="AB12"/>
  <c r="AE12" s="1"/>
  <c r="AA12"/>
  <c r="W12"/>
  <c r="T12"/>
  <c r="AB11"/>
  <c r="AE11" s="1"/>
  <c r="AA11"/>
  <c r="AD11" s="1"/>
  <c r="W11"/>
  <c r="AC11" s="1"/>
  <c r="T11"/>
  <c r="AB10"/>
  <c r="AE10" s="1"/>
  <c r="AA10"/>
  <c r="AD10" s="1"/>
  <c r="W10"/>
  <c r="AC10" s="1"/>
  <c r="T10"/>
  <c r="AB9"/>
  <c r="AA9"/>
  <c r="AD9" s="1"/>
  <c r="Z9"/>
  <c r="W9"/>
  <c r="T9"/>
  <c r="R53"/>
  <c r="AG53" s="1"/>
  <c r="AV53" s="1"/>
  <c r="BK53" s="1"/>
  <c r="BZ53" s="1"/>
  <c r="CO53" s="1"/>
  <c r="DD53" s="1"/>
  <c r="DS53" s="1"/>
  <c r="EH53" s="1"/>
  <c r="EW53" s="1"/>
  <c r="FL53" s="1"/>
  <c r="R52"/>
  <c r="AG52" s="1"/>
  <c r="AV52" s="1"/>
  <c r="BK52" s="1"/>
  <c r="BZ52" s="1"/>
  <c r="CO52" s="1"/>
  <c r="DD52" s="1"/>
  <c r="DS52" s="1"/>
  <c r="EH52" s="1"/>
  <c r="EW52" s="1"/>
  <c r="FL52" s="1"/>
  <c r="GN51"/>
  <c r="G51"/>
  <c r="F51"/>
  <c r="C51"/>
  <c r="GF50"/>
  <c r="DV50"/>
  <c r="DS50"/>
  <c r="CD50"/>
  <c r="CC50"/>
  <c r="CA50"/>
  <c r="BZ50"/>
  <c r="D51"/>
  <c r="GX48"/>
  <c r="GO48"/>
  <c r="GF48"/>
  <c r="DW48"/>
  <c r="DV48"/>
  <c r="DT48"/>
  <c r="DS48"/>
  <c r="CD48"/>
  <c r="CC48"/>
  <c r="CA48"/>
  <c r="BZ48"/>
  <c r="AN48"/>
  <c r="AM48"/>
  <c r="AK48"/>
  <c r="AJ48"/>
  <c r="AH48"/>
  <c r="AG48"/>
  <c r="M48"/>
  <c r="P48" s="1"/>
  <c r="L48"/>
  <c r="O48" s="1"/>
  <c r="K48"/>
  <c r="H48"/>
  <c r="E48"/>
  <c r="GX47"/>
  <c r="GO47"/>
  <c r="GF47"/>
  <c r="DW47"/>
  <c r="DV47"/>
  <c r="DT47"/>
  <c r="DS47"/>
  <c r="CD47"/>
  <c r="CC47"/>
  <c r="CA47"/>
  <c r="BZ47"/>
  <c r="AK47"/>
  <c r="AJ47"/>
  <c r="AH47"/>
  <c r="AG47"/>
  <c r="M47"/>
  <c r="P47" s="1"/>
  <c r="L47"/>
  <c r="H47"/>
  <c r="E47"/>
  <c r="DZ46"/>
  <c r="DY46"/>
  <c r="DW46"/>
  <c r="DV46"/>
  <c r="DT46"/>
  <c r="DS46"/>
  <c r="CG46"/>
  <c r="CF46"/>
  <c r="CD46"/>
  <c r="CC46"/>
  <c r="CA46"/>
  <c r="BZ46"/>
  <c r="AN46"/>
  <c r="AM46"/>
  <c r="AK46"/>
  <c r="AJ46"/>
  <c r="AH46"/>
  <c r="AG46"/>
  <c r="M46"/>
  <c r="L46"/>
  <c r="O46" s="1"/>
  <c r="K46"/>
  <c r="H46"/>
  <c r="E46"/>
  <c r="GF45"/>
  <c r="CD45"/>
  <c r="CC45"/>
  <c r="CA45"/>
  <c r="BZ45"/>
  <c r="AN45"/>
  <c r="AM45"/>
  <c r="AK45"/>
  <c r="AJ45"/>
  <c r="AH45"/>
  <c r="AG45"/>
  <c r="M45"/>
  <c r="L45"/>
  <c r="AP45" s="1"/>
  <c r="K45"/>
  <c r="H45"/>
  <c r="E45"/>
  <c r="AM44"/>
  <c r="AK44"/>
  <c r="AJ44"/>
  <c r="AH44"/>
  <c r="AG44"/>
  <c r="M44"/>
  <c r="AQ44" s="1"/>
  <c r="GB44" s="1"/>
  <c r="L44"/>
  <c r="K44"/>
  <c r="H44"/>
  <c r="E44"/>
  <c r="AI44" s="1"/>
  <c r="GX43"/>
  <c r="GO43"/>
  <c r="GF43"/>
  <c r="DW43"/>
  <c r="DV43"/>
  <c r="DT43"/>
  <c r="DS43"/>
  <c r="CD43"/>
  <c r="CC43"/>
  <c r="CA43"/>
  <c r="BZ43"/>
  <c r="AK43"/>
  <c r="AJ43"/>
  <c r="AH43"/>
  <c r="AG43"/>
  <c r="M43"/>
  <c r="L43"/>
  <c r="H43"/>
  <c r="E43"/>
  <c r="GX42"/>
  <c r="GM51"/>
  <c r="GF42"/>
  <c r="EB42"/>
  <c r="DW42"/>
  <c r="DV42"/>
  <c r="DT42"/>
  <c r="DS42"/>
  <c r="CD42"/>
  <c r="CC42"/>
  <c r="CA42"/>
  <c r="BZ42"/>
  <c r="AK42"/>
  <c r="AJ42"/>
  <c r="AH42"/>
  <c r="AG42"/>
  <c r="M42"/>
  <c r="P42" s="1"/>
  <c r="L42"/>
  <c r="AP42" s="1"/>
  <c r="H42"/>
  <c r="N42" s="1"/>
  <c r="E42"/>
  <c r="GX41"/>
  <c r="GO41"/>
  <c r="GF41"/>
  <c r="DW41"/>
  <c r="DV41"/>
  <c r="DT41"/>
  <c r="DS41"/>
  <c r="CD41"/>
  <c r="CC41"/>
  <c r="CA41"/>
  <c r="BZ41"/>
  <c r="H50"/>
  <c r="E50"/>
  <c r="GX40"/>
  <c r="GO40"/>
  <c r="GF40"/>
  <c r="DY40"/>
  <c r="DW40"/>
  <c r="DV40"/>
  <c r="DT40"/>
  <c r="DS40"/>
  <c r="CG40"/>
  <c r="CF40"/>
  <c r="CD40"/>
  <c r="CC40"/>
  <c r="CA40"/>
  <c r="BZ40"/>
  <c r="AN40"/>
  <c r="AM40"/>
  <c r="AK40"/>
  <c r="AJ40"/>
  <c r="AH40"/>
  <c r="AG40"/>
  <c r="M40"/>
  <c r="P40" s="1"/>
  <c r="L40"/>
  <c r="K40"/>
  <c r="H40"/>
  <c r="E40"/>
  <c r="DW39"/>
  <c r="DV39"/>
  <c r="DT39"/>
  <c r="DS39"/>
  <c r="CD39"/>
  <c r="CC39"/>
  <c r="CA39"/>
  <c r="BZ39"/>
  <c r="AK39"/>
  <c r="AJ39"/>
  <c r="AH39"/>
  <c r="AG39"/>
  <c r="M39"/>
  <c r="P39" s="1"/>
  <c r="L39"/>
  <c r="O39" s="1"/>
  <c r="H39"/>
  <c r="N39" s="1"/>
  <c r="E39"/>
  <c r="GX38"/>
  <c r="GO38"/>
  <c r="GF38"/>
  <c r="DW38"/>
  <c r="DV38"/>
  <c r="DT38"/>
  <c r="DS38"/>
  <c r="CD38"/>
  <c r="CC38"/>
  <c r="CA38"/>
  <c r="BZ38"/>
  <c r="AK38"/>
  <c r="AJ38"/>
  <c r="AH38"/>
  <c r="AG38"/>
  <c r="M38"/>
  <c r="L38"/>
  <c r="H38"/>
  <c r="N38" s="1"/>
  <c r="E38"/>
  <c r="GX37"/>
  <c r="GO37"/>
  <c r="GF37"/>
  <c r="DZ37"/>
  <c r="DY37"/>
  <c r="DW37"/>
  <c r="DV37"/>
  <c r="DT37"/>
  <c r="DS37"/>
  <c r="CG37"/>
  <c r="CF37"/>
  <c r="CD37"/>
  <c r="CC37"/>
  <c r="CA37"/>
  <c r="BZ37"/>
  <c r="AN37"/>
  <c r="AM37"/>
  <c r="AK37"/>
  <c r="AJ37"/>
  <c r="AH37"/>
  <c r="AG37"/>
  <c r="M37"/>
  <c r="P37" s="1"/>
  <c r="L37"/>
  <c r="K37"/>
  <c r="H37"/>
  <c r="E37"/>
  <c r="GX36"/>
  <c r="GO36"/>
  <c r="GF36"/>
  <c r="GJ36"/>
  <c r="GP36" s="1"/>
  <c r="P36"/>
  <c r="GX35"/>
  <c r="GO35"/>
  <c r="GF35"/>
  <c r="DW35"/>
  <c r="DV35"/>
  <c r="DT35"/>
  <c r="DS35"/>
  <c r="CD35"/>
  <c r="CC35"/>
  <c r="CA35"/>
  <c r="BZ35"/>
  <c r="AN35"/>
  <c r="AM35"/>
  <c r="AK35"/>
  <c r="AJ35"/>
  <c r="AH35"/>
  <c r="AG35"/>
  <c r="M35"/>
  <c r="P35" s="1"/>
  <c r="L35"/>
  <c r="AP35" s="1"/>
  <c r="K35"/>
  <c r="H35"/>
  <c r="E35"/>
  <c r="AI35" s="1"/>
  <c r="GX34"/>
  <c r="GO34"/>
  <c r="GF34"/>
  <c r="DW34"/>
  <c r="DV34"/>
  <c r="DT34"/>
  <c r="DS34"/>
  <c r="CD34"/>
  <c r="CC34"/>
  <c r="CA34"/>
  <c r="BZ34"/>
  <c r="AK34"/>
  <c r="AJ34"/>
  <c r="AH34"/>
  <c r="AG34"/>
  <c r="M34"/>
  <c r="L34"/>
  <c r="O34" s="1"/>
  <c r="H34"/>
  <c r="N34" s="1"/>
  <c r="E34"/>
  <c r="AI34" s="1"/>
  <c r="GX33"/>
  <c r="GO33"/>
  <c r="GF33"/>
  <c r="DZ33"/>
  <c r="DY33"/>
  <c r="DW33"/>
  <c r="DV33"/>
  <c r="DT33"/>
  <c r="DS33"/>
  <c r="CG33"/>
  <c r="CD33"/>
  <c r="CC33"/>
  <c r="CA33"/>
  <c r="BZ33"/>
  <c r="AN33"/>
  <c r="AM33"/>
  <c r="AK33"/>
  <c r="AJ33"/>
  <c r="AH33"/>
  <c r="AG33"/>
  <c r="O33"/>
  <c r="K33"/>
  <c r="H33"/>
  <c r="E33"/>
  <c r="GW51"/>
  <c r="GV51"/>
  <c r="GE51"/>
  <c r="GD51"/>
  <c r="GX31"/>
  <c r="GO31"/>
  <c r="GF31"/>
  <c r="DZ31"/>
  <c r="DY31"/>
  <c r="DW31"/>
  <c r="DV31"/>
  <c r="DT31"/>
  <c r="DS31"/>
  <c r="CG31"/>
  <c r="CF31"/>
  <c r="CD31"/>
  <c r="CC31"/>
  <c r="CA31"/>
  <c r="BZ31"/>
  <c r="AN31"/>
  <c r="AM31"/>
  <c r="AK31"/>
  <c r="AJ31"/>
  <c r="AH31"/>
  <c r="AG31"/>
  <c r="M31"/>
  <c r="P31" s="1"/>
  <c r="L31"/>
  <c r="K31"/>
  <c r="H31"/>
  <c r="E31"/>
  <c r="GX30"/>
  <c r="GO30"/>
  <c r="GF30"/>
  <c r="DZ30"/>
  <c r="DY30"/>
  <c r="DW30"/>
  <c r="DV30"/>
  <c r="DT30"/>
  <c r="DS30"/>
  <c r="CG30"/>
  <c r="CF30"/>
  <c r="CD30"/>
  <c r="CC30"/>
  <c r="CA30"/>
  <c r="BZ30"/>
  <c r="AN30"/>
  <c r="AM30"/>
  <c r="AK30"/>
  <c r="AJ30"/>
  <c r="AH30"/>
  <c r="AG30"/>
  <c r="M30"/>
  <c r="L30"/>
  <c r="O30" s="1"/>
  <c r="K30"/>
  <c r="H30"/>
  <c r="E30"/>
  <c r="GX29"/>
  <c r="GO29"/>
  <c r="GF29"/>
  <c r="DZ29"/>
  <c r="DY29"/>
  <c r="DW29"/>
  <c r="DV29"/>
  <c r="DT29"/>
  <c r="DS29"/>
  <c r="CG29"/>
  <c r="CF29"/>
  <c r="CD29"/>
  <c r="CC29"/>
  <c r="CA29"/>
  <c r="BZ29"/>
  <c r="AN29"/>
  <c r="AM29"/>
  <c r="AK29"/>
  <c r="AJ29"/>
  <c r="AH29"/>
  <c r="AG29"/>
  <c r="M29"/>
  <c r="P29" s="1"/>
  <c r="L29"/>
  <c r="O29" s="1"/>
  <c r="K29"/>
  <c r="H29"/>
  <c r="AL29" s="1"/>
  <c r="E29"/>
  <c r="DU28"/>
  <c r="CE28"/>
  <c r="AH28"/>
  <c r="AG28"/>
  <c r="AL28"/>
  <c r="GX27"/>
  <c r="GO27"/>
  <c r="GF27"/>
  <c r="DZ27"/>
  <c r="DY27"/>
  <c r="DW27"/>
  <c r="DV27"/>
  <c r="DT27"/>
  <c r="DS27"/>
  <c r="CG27"/>
  <c r="CF27"/>
  <c r="CD27"/>
  <c r="CC27"/>
  <c r="CA27"/>
  <c r="BZ27"/>
  <c r="AN27"/>
  <c r="AM27"/>
  <c r="AK27"/>
  <c r="AJ27"/>
  <c r="AH27"/>
  <c r="AG27"/>
  <c r="M27"/>
  <c r="P27" s="1"/>
  <c r="L27"/>
  <c r="O27" s="1"/>
  <c r="K27"/>
  <c r="H27"/>
  <c r="E27"/>
  <c r="GX26"/>
  <c r="GO26"/>
  <c r="GF26"/>
  <c r="DW26"/>
  <c r="DV26"/>
  <c r="DT26"/>
  <c r="DS26"/>
  <c r="CD26"/>
  <c r="CC26"/>
  <c r="CA26"/>
  <c r="BZ26"/>
  <c r="AK26"/>
  <c r="AJ26"/>
  <c r="AH26"/>
  <c r="AG26"/>
  <c r="M26"/>
  <c r="P26" s="1"/>
  <c r="L26"/>
  <c r="O26" s="1"/>
  <c r="H26"/>
  <c r="E26"/>
  <c r="GF25"/>
  <c r="AK25"/>
  <c r="AJ25"/>
  <c r="AH25"/>
  <c r="AG25"/>
  <c r="M25"/>
  <c r="L25"/>
  <c r="O25" s="1"/>
  <c r="H25"/>
  <c r="N25" s="1"/>
  <c r="E25"/>
  <c r="GX24"/>
  <c r="GO24"/>
  <c r="GF24"/>
  <c r="EA24"/>
  <c r="DZ24"/>
  <c r="DY24"/>
  <c r="DW24"/>
  <c r="DV24"/>
  <c r="DT24"/>
  <c r="DS24"/>
  <c r="CG24"/>
  <c r="CF24"/>
  <c r="CD24"/>
  <c r="CC24"/>
  <c r="CA24"/>
  <c r="BZ24"/>
  <c r="AN24"/>
  <c r="AM24"/>
  <c r="AK24"/>
  <c r="AJ24"/>
  <c r="AH24"/>
  <c r="AG24"/>
  <c r="M24"/>
  <c r="P24" s="1"/>
  <c r="L24"/>
  <c r="AP24" s="1"/>
  <c r="GA24" s="1"/>
  <c r="GG24" s="1"/>
  <c r="K24"/>
  <c r="AO24" s="1"/>
  <c r="H24"/>
  <c r="E24"/>
  <c r="GO23"/>
  <c r="GF23"/>
  <c r="CG23"/>
  <c r="CF23"/>
  <c r="CD23"/>
  <c r="CC23"/>
  <c r="CA23"/>
  <c r="BZ23"/>
  <c r="AN23"/>
  <c r="AM23"/>
  <c r="AK23"/>
  <c r="AJ23"/>
  <c r="AH23"/>
  <c r="AG23"/>
  <c r="M23"/>
  <c r="L23"/>
  <c r="O23" s="1"/>
  <c r="K23"/>
  <c r="H23"/>
  <c r="E23"/>
  <c r="AI23" s="1"/>
  <c r="GX22"/>
  <c r="GO22"/>
  <c r="GF22"/>
  <c r="DZ22"/>
  <c r="DY22"/>
  <c r="DW22"/>
  <c r="DV22"/>
  <c r="DT22"/>
  <c r="DS22"/>
  <c r="CG22"/>
  <c r="CF22"/>
  <c r="CD22"/>
  <c r="CC22"/>
  <c r="CA22"/>
  <c r="BZ22"/>
  <c r="AN22"/>
  <c r="AM22"/>
  <c r="AK22"/>
  <c r="AJ22"/>
  <c r="AH22"/>
  <c r="AG22"/>
  <c r="M22"/>
  <c r="P22" s="1"/>
  <c r="L22"/>
  <c r="O22" s="1"/>
  <c r="K22"/>
  <c r="H22"/>
  <c r="E22"/>
  <c r="GX21"/>
  <c r="GO21"/>
  <c r="GF21"/>
  <c r="DZ21"/>
  <c r="DY21"/>
  <c r="DW21"/>
  <c r="DV21"/>
  <c r="DT21"/>
  <c r="DS21"/>
  <c r="CG21"/>
  <c r="CF21"/>
  <c r="CD21"/>
  <c r="CC21"/>
  <c r="CA21"/>
  <c r="BZ21"/>
  <c r="AN21"/>
  <c r="AM21"/>
  <c r="AK21"/>
  <c r="AJ21"/>
  <c r="AH21"/>
  <c r="AG21"/>
  <c r="M21"/>
  <c r="P21" s="1"/>
  <c r="L21"/>
  <c r="K21"/>
  <c r="H21"/>
  <c r="E21"/>
  <c r="GX20"/>
  <c r="GO20"/>
  <c r="GF20"/>
  <c r="DZ20"/>
  <c r="DY20"/>
  <c r="DW20"/>
  <c r="DV20"/>
  <c r="DT20"/>
  <c r="DS20"/>
  <c r="CG20"/>
  <c r="CF20"/>
  <c r="CD20"/>
  <c r="CC20"/>
  <c r="CA20"/>
  <c r="BZ20"/>
  <c r="AN20"/>
  <c r="AM20"/>
  <c r="AK20"/>
  <c r="AJ20"/>
  <c r="AH20"/>
  <c r="AG20"/>
  <c r="M20"/>
  <c r="L20"/>
  <c r="K20"/>
  <c r="H20"/>
  <c r="E20"/>
  <c r="AL19"/>
  <c r="AK19"/>
  <c r="AJ19"/>
  <c r="AH19"/>
  <c r="AG19"/>
  <c r="AI19"/>
  <c r="GX18"/>
  <c r="GO18"/>
  <c r="GF18"/>
  <c r="DZ18"/>
  <c r="DY18"/>
  <c r="DW18"/>
  <c r="DV18"/>
  <c r="CG18"/>
  <c r="CF18"/>
  <c r="CD18"/>
  <c r="CC18"/>
  <c r="CA18"/>
  <c r="BZ18"/>
  <c r="AN18"/>
  <c r="AM18"/>
  <c r="AK18"/>
  <c r="AJ18"/>
  <c r="AH18"/>
  <c r="AG18"/>
  <c r="M18"/>
  <c r="L18"/>
  <c r="AP18" s="1"/>
  <c r="GA18" s="1"/>
  <c r="GG18" s="1"/>
  <c r="K18"/>
  <c r="H18"/>
  <c r="E18"/>
  <c r="GF16"/>
  <c r="AQ16"/>
  <c r="AP16"/>
  <c r="GA16" s="1"/>
  <c r="GG16" s="1"/>
  <c r="AK16"/>
  <c r="AJ16"/>
  <c r="AH16"/>
  <c r="AG16"/>
  <c r="AL16"/>
  <c r="AI16"/>
  <c r="GX15"/>
  <c r="GO15"/>
  <c r="GF15"/>
  <c r="DW15"/>
  <c r="DV15"/>
  <c r="DT15"/>
  <c r="DS15"/>
  <c r="CD15"/>
  <c r="CC15"/>
  <c r="CA15"/>
  <c r="BZ15"/>
  <c r="AO15"/>
  <c r="AN15"/>
  <c r="AM15"/>
  <c r="AK15"/>
  <c r="AJ15"/>
  <c r="AH15"/>
  <c r="AG15"/>
  <c r="M15"/>
  <c r="L15"/>
  <c r="H15"/>
  <c r="N15" s="1"/>
  <c r="E15"/>
  <c r="GX14"/>
  <c r="GO14"/>
  <c r="GF14"/>
  <c r="DW14"/>
  <c r="DT14"/>
  <c r="CD14"/>
  <c r="CC14"/>
  <c r="CA14"/>
  <c r="BZ14"/>
  <c r="AK14"/>
  <c r="AJ14"/>
  <c r="AH14"/>
  <c r="AG14"/>
  <c r="M14"/>
  <c r="P14" s="1"/>
  <c r="L14"/>
  <c r="O14" s="1"/>
  <c r="H14"/>
  <c r="E14"/>
  <c r="GX13"/>
  <c r="GO13"/>
  <c r="GF13"/>
  <c r="DZ13"/>
  <c r="DY13"/>
  <c r="DW13"/>
  <c r="DV13"/>
  <c r="DT13"/>
  <c r="DS13"/>
  <c r="CG13"/>
  <c r="CF13"/>
  <c r="CD13"/>
  <c r="CC13"/>
  <c r="CA13"/>
  <c r="BZ13"/>
  <c r="AN13"/>
  <c r="AM13"/>
  <c r="AK13"/>
  <c r="AJ13"/>
  <c r="AH13"/>
  <c r="AG13"/>
  <c r="M13"/>
  <c r="P13" s="1"/>
  <c r="L13"/>
  <c r="K13"/>
  <c r="H13"/>
  <c r="E13"/>
  <c r="AI13" s="1"/>
  <c r="DW12"/>
  <c r="DV12"/>
  <c r="DT12"/>
  <c r="DS12"/>
  <c r="CD12"/>
  <c r="CC12"/>
  <c r="CA12"/>
  <c r="BZ12"/>
  <c r="AK12"/>
  <c r="AJ12"/>
  <c r="AH12"/>
  <c r="AG12"/>
  <c r="M12"/>
  <c r="AQ12" s="1"/>
  <c r="L12"/>
  <c r="AP12" s="1"/>
  <c r="H12"/>
  <c r="E12"/>
  <c r="GX11"/>
  <c r="GO11"/>
  <c r="GF11"/>
  <c r="DW11"/>
  <c r="DV11"/>
  <c r="DT11"/>
  <c r="DS11"/>
  <c r="CD11"/>
  <c r="CC11"/>
  <c r="CA11"/>
  <c r="BZ11"/>
  <c r="AK11"/>
  <c r="AJ11"/>
  <c r="AH11"/>
  <c r="M11"/>
  <c r="P11" s="1"/>
  <c r="L11"/>
  <c r="O11" s="1"/>
  <c r="H11"/>
  <c r="N11" s="1"/>
  <c r="E11"/>
  <c r="GX10"/>
  <c r="GO10"/>
  <c r="GF10"/>
  <c r="DW10"/>
  <c r="DV10"/>
  <c r="DT10"/>
  <c r="DS10"/>
  <c r="CD10"/>
  <c r="CC10"/>
  <c r="CA10"/>
  <c r="BZ10"/>
  <c r="AK10"/>
  <c r="AJ10"/>
  <c r="AH10"/>
  <c r="AG10"/>
  <c r="M10"/>
  <c r="P10" s="1"/>
  <c r="L10"/>
  <c r="O10" s="1"/>
  <c r="H10"/>
  <c r="N10" s="1"/>
  <c r="E10"/>
  <c r="GX9"/>
  <c r="GO9"/>
  <c r="GF9"/>
  <c r="DZ9"/>
  <c r="DY9"/>
  <c r="DW9"/>
  <c r="DV9"/>
  <c r="DT9"/>
  <c r="DS9"/>
  <c r="CG9"/>
  <c r="CF9"/>
  <c r="CD9"/>
  <c r="CC9"/>
  <c r="CA9"/>
  <c r="BZ9"/>
  <c r="AN9"/>
  <c r="AM9"/>
  <c r="AK9"/>
  <c r="AJ9"/>
  <c r="AH9"/>
  <c r="AG9"/>
  <c r="M9"/>
  <c r="L9"/>
  <c r="K9"/>
  <c r="H9"/>
  <c r="E9"/>
  <c r="GS1"/>
  <c r="GJ1"/>
  <c r="GA1"/>
  <c r="R1"/>
  <c r="AG1" s="1"/>
  <c r="DK51" i="5"/>
  <c r="DJ51"/>
  <c r="DH51"/>
  <c r="DG51"/>
  <c r="DE51"/>
  <c r="DD51"/>
  <c r="CV51"/>
  <c r="CU51"/>
  <c r="CS51"/>
  <c r="CR51"/>
  <c r="CP51"/>
  <c r="CO51"/>
  <c r="BR51"/>
  <c r="BQ51"/>
  <c r="BO51"/>
  <c r="BN51"/>
  <c r="BL51"/>
  <c r="BK51"/>
  <c r="BC51"/>
  <c r="BB51"/>
  <c r="AZ51"/>
  <c r="AY51"/>
  <c r="AW51"/>
  <c r="AV51"/>
  <c r="Y51"/>
  <c r="X51"/>
  <c r="V51"/>
  <c r="U51"/>
  <c r="S51"/>
  <c r="R51"/>
  <c r="D51"/>
  <c r="F51"/>
  <c r="G51"/>
  <c r="I51"/>
  <c r="J51"/>
  <c r="C51"/>
  <c r="EV45"/>
  <c r="EM45"/>
  <c r="E41"/>
  <c r="L16" i="24" l="1"/>
  <c r="R16"/>
  <c r="J16"/>
  <c r="S16"/>
  <c r="AB16"/>
  <c r="AK16"/>
  <c r="DU34" i="23"/>
  <c r="EV34"/>
  <c r="DX34"/>
  <c r="AG51"/>
  <c r="AI29"/>
  <c r="EB35"/>
  <c r="GS35" s="1"/>
  <c r="GY35" s="1"/>
  <c r="CE40"/>
  <c r="CJ35"/>
  <c r="AL33"/>
  <c r="GB12"/>
  <c r="AI43"/>
  <c r="CE18"/>
  <c r="CE29"/>
  <c r="DU18"/>
  <c r="AO37"/>
  <c r="DX39"/>
  <c r="DX18"/>
  <c r="K12" i="24"/>
  <c r="N12"/>
  <c r="AL10"/>
  <c r="AC10"/>
  <c r="AF10"/>
  <c r="BK15"/>
  <c r="AC15"/>
  <c r="AF15"/>
  <c r="N10"/>
  <c r="K10"/>
  <c r="T8"/>
  <c r="N8"/>
  <c r="K8"/>
  <c r="N11"/>
  <c r="K11"/>
  <c r="AL8"/>
  <c r="AF8"/>
  <c r="AC8"/>
  <c r="AL12"/>
  <c r="AC12"/>
  <c r="AF12"/>
  <c r="AL11"/>
  <c r="AC11"/>
  <c r="AF11"/>
  <c r="M16"/>
  <c r="N13"/>
  <c r="K13"/>
  <c r="N9"/>
  <c r="K9"/>
  <c r="AE16"/>
  <c r="AL9"/>
  <c r="AF9"/>
  <c r="AC9"/>
  <c r="AL13"/>
  <c r="AC13"/>
  <c r="AF13"/>
  <c r="CE50" i="23"/>
  <c r="CI10"/>
  <c r="CH30"/>
  <c r="AR52" i="21"/>
  <c r="AQ38" i="23"/>
  <c r="GB38" s="1"/>
  <c r="GH38" s="1"/>
  <c r="ES52" i="21"/>
  <c r="EC24" i="23"/>
  <c r="GT24" s="1"/>
  <c r="GZ24" s="1"/>
  <c r="DU29"/>
  <c r="DX33"/>
  <c r="T11" i="24"/>
  <c r="BH13"/>
  <c r="T13"/>
  <c r="BH10"/>
  <c r="T10"/>
  <c r="BG16"/>
  <c r="T12"/>
  <c r="BF16"/>
  <c r="BH9"/>
  <c r="T9"/>
  <c r="BK10"/>
  <c r="BQ10" s="1"/>
  <c r="BK9"/>
  <c r="BQ9" s="1"/>
  <c r="BK13"/>
  <c r="BK12"/>
  <c r="BQ12" s="1"/>
  <c r="BK11"/>
  <c r="BQ11" s="1"/>
  <c r="CB15" i="23"/>
  <c r="CI26"/>
  <c r="GJ26" s="1"/>
  <c r="GP26" s="1"/>
  <c r="DU33"/>
  <c r="DU39"/>
  <c r="FX21"/>
  <c r="CB37"/>
  <c r="EV12"/>
  <c r="FW12"/>
  <c r="FZ12" s="1"/>
  <c r="CJ39"/>
  <c r="GK39" s="1"/>
  <c r="DB12"/>
  <c r="EC12"/>
  <c r="CI42"/>
  <c r="CL42" s="1"/>
  <c r="AI45"/>
  <c r="DA12"/>
  <c r="EB12"/>
  <c r="CI40"/>
  <c r="CL40" s="1"/>
  <c r="DU21"/>
  <c r="FX26"/>
  <c r="BH12"/>
  <c r="CI12"/>
  <c r="CL12" s="1"/>
  <c r="AQ33"/>
  <c r="GB33" s="1"/>
  <c r="GH33" s="1"/>
  <c r="DX50"/>
  <c r="CH22"/>
  <c r="EA40"/>
  <c r="AL37"/>
  <c r="AI40"/>
  <c r="CB18"/>
  <c r="CB29"/>
  <c r="EA27"/>
  <c r="BI12"/>
  <c r="CJ12"/>
  <c r="EC39"/>
  <c r="GT39" s="1"/>
  <c r="BS51"/>
  <c r="HB34"/>
  <c r="HH34" s="1"/>
  <c r="GB16"/>
  <c r="GH16" s="1"/>
  <c r="AT16"/>
  <c r="CC13" i="24"/>
  <c r="CI13" s="1"/>
  <c r="K51" i="23"/>
  <c r="AI10"/>
  <c r="EC22"/>
  <c r="GT22" s="1"/>
  <c r="GZ22" s="1"/>
  <c r="AP31"/>
  <c r="CE39"/>
  <c r="AP40"/>
  <c r="GA40" s="1"/>
  <c r="GG40" s="1"/>
  <c r="EB40"/>
  <c r="GS40" s="1"/>
  <c r="GY40" s="1"/>
  <c r="EB43"/>
  <c r="GS43" s="1"/>
  <c r="GY43" s="1"/>
  <c r="BD51"/>
  <c r="CE27"/>
  <c r="DX20"/>
  <c r="DX27"/>
  <c r="DX31"/>
  <c r="DU38"/>
  <c r="CC11" i="24"/>
  <c r="CI11" s="1"/>
  <c r="HB42" i="23"/>
  <c r="HH42" s="1"/>
  <c r="CH37"/>
  <c r="EB20"/>
  <c r="EE20" s="1"/>
  <c r="AQ34"/>
  <c r="GB34" s="1"/>
  <c r="GH34" s="1"/>
  <c r="AQ45"/>
  <c r="GB45" s="1"/>
  <c r="GH45" s="1"/>
  <c r="CC9" i="24"/>
  <c r="CI9" s="1"/>
  <c r="FW31" i="23"/>
  <c r="FW27"/>
  <c r="FZ27" s="1"/>
  <c r="Z51"/>
  <c r="EC21"/>
  <c r="EF21" s="1"/>
  <c r="AO27"/>
  <c r="AI33"/>
  <c r="EC33"/>
  <c r="GT33" s="1"/>
  <c r="GZ33" s="1"/>
  <c r="AI38"/>
  <c r="EB39"/>
  <c r="GS39" s="1"/>
  <c r="EB41"/>
  <c r="GS41" s="1"/>
  <c r="GY41" s="1"/>
  <c r="CB26"/>
  <c r="DU37"/>
  <c r="DL51"/>
  <c r="EA33"/>
  <c r="CC12" i="24"/>
  <c r="CI12" s="1"/>
  <c r="EV24" i="23"/>
  <c r="CB41"/>
  <c r="CW51"/>
  <c r="DX43"/>
  <c r="DU20"/>
  <c r="FY45"/>
  <c r="HC45"/>
  <c r="EV45"/>
  <c r="FW45"/>
  <c r="FX45"/>
  <c r="HB45"/>
  <c r="FY20"/>
  <c r="HC13"/>
  <c r="HI13" s="1"/>
  <c r="FY12"/>
  <c r="EA22"/>
  <c r="EB15"/>
  <c r="EE15" s="1"/>
  <c r="DU15"/>
  <c r="DX35"/>
  <c r="AF43"/>
  <c r="AI14"/>
  <c r="CE14"/>
  <c r="EB37"/>
  <c r="EE37" s="1"/>
  <c r="AL13"/>
  <c r="DX14"/>
  <c r="AI20"/>
  <c r="EB22"/>
  <c r="CJ31"/>
  <c r="GK31" s="1"/>
  <c r="GQ31" s="1"/>
  <c r="CI47"/>
  <c r="GJ47" s="1"/>
  <c r="GP47" s="1"/>
  <c r="CH18"/>
  <c r="DU11"/>
  <c r="DU12"/>
  <c r="DU22"/>
  <c r="DU26"/>
  <c r="EA29"/>
  <c r="FW37"/>
  <c r="DP32"/>
  <c r="EB32"/>
  <c r="CH29"/>
  <c r="CB31"/>
  <c r="BJ43"/>
  <c r="CB45"/>
  <c r="CB50"/>
  <c r="CH13"/>
  <c r="EA37"/>
  <c r="FX47"/>
  <c r="CJ34"/>
  <c r="GK34" s="1"/>
  <c r="GQ34" s="1"/>
  <c r="CJ38"/>
  <c r="GK38" s="1"/>
  <c r="GQ38" s="1"/>
  <c r="AL48"/>
  <c r="EC10"/>
  <c r="EF10" s="1"/>
  <c r="EC11"/>
  <c r="GT11" s="1"/>
  <c r="GZ11" s="1"/>
  <c r="AI18"/>
  <c r="AO22"/>
  <c r="CE26"/>
  <c r="CJ33"/>
  <c r="GK33" s="1"/>
  <c r="GQ33" s="1"/>
  <c r="CH21"/>
  <c r="CB23"/>
  <c r="EA21"/>
  <c r="DU40"/>
  <c r="HC21"/>
  <c r="HI21" s="1"/>
  <c r="HC18"/>
  <c r="HI18" s="1"/>
  <c r="FW48"/>
  <c r="FZ48" s="1"/>
  <c r="CE46"/>
  <c r="DX30"/>
  <c r="CZ30"/>
  <c r="DC30" s="1"/>
  <c r="CE30"/>
  <c r="HB18"/>
  <c r="HH18" s="1"/>
  <c r="CB39"/>
  <c r="DX9"/>
  <c r="CB42"/>
  <c r="DR38"/>
  <c r="EB38"/>
  <c r="GS38" s="1"/>
  <c r="GY38" s="1"/>
  <c r="CE13"/>
  <c r="AQ19"/>
  <c r="AT19" s="1"/>
  <c r="AI22"/>
  <c r="AL26"/>
  <c r="EB26"/>
  <c r="GS26" s="1"/>
  <c r="GY26" s="1"/>
  <c r="AP38"/>
  <c r="GA38" s="1"/>
  <c r="GG38" s="1"/>
  <c r="AI50"/>
  <c r="AQ43"/>
  <c r="GB43" s="1"/>
  <c r="GH43" s="1"/>
  <c r="AP44"/>
  <c r="GA44" s="1"/>
  <c r="AL46"/>
  <c r="AI47"/>
  <c r="CE47"/>
  <c r="EC47"/>
  <c r="GT47" s="1"/>
  <c r="GZ47" s="1"/>
  <c r="EB48"/>
  <c r="GS48" s="1"/>
  <c r="GY48" s="1"/>
  <c r="CE12"/>
  <c r="EV23"/>
  <c r="CJ11"/>
  <c r="GK11" s="1"/>
  <c r="GQ11" s="1"/>
  <c r="EB18"/>
  <c r="GS18" s="1"/>
  <c r="GY18" s="1"/>
  <c r="CI20"/>
  <c r="GJ20" s="1"/>
  <c r="GP20" s="1"/>
  <c r="AL21"/>
  <c r="CJ22"/>
  <c r="CM22" s="1"/>
  <c r="DX26"/>
  <c r="EB29"/>
  <c r="EE29" s="1"/>
  <c r="AI30"/>
  <c r="AQ30"/>
  <c r="AT30" s="1"/>
  <c r="CI39"/>
  <c r="CL39" s="1"/>
  <c r="CM39"/>
  <c r="EC42"/>
  <c r="EF42" s="1"/>
  <c r="AP43"/>
  <c r="GA43" s="1"/>
  <c r="GG43" s="1"/>
  <c r="CI45"/>
  <c r="CL45" s="1"/>
  <c r="AI46"/>
  <c r="AQ46"/>
  <c r="AT46" s="1"/>
  <c r="AP47"/>
  <c r="GA47" s="1"/>
  <c r="GG47" s="1"/>
  <c r="EB47"/>
  <c r="CI48"/>
  <c r="GJ48" s="1"/>
  <c r="GP48" s="1"/>
  <c r="CJ50"/>
  <c r="CM50" s="1"/>
  <c r="CE24"/>
  <c r="EA18"/>
  <c r="DU27"/>
  <c r="W16" i="24"/>
  <c r="FX33" i="23"/>
  <c r="HB43"/>
  <c r="HH43" s="1"/>
  <c r="HB48"/>
  <c r="HH48" s="1"/>
  <c r="EC13"/>
  <c r="EF13" s="1"/>
  <c r="DX28"/>
  <c r="DX12"/>
  <c r="AI11"/>
  <c r="CE11"/>
  <c r="EB11"/>
  <c r="GS11" s="1"/>
  <c r="GY11" s="1"/>
  <c r="AI12"/>
  <c r="AP15"/>
  <c r="GA15" s="1"/>
  <c r="GG15" s="1"/>
  <c r="EC20"/>
  <c r="GT20" s="1"/>
  <c r="GZ20" s="1"/>
  <c r="AI21"/>
  <c r="CI24"/>
  <c r="GJ24" s="1"/>
  <c r="GP24" s="1"/>
  <c r="AO29"/>
  <c r="CJ30"/>
  <c r="CM30" s="1"/>
  <c r="EA30"/>
  <c r="AI31"/>
  <c r="EC31"/>
  <c r="EF31" s="1"/>
  <c r="CE34"/>
  <c r="EC34"/>
  <c r="GT34" s="1"/>
  <c r="GZ34" s="1"/>
  <c r="AL35"/>
  <c r="EC35"/>
  <c r="GT35" s="1"/>
  <c r="GZ35" s="1"/>
  <c r="AP37"/>
  <c r="AS37" s="1"/>
  <c r="EC38"/>
  <c r="EF38" s="1"/>
  <c r="AL40"/>
  <c r="CJ42"/>
  <c r="GK42" s="1"/>
  <c r="GQ42" s="1"/>
  <c r="CJ43"/>
  <c r="GK43" s="1"/>
  <c r="GQ43" s="1"/>
  <c r="AO45"/>
  <c r="AO48"/>
  <c r="AF11"/>
  <c r="CB24"/>
  <c r="CH27"/>
  <c r="CE45"/>
  <c r="CB10"/>
  <c r="CB11"/>
  <c r="DO40"/>
  <c r="DR40" s="1"/>
  <c r="AO20"/>
  <c r="AQ20"/>
  <c r="AT20" s="1"/>
  <c r="O18"/>
  <c r="FW21"/>
  <c r="HD21" s="1"/>
  <c r="HJ21" s="1"/>
  <c r="EB21"/>
  <c r="GS21" s="1"/>
  <c r="GY21" s="1"/>
  <c r="BV21"/>
  <c r="BY21" s="1"/>
  <c r="AQ25"/>
  <c r="GB25" s="1"/>
  <c r="GH25" s="1"/>
  <c r="HC48"/>
  <c r="HI48" s="1"/>
  <c r="CJ48"/>
  <c r="GK48" s="1"/>
  <c r="GQ48" s="1"/>
  <c r="DU41"/>
  <c r="DR41"/>
  <c r="DX41"/>
  <c r="BY41"/>
  <c r="AC12"/>
  <c r="AF12" s="1"/>
  <c r="GS12"/>
  <c r="CB12"/>
  <c r="CB27"/>
  <c r="DM36"/>
  <c r="AC20"/>
  <c r="AF20" s="1"/>
  <c r="CE33"/>
  <c r="CB35"/>
  <c r="BV37"/>
  <c r="BY37" s="1"/>
  <c r="FW18"/>
  <c r="HD18" s="1"/>
  <c r="HJ18" s="1"/>
  <c r="AF15"/>
  <c r="CB13"/>
  <c r="BG48"/>
  <c r="BJ48" s="1"/>
  <c r="CI46"/>
  <c r="GJ46" s="1"/>
  <c r="DR26"/>
  <c r="FW30"/>
  <c r="HD30" s="1"/>
  <c r="HJ30" s="1"/>
  <c r="EV48"/>
  <c r="HC23"/>
  <c r="HI23" s="1"/>
  <c r="AF25"/>
  <c r="AF26"/>
  <c r="BJ38"/>
  <c r="BJ39"/>
  <c r="DX29"/>
  <c r="DU30"/>
  <c r="DC39"/>
  <c r="DU31"/>
  <c r="FZ23"/>
  <c r="FY9"/>
  <c r="FX12"/>
  <c r="FX24"/>
  <c r="FX13"/>
  <c r="FZ36"/>
  <c r="GT36"/>
  <c r="GZ36" s="1"/>
  <c r="DR36"/>
  <c r="DC15"/>
  <c r="CJ15"/>
  <c r="CM15" s="1"/>
  <c r="BJ15"/>
  <c r="AQ15"/>
  <c r="GB15" s="1"/>
  <c r="GH15" s="1"/>
  <c r="AI15"/>
  <c r="P15"/>
  <c r="EP10" i="22"/>
  <c r="BZ12" i="24"/>
  <c r="BY16"/>
  <c r="ED41" i="23"/>
  <c r="GU41" s="1"/>
  <c r="HA41" s="1"/>
  <c r="BY43"/>
  <c r="DR43"/>
  <c r="FW13"/>
  <c r="HD13" s="1"/>
  <c r="HJ13" s="1"/>
  <c r="FX50"/>
  <c r="AP48"/>
  <c r="GA48" s="1"/>
  <c r="GG48" s="1"/>
  <c r="CJ14"/>
  <c r="CM14" s="1"/>
  <c r="EC15"/>
  <c r="EF15" s="1"/>
  <c r="AO18"/>
  <c r="AP21"/>
  <c r="GA21" s="1"/>
  <c r="GG21" s="1"/>
  <c r="CE21"/>
  <c r="AI24"/>
  <c r="EB24"/>
  <c r="GS24" s="1"/>
  <c r="GY24" s="1"/>
  <c r="EC26"/>
  <c r="GT26" s="1"/>
  <c r="GZ26" s="1"/>
  <c r="AI28"/>
  <c r="AO33"/>
  <c r="EB33"/>
  <c r="GS33" s="1"/>
  <c r="GY33" s="1"/>
  <c r="AS36"/>
  <c r="DX40"/>
  <c r="EC41"/>
  <c r="GT41" s="1"/>
  <c r="GZ41" s="1"/>
  <c r="DX42"/>
  <c r="AO46"/>
  <c r="CI50"/>
  <c r="GJ50" s="1"/>
  <c r="GP50" s="1"/>
  <c r="AC22"/>
  <c r="AF22" s="1"/>
  <c r="AC37"/>
  <c r="AF37" s="1"/>
  <c r="BG23"/>
  <c r="BJ23" s="1"/>
  <c r="BJ28"/>
  <c r="BG35"/>
  <c r="BJ35" s="1"/>
  <c r="DC36"/>
  <c r="CZ47"/>
  <c r="DC47" s="1"/>
  <c r="DO18"/>
  <c r="DR18" s="1"/>
  <c r="DO29"/>
  <c r="DR29" s="1"/>
  <c r="BZ13" i="24"/>
  <c r="AB51" i="23"/>
  <c r="AC21"/>
  <c r="AF21" s="1"/>
  <c r="BG22"/>
  <c r="BJ22" s="1"/>
  <c r="BG30"/>
  <c r="BJ30" s="1"/>
  <c r="BG37"/>
  <c r="BJ37" s="1"/>
  <c r="BV12"/>
  <c r="BY12" s="1"/>
  <c r="BV18"/>
  <c r="BY18" s="1"/>
  <c r="BV22"/>
  <c r="BY22" s="1"/>
  <c r="BY36"/>
  <c r="CZ40"/>
  <c r="DC40" s="1"/>
  <c r="DO22"/>
  <c r="DR22" s="1"/>
  <c r="DO37"/>
  <c r="DR37" s="1"/>
  <c r="FW47"/>
  <c r="HD47" s="1"/>
  <c r="HJ47" s="1"/>
  <c r="FW20"/>
  <c r="HD20" s="1"/>
  <c r="HJ20" s="1"/>
  <c r="CJ13"/>
  <c r="CM13" s="1"/>
  <c r="CI14"/>
  <c r="CL14" s="1"/>
  <c r="P20"/>
  <c r="CJ20"/>
  <c r="GK20" s="1"/>
  <c r="GQ20" s="1"/>
  <c r="N22"/>
  <c r="Q22" s="1"/>
  <c r="AL27"/>
  <c r="CI34"/>
  <c r="GJ34" s="1"/>
  <c r="GP34" s="1"/>
  <c r="AI39"/>
  <c r="CJ41"/>
  <c r="CM41" s="1"/>
  <c r="AL43"/>
  <c r="EC43"/>
  <c r="GT43" s="1"/>
  <c r="GZ43" s="1"/>
  <c r="CJ45"/>
  <c r="GK45" s="1"/>
  <c r="EC46"/>
  <c r="GT46" s="1"/>
  <c r="AL47"/>
  <c r="AI48"/>
  <c r="CE48"/>
  <c r="AC28"/>
  <c r="AF28" s="1"/>
  <c r="AC30"/>
  <c r="AF30" s="1"/>
  <c r="AF39"/>
  <c r="AC40"/>
  <c r="AF40" s="1"/>
  <c r="BG13"/>
  <c r="BJ13" s="1"/>
  <c r="CB30"/>
  <c r="BG45"/>
  <c r="BJ45" s="1"/>
  <c r="BG46"/>
  <c r="BJ46" s="1"/>
  <c r="BV30"/>
  <c r="BY30" s="1"/>
  <c r="BV40"/>
  <c r="BY40" s="1"/>
  <c r="CZ20"/>
  <c r="DC20" s="1"/>
  <c r="CZ35"/>
  <c r="DC35" s="1"/>
  <c r="CZ37"/>
  <c r="DC37" s="1"/>
  <c r="CZ46"/>
  <c r="DC46" s="1"/>
  <c r="CZ48"/>
  <c r="DC48" s="1"/>
  <c r="DO21"/>
  <c r="DR21" s="1"/>
  <c r="DO30"/>
  <c r="DR30" s="1"/>
  <c r="FT51"/>
  <c r="AV1"/>
  <c r="BK1" s="1"/>
  <c r="BZ1" s="1"/>
  <c r="EH1" s="1"/>
  <c r="EW1" s="1"/>
  <c r="FL1" s="1"/>
  <c r="CO1"/>
  <c r="DD1" s="1"/>
  <c r="DS1" s="1"/>
  <c r="ED38"/>
  <c r="GU38" s="1"/>
  <c r="HA38" s="1"/>
  <c r="DC38"/>
  <c r="DC43"/>
  <c r="ED43"/>
  <c r="GU43" s="1"/>
  <c r="HA43" s="1"/>
  <c r="GJ10"/>
  <c r="GP10" s="1"/>
  <c r="AD50"/>
  <c r="AP50"/>
  <c r="AS50" s="1"/>
  <c r="FX15"/>
  <c r="HB15"/>
  <c r="HH15" s="1"/>
  <c r="FX37"/>
  <c r="HB37"/>
  <c r="HH37" s="1"/>
  <c r="FZ26"/>
  <c r="HD26"/>
  <c r="HJ26" s="1"/>
  <c r="FY26"/>
  <c r="HC26"/>
  <c r="HI26" s="1"/>
  <c r="FX35"/>
  <c r="HB35"/>
  <c r="HH35" s="1"/>
  <c r="FY42"/>
  <c r="HC42"/>
  <c r="HI42" s="1"/>
  <c r="AR42"/>
  <c r="GC42" s="1"/>
  <c r="GI42" s="1"/>
  <c r="AF38"/>
  <c r="BG20"/>
  <c r="BJ20" s="1"/>
  <c r="BJ42"/>
  <c r="BY10"/>
  <c r="BY39"/>
  <c r="DC26"/>
  <c r="HB27"/>
  <c r="HH27" s="1"/>
  <c r="HC14"/>
  <c r="HI14" s="1"/>
  <c r="FY24"/>
  <c r="FY47"/>
  <c r="FY15"/>
  <c r="HC15"/>
  <c r="HI15" s="1"/>
  <c r="CF51"/>
  <c r="FZ38"/>
  <c r="HD38"/>
  <c r="HJ38" s="1"/>
  <c r="FZ15"/>
  <c r="HD15"/>
  <c r="HJ15" s="1"/>
  <c r="AC44"/>
  <c r="AF44" s="1"/>
  <c r="BG18"/>
  <c r="BJ18" s="1"/>
  <c r="BG21"/>
  <c r="BJ21" s="1"/>
  <c r="BJ36"/>
  <c r="BG40"/>
  <c r="BJ40" s="1"/>
  <c r="BG47"/>
  <c r="BJ47" s="1"/>
  <c r="DO12"/>
  <c r="DR12" s="1"/>
  <c r="DR15"/>
  <c r="DO20"/>
  <c r="DR20" s="1"/>
  <c r="FZ34"/>
  <c r="FY35"/>
  <c r="HC35"/>
  <c r="HI35" s="1"/>
  <c r="FZ37"/>
  <c r="HD37"/>
  <c r="HJ37" s="1"/>
  <c r="FX22"/>
  <c r="HB22"/>
  <c r="HH22" s="1"/>
  <c r="BU51"/>
  <c r="DU10"/>
  <c r="N50"/>
  <c r="AL50"/>
  <c r="FX38"/>
  <c r="HB38"/>
  <c r="HH38" s="1"/>
  <c r="FY43"/>
  <c r="HC43"/>
  <c r="HI43" s="1"/>
  <c r="FX36"/>
  <c r="HB36"/>
  <c r="HH36" s="1"/>
  <c r="FX30"/>
  <c r="HB30"/>
  <c r="HH30" s="1"/>
  <c r="AC18"/>
  <c r="AF18" s="1"/>
  <c r="BT51"/>
  <c r="BY11"/>
  <c r="BY26"/>
  <c r="CZ13"/>
  <c r="DC13" s="1"/>
  <c r="CZ18"/>
  <c r="DC18" s="1"/>
  <c r="CZ21"/>
  <c r="DC21" s="1"/>
  <c r="FZ42"/>
  <c r="HD42"/>
  <c r="HJ42" s="1"/>
  <c r="FZ43"/>
  <c r="HD43"/>
  <c r="HJ43" s="1"/>
  <c r="FY30"/>
  <c r="HC30"/>
  <c r="HI30" s="1"/>
  <c r="FY38"/>
  <c r="HC38"/>
  <c r="HI38" s="1"/>
  <c r="BJ50"/>
  <c r="DC41"/>
  <c r="FY22"/>
  <c r="HC22"/>
  <c r="HI22" s="1"/>
  <c r="FX20"/>
  <c r="HB20"/>
  <c r="HH20" s="1"/>
  <c r="N30"/>
  <c r="Q30" s="1"/>
  <c r="GX51"/>
  <c r="AL42"/>
  <c r="AP19"/>
  <c r="AS19" s="1"/>
  <c r="AF36"/>
  <c r="BY38"/>
  <c r="CZ22"/>
  <c r="DC22" s="1"/>
  <c r="DR11"/>
  <c r="AE50"/>
  <c r="AQ50"/>
  <c r="AT50" s="1"/>
  <c r="FX23"/>
  <c r="HB23"/>
  <c r="HH23" s="1"/>
  <c r="FY36"/>
  <c r="HC36"/>
  <c r="HI36" s="1"/>
  <c r="FY37"/>
  <c r="HC37"/>
  <c r="HI37" s="1"/>
  <c r="L51"/>
  <c r="DC42"/>
  <c r="AR38"/>
  <c r="GC38" s="1"/>
  <c r="GI38" s="1"/>
  <c r="AC45"/>
  <c r="AF45" s="1"/>
  <c r="AL39"/>
  <c r="P44"/>
  <c r="AH51"/>
  <c r="M51"/>
  <c r="FZ50"/>
  <c r="HD50"/>
  <c r="HJ50" s="1"/>
  <c r="DR50"/>
  <c r="BY50"/>
  <c r="BJ41"/>
  <c r="AR41"/>
  <c r="GC41" s="1"/>
  <c r="GI41" s="1"/>
  <c r="AF50"/>
  <c r="FZ24"/>
  <c r="HD24"/>
  <c r="HJ24" s="1"/>
  <c r="CZ24"/>
  <c r="DC24" s="1"/>
  <c r="BG24"/>
  <c r="BJ24" s="1"/>
  <c r="CZ12"/>
  <c r="DY51"/>
  <c r="BG12"/>
  <c r="AA51"/>
  <c r="BW16" i="24"/>
  <c r="FY31" i="23"/>
  <c r="FX31"/>
  <c r="FZ31"/>
  <c r="HD31"/>
  <c r="HJ31" s="1"/>
  <c r="DO31"/>
  <c r="DR31" s="1"/>
  <c r="DZ51"/>
  <c r="CZ31"/>
  <c r="DC31" s="1"/>
  <c r="BG31"/>
  <c r="AC31"/>
  <c r="AF31" s="1"/>
  <c r="FY33"/>
  <c r="HC33"/>
  <c r="HI33" s="1"/>
  <c r="DO33"/>
  <c r="DR33" s="1"/>
  <c r="CZ33"/>
  <c r="DC33" s="1"/>
  <c r="BG33"/>
  <c r="BJ33" s="1"/>
  <c r="AC33"/>
  <c r="AF33" s="1"/>
  <c r="P33"/>
  <c r="FY34"/>
  <c r="HC34"/>
  <c r="HI34" s="1"/>
  <c r="DR34"/>
  <c r="DC34"/>
  <c r="BY34"/>
  <c r="BJ34"/>
  <c r="AF34"/>
  <c r="FZ14"/>
  <c r="HD14"/>
  <c r="HJ14" s="1"/>
  <c r="BJ14"/>
  <c r="FY27"/>
  <c r="HD27"/>
  <c r="HJ27" s="1"/>
  <c r="DO27"/>
  <c r="DR27" s="1"/>
  <c r="CZ27"/>
  <c r="DC27" s="1"/>
  <c r="BV27"/>
  <c r="BY27" s="1"/>
  <c r="BG27"/>
  <c r="BJ27" s="1"/>
  <c r="AC27"/>
  <c r="AF27" s="1"/>
  <c r="FY11"/>
  <c r="HC11"/>
  <c r="HI11" s="1"/>
  <c r="FX11"/>
  <c r="HB11"/>
  <c r="HH11" s="1"/>
  <c r="CT51"/>
  <c r="DC11"/>
  <c r="BE51"/>
  <c r="AX51"/>
  <c r="BJ11"/>
  <c r="FY29"/>
  <c r="FH51"/>
  <c r="FK51" s="1"/>
  <c r="FW29"/>
  <c r="HD29" s="1"/>
  <c r="HJ29" s="1"/>
  <c r="FX29"/>
  <c r="HB29"/>
  <c r="HH29" s="1"/>
  <c r="DN51"/>
  <c r="CZ29"/>
  <c r="DC29" s="1"/>
  <c r="BV29"/>
  <c r="BY29" s="1"/>
  <c r="BG29"/>
  <c r="AC29"/>
  <c r="AF29" s="1"/>
  <c r="E16" i="24"/>
  <c r="FY10" i="23"/>
  <c r="HC10"/>
  <c r="FX10"/>
  <c r="HB10"/>
  <c r="FZ10"/>
  <c r="HD10"/>
  <c r="EV35"/>
  <c r="FW35"/>
  <c r="FU51"/>
  <c r="FX51" s="1"/>
  <c r="FV51"/>
  <c r="FY51" s="1"/>
  <c r="FW9"/>
  <c r="HD9" s="1"/>
  <c r="HJ9" s="1"/>
  <c r="ES51"/>
  <c r="EV51" s="1"/>
  <c r="EV9"/>
  <c r="FN51"/>
  <c r="EV22"/>
  <c r="FW22"/>
  <c r="FQ51"/>
  <c r="EV28"/>
  <c r="FW28"/>
  <c r="EV33"/>
  <c r="FW33"/>
  <c r="EV11"/>
  <c r="FW11"/>
  <c r="DI51"/>
  <c r="DF51"/>
  <c r="DR10"/>
  <c r="CY51"/>
  <c r="DV51"/>
  <c r="CX51"/>
  <c r="DC10"/>
  <c r="CQ51"/>
  <c r="BP51"/>
  <c r="BM51"/>
  <c r="CE10"/>
  <c r="BF51"/>
  <c r="BA51"/>
  <c r="BJ10"/>
  <c r="W51"/>
  <c r="T51"/>
  <c r="AF10"/>
  <c r="BZ11" i="24"/>
  <c r="BQ13"/>
  <c r="BN16"/>
  <c r="BZ9"/>
  <c r="BJ16"/>
  <c r="BP16" s="1"/>
  <c r="BH12"/>
  <c r="BH11"/>
  <c r="BZ10"/>
  <c r="BX16"/>
  <c r="Z16"/>
  <c r="BI16"/>
  <c r="BO16" s="1"/>
  <c r="X16"/>
  <c r="H15"/>
  <c r="C16"/>
  <c r="I16" s="1"/>
  <c r="BE16"/>
  <c r="DQ9" i="23"/>
  <c r="DP9"/>
  <c r="DO9"/>
  <c r="DC14"/>
  <c r="ED14"/>
  <c r="EG14" s="1"/>
  <c r="DC50"/>
  <c r="ED50"/>
  <c r="EG50" s="1"/>
  <c r="DS51"/>
  <c r="EE47"/>
  <c r="DB9"/>
  <c r="EE42"/>
  <c r="CZ9"/>
  <c r="GS47"/>
  <c r="GY47" s="1"/>
  <c r="DW51"/>
  <c r="CK14"/>
  <c r="GL14" s="1"/>
  <c r="GR14" s="1"/>
  <c r="BY15"/>
  <c r="CK15"/>
  <c r="GL15" s="1"/>
  <c r="GR15" s="1"/>
  <c r="BX9"/>
  <c r="BV9"/>
  <c r="CK26"/>
  <c r="BJ26"/>
  <c r="CD51"/>
  <c r="CK50"/>
  <c r="CN50" s="1"/>
  <c r="BG9"/>
  <c r="CA51"/>
  <c r="CH40"/>
  <c r="CE43"/>
  <c r="BZ51"/>
  <c r="GK36"/>
  <c r="GQ36" s="1"/>
  <c r="CI27"/>
  <c r="CL27" s="1"/>
  <c r="CI37"/>
  <c r="CL26"/>
  <c r="CG51"/>
  <c r="AE9"/>
  <c r="AD12"/>
  <c r="AS16"/>
  <c r="AI37"/>
  <c r="AP22"/>
  <c r="AS22" s="1"/>
  <c r="AO23"/>
  <c r="AL24"/>
  <c r="AI26"/>
  <c r="AC9"/>
  <c r="AI25"/>
  <c r="AQ11"/>
  <c r="GB11" s="1"/>
  <c r="GH11" s="1"/>
  <c r="AL14"/>
  <c r="AL18"/>
  <c r="AO13"/>
  <c r="AN51"/>
  <c r="AI27"/>
  <c r="N12"/>
  <c r="AR12" s="1"/>
  <c r="AP23"/>
  <c r="AS23" s="1"/>
  <c r="N27"/>
  <c r="Q27" s="1"/>
  <c r="AQ35"/>
  <c r="GB35" s="1"/>
  <c r="GH35" s="1"/>
  <c r="N45"/>
  <c r="Q45" s="1"/>
  <c r="AQ26"/>
  <c r="AT26" s="1"/>
  <c r="O36"/>
  <c r="AM51"/>
  <c r="N13"/>
  <c r="Q13" s="1"/>
  <c r="AQ13"/>
  <c r="AT13" s="1"/>
  <c r="AP25"/>
  <c r="AS25" s="1"/>
  <c r="P34"/>
  <c r="O38"/>
  <c r="AS24"/>
  <c r="N31"/>
  <c r="Q31" s="1"/>
  <c r="AR33"/>
  <c r="O45"/>
  <c r="N46"/>
  <c r="Q46" s="1"/>
  <c r="P12"/>
  <c r="O15"/>
  <c r="O21"/>
  <c r="O44"/>
  <c r="O12"/>
  <c r="AL12"/>
  <c r="N14"/>
  <c r="AR14" s="1"/>
  <c r="AQ22"/>
  <c r="AT22" s="1"/>
  <c r="P25"/>
  <c r="Q42"/>
  <c r="P43"/>
  <c r="AQ14"/>
  <c r="AT14" s="1"/>
  <c r="O37"/>
  <c r="O43"/>
  <c r="AP14"/>
  <c r="N24"/>
  <c r="AR24" s="1"/>
  <c r="N37"/>
  <c r="Q37" s="1"/>
  <c r="AQ39"/>
  <c r="GB39" s="1"/>
  <c r="AP26"/>
  <c r="GA26" s="1"/>
  <c r="GG26" s="1"/>
  <c r="AL30"/>
  <c r="N35"/>
  <c r="Q35" s="1"/>
  <c r="Q36"/>
  <c r="AQ47"/>
  <c r="GB47" s="1"/>
  <c r="GH47" s="1"/>
  <c r="AQ31"/>
  <c r="GB31" s="1"/>
  <c r="GH31" s="1"/>
  <c r="AL38"/>
  <c r="AS41"/>
  <c r="AP11"/>
  <c r="GA11" s="1"/>
  <c r="GG11" s="1"/>
  <c r="N44"/>
  <c r="Q44" s="1"/>
  <c r="P45"/>
  <c r="AP46"/>
  <c r="AS46" s="1"/>
  <c r="O47"/>
  <c r="AL15"/>
  <c r="N29"/>
  <c r="AL31"/>
  <c r="AL44"/>
  <c r="AQ10"/>
  <c r="GB10" s="1"/>
  <c r="GH10" s="1"/>
  <c r="AS44"/>
  <c r="Q33"/>
  <c r="Q38"/>
  <c r="ED10"/>
  <c r="Q11"/>
  <c r="AR11"/>
  <c r="ED11"/>
  <c r="GK13"/>
  <c r="GQ13" s="1"/>
  <c r="Q10"/>
  <c r="AR10"/>
  <c r="CJ18"/>
  <c r="GB30"/>
  <c r="GH30" s="1"/>
  <c r="CK41"/>
  <c r="GA53"/>
  <c r="GJ53"/>
  <c r="GS53" s="1"/>
  <c r="HB53" s="1"/>
  <c r="EC14"/>
  <c r="CL20"/>
  <c r="CK42"/>
  <c r="Q15"/>
  <c r="EC18"/>
  <c r="N20"/>
  <c r="AL20"/>
  <c r="GA35"/>
  <c r="GG35" s="1"/>
  <c r="AS35"/>
  <c r="AT41"/>
  <c r="GB41"/>
  <c r="GH41" s="1"/>
  <c r="GA52"/>
  <c r="GJ52"/>
  <c r="GS52" s="1"/>
  <c r="HB52" s="1"/>
  <c r="CB21"/>
  <c r="P23"/>
  <c r="AQ23"/>
  <c r="AS42"/>
  <c r="GA42"/>
  <c r="GG42" s="1"/>
  <c r="GK12"/>
  <c r="CI13"/>
  <c r="GJ39"/>
  <c r="GA45"/>
  <c r="GG45" s="1"/>
  <c r="AS45"/>
  <c r="H51"/>
  <c r="E51"/>
  <c r="O9"/>
  <c r="CC51"/>
  <c r="DU9"/>
  <c r="AP10"/>
  <c r="EB10"/>
  <c r="AL11"/>
  <c r="DX11"/>
  <c r="AR25"/>
  <c r="CI22"/>
  <c r="GK35"/>
  <c r="GQ35" s="1"/>
  <c r="CM35"/>
  <c r="CE9"/>
  <c r="P9"/>
  <c r="AL9"/>
  <c r="AK51"/>
  <c r="EC9"/>
  <c r="N9"/>
  <c r="AJ51"/>
  <c r="CB9"/>
  <c r="CJ9"/>
  <c r="DT51"/>
  <c r="EB9"/>
  <c r="AL10"/>
  <c r="CL10"/>
  <c r="DX10"/>
  <c r="CK11"/>
  <c r="N21"/>
  <c r="AQ21"/>
  <c r="AL22"/>
  <c r="CJ21"/>
  <c r="AL23"/>
  <c r="N23"/>
  <c r="GA31"/>
  <c r="GG31" s="1"/>
  <c r="AS31"/>
  <c r="EE38"/>
  <c r="EE40"/>
  <c r="AI9"/>
  <c r="CI9"/>
  <c r="EA9"/>
  <c r="CK10"/>
  <c r="CI15"/>
  <c r="DX15"/>
  <c r="AS18"/>
  <c r="CE22"/>
  <c r="EF34"/>
  <c r="CK38"/>
  <c r="Q39"/>
  <c r="AR39"/>
  <c r="CM45"/>
  <c r="AQ9"/>
  <c r="AP9"/>
  <c r="CH9"/>
  <c r="CJ10"/>
  <c r="GK10" s="1"/>
  <c r="GT10"/>
  <c r="GZ10" s="1"/>
  <c r="CI11"/>
  <c r="CE15"/>
  <c r="N18"/>
  <c r="DX21"/>
  <c r="AP13"/>
  <c r="O13"/>
  <c r="EB13"/>
  <c r="AQ18"/>
  <c r="P18"/>
  <c r="AP20"/>
  <c r="O20"/>
  <c r="GS22"/>
  <c r="GY22" s="1"/>
  <c r="EE22"/>
  <c r="GK50"/>
  <c r="GQ50" s="1"/>
  <c r="AO9"/>
  <c r="ED15"/>
  <c r="AR19"/>
  <c r="AO21"/>
  <c r="CB22"/>
  <c r="CI23"/>
  <c r="AQ24"/>
  <c r="AQ27"/>
  <c r="N28"/>
  <c r="AQ29"/>
  <c r="CJ29"/>
  <c r="AO30"/>
  <c r="AP30"/>
  <c r="CI30"/>
  <c r="EC30"/>
  <c r="CI31"/>
  <c r="EB31"/>
  <c r="AP34"/>
  <c r="AO35"/>
  <c r="CI35"/>
  <c r="EE35"/>
  <c r="CL36"/>
  <c r="EF36"/>
  <c r="O40"/>
  <c r="CE41"/>
  <c r="O42"/>
  <c r="N43"/>
  <c r="CI43"/>
  <c r="AT44"/>
  <c r="AL45"/>
  <c r="CB47"/>
  <c r="CJ47"/>
  <c r="CL48"/>
  <c r="DX48"/>
  <c r="EB50"/>
  <c r="CI21"/>
  <c r="CJ24"/>
  <c r="AL25"/>
  <c r="AP27"/>
  <c r="CJ27"/>
  <c r="AP29"/>
  <c r="CI29"/>
  <c r="EC29"/>
  <c r="EB30"/>
  <c r="EB34"/>
  <c r="CJ37"/>
  <c r="EC37"/>
  <c r="CI38"/>
  <c r="DX38"/>
  <c r="N40"/>
  <c r="CI41"/>
  <c r="CE42"/>
  <c r="ED42"/>
  <c r="GO42"/>
  <c r="P46"/>
  <c r="CJ46"/>
  <c r="AQ48"/>
  <c r="AL34"/>
  <c r="CK34"/>
  <c r="CE38"/>
  <c r="AP39"/>
  <c r="P30"/>
  <c r="O31"/>
  <c r="AT33"/>
  <c r="O35"/>
  <c r="EE39"/>
  <c r="AQ40"/>
  <c r="CB40"/>
  <c r="CJ40"/>
  <c r="AI42"/>
  <c r="CI18"/>
  <c r="O24"/>
  <c r="Q25"/>
  <c r="EC27"/>
  <c r="GF51"/>
  <c r="AP33"/>
  <c r="P38"/>
  <c r="AO40"/>
  <c r="EC40"/>
  <c r="AO44"/>
  <c r="CJ26"/>
  <c r="EB27"/>
  <c r="CI33"/>
  <c r="CE37"/>
  <c r="DX37"/>
  <c r="GS42"/>
  <c r="GY42" s="1"/>
  <c r="EB46"/>
  <c r="DX24"/>
  <c r="GG36"/>
  <c r="AQ42"/>
  <c r="N48"/>
  <c r="EC48"/>
  <c r="CJ23"/>
  <c r="EF24"/>
  <c r="N26"/>
  <c r="AO31"/>
  <c r="CH31"/>
  <c r="CM36"/>
  <c r="AQ37"/>
  <c r="N47"/>
  <c r="DX47"/>
  <c r="CL50"/>
  <c r="FE28" i="5"/>
  <c r="AA16" i="24" l="1"/>
  <c r="AJ16"/>
  <c r="AC16"/>
  <c r="AL16"/>
  <c r="GB19" i="23"/>
  <c r="GA25"/>
  <c r="GG25" s="1"/>
  <c r="GB46"/>
  <c r="GJ42"/>
  <c r="GP42" s="1"/>
  <c r="EG38"/>
  <c r="CL47"/>
  <c r="CN26"/>
  <c r="AD16" i="24"/>
  <c r="AF16"/>
  <c r="BK16"/>
  <c r="BQ16" s="1"/>
  <c r="N15"/>
  <c r="K15"/>
  <c r="EF39" i="23"/>
  <c r="AT43"/>
  <c r="AT45"/>
  <c r="GS37"/>
  <c r="GY37" s="1"/>
  <c r="GT21"/>
  <c r="GZ21" s="1"/>
  <c r="GJ40"/>
  <c r="GP40" s="1"/>
  <c r="EF20"/>
  <c r="CM38"/>
  <c r="AT38"/>
  <c r="GS20"/>
  <c r="GY20" s="1"/>
  <c r="ED48"/>
  <c r="CL24"/>
  <c r="BH15" i="24"/>
  <c r="T15"/>
  <c r="CC16"/>
  <c r="CI16" s="1"/>
  <c r="DC12" i="23"/>
  <c r="ED12"/>
  <c r="Q12"/>
  <c r="BJ12"/>
  <c r="CK12"/>
  <c r="CN12" s="1"/>
  <c r="GJ12"/>
  <c r="EE41"/>
  <c r="GJ45"/>
  <c r="EF46"/>
  <c r="AS40"/>
  <c r="HD48"/>
  <c r="HJ48" s="1"/>
  <c r="FZ21"/>
  <c r="EF47"/>
  <c r="GT38"/>
  <c r="GZ38" s="1"/>
  <c r="CM11"/>
  <c r="CL34"/>
  <c r="AT12"/>
  <c r="AT34"/>
  <c r="CM33"/>
  <c r="EE43"/>
  <c r="GT13"/>
  <c r="GZ13" s="1"/>
  <c r="EF33"/>
  <c r="EF22"/>
  <c r="GK22"/>
  <c r="GQ22" s="1"/>
  <c r="CK47"/>
  <c r="GL47" s="1"/>
  <c r="GR47" s="1"/>
  <c r="AS47"/>
  <c r="FZ45"/>
  <c r="HD45"/>
  <c r="CM34"/>
  <c r="FZ13"/>
  <c r="GL26"/>
  <c r="GR26" s="1"/>
  <c r="GB22"/>
  <c r="GH22" s="1"/>
  <c r="GS15"/>
  <c r="GY15" s="1"/>
  <c r="EF11"/>
  <c r="AS15"/>
  <c r="AU14"/>
  <c r="GT42"/>
  <c r="GZ42" s="1"/>
  <c r="CM31"/>
  <c r="CM42"/>
  <c r="GS32"/>
  <c r="GY32" s="1"/>
  <c r="EE32"/>
  <c r="CK27"/>
  <c r="AR45"/>
  <c r="AU45" s="1"/>
  <c r="EE26"/>
  <c r="AS48"/>
  <c r="ED30"/>
  <c r="EG30" s="1"/>
  <c r="GK30"/>
  <c r="GQ30" s="1"/>
  <c r="FZ18"/>
  <c r="AT11"/>
  <c r="EF35"/>
  <c r="EF26"/>
  <c r="EE18"/>
  <c r="GB13"/>
  <c r="GH13" s="1"/>
  <c r="GK14"/>
  <c r="GQ14" s="1"/>
  <c r="GB26"/>
  <c r="GH26" s="1"/>
  <c r="AS43"/>
  <c r="GA37"/>
  <c r="GG37" s="1"/>
  <c r="ED35"/>
  <c r="GU35" s="1"/>
  <c r="HA35" s="1"/>
  <c r="GS29"/>
  <c r="GY29" s="1"/>
  <c r="GT31"/>
  <c r="GZ31" s="1"/>
  <c r="EE33"/>
  <c r="Q14"/>
  <c r="EE48"/>
  <c r="AR30"/>
  <c r="GC30" s="1"/>
  <c r="GI30" s="1"/>
  <c r="GB20"/>
  <c r="GH20" s="1"/>
  <c r="EE21"/>
  <c r="ED13"/>
  <c r="GU13" s="1"/>
  <c r="HA13" s="1"/>
  <c r="GA23"/>
  <c r="GG23" s="1"/>
  <c r="CM43"/>
  <c r="AS38"/>
  <c r="CK24"/>
  <c r="GL24" s="1"/>
  <c r="GR24" s="1"/>
  <c r="AR29"/>
  <c r="GC29" s="1"/>
  <c r="GI29" s="1"/>
  <c r="CK28"/>
  <c r="GL28" s="1"/>
  <c r="CK21"/>
  <c r="GL21" s="1"/>
  <c r="GR21" s="1"/>
  <c r="EE11"/>
  <c r="GA12"/>
  <c r="AT25"/>
  <c r="CM48"/>
  <c r="EG41"/>
  <c r="GK41"/>
  <c r="GQ41" s="1"/>
  <c r="GA50"/>
  <c r="GG50" s="1"/>
  <c r="HD12"/>
  <c r="HJ12" s="1"/>
  <c r="EE12"/>
  <c r="AS12"/>
  <c r="EB36"/>
  <c r="EE36" s="1"/>
  <c r="DP36"/>
  <c r="AR37"/>
  <c r="AU37" s="1"/>
  <c r="GU14"/>
  <c r="HA14" s="1"/>
  <c r="AT35"/>
  <c r="EG43"/>
  <c r="ED29"/>
  <c r="EG29" s="1"/>
  <c r="EE24"/>
  <c r="CK37"/>
  <c r="CN37" s="1"/>
  <c r="DU51"/>
  <c r="ED20"/>
  <c r="EG20" s="1"/>
  <c r="EF41"/>
  <c r="AS11"/>
  <c r="AS21"/>
  <c r="AR46"/>
  <c r="EF43"/>
  <c r="DM51"/>
  <c r="FZ47"/>
  <c r="FZ20"/>
  <c r="FZ30"/>
  <c r="GA19"/>
  <c r="CL46"/>
  <c r="AU41"/>
  <c r="AU38"/>
  <c r="ED18"/>
  <c r="GU18" s="1"/>
  <c r="HA18" s="1"/>
  <c r="GB50"/>
  <c r="GH50" s="1"/>
  <c r="ED24"/>
  <c r="ED33"/>
  <c r="GU33" s="1"/>
  <c r="HA33" s="1"/>
  <c r="GA22"/>
  <c r="GG22" s="1"/>
  <c r="CK45"/>
  <c r="CM20"/>
  <c r="HD36"/>
  <c r="HJ36" s="1"/>
  <c r="GT15"/>
  <c r="GZ15" s="1"/>
  <c r="GK15"/>
  <c r="GQ15" s="1"/>
  <c r="CN15"/>
  <c r="AT15"/>
  <c r="BZ16" i="24"/>
  <c r="AR31" i="23"/>
  <c r="GC31" s="1"/>
  <c r="GI31" s="1"/>
  <c r="ED37"/>
  <c r="GU37" s="1"/>
  <c r="HA37" s="1"/>
  <c r="GJ14"/>
  <c r="GP14" s="1"/>
  <c r="CK18"/>
  <c r="CN18" s="1"/>
  <c r="AU42"/>
  <c r="CK46"/>
  <c r="GB14"/>
  <c r="GH14" s="1"/>
  <c r="AR22"/>
  <c r="GC22" s="1"/>
  <c r="GI22" s="1"/>
  <c r="GU12"/>
  <c r="AT39"/>
  <c r="AU24"/>
  <c r="FZ22"/>
  <c r="HD22"/>
  <c r="HJ22" s="1"/>
  <c r="FZ35"/>
  <c r="HD35"/>
  <c r="HJ35" s="1"/>
  <c r="Q50"/>
  <c r="AR50"/>
  <c r="FZ28"/>
  <c r="HD28"/>
  <c r="AT10"/>
  <c r="CK31"/>
  <c r="CN31" s="1"/>
  <c r="AT31"/>
  <c r="GU50"/>
  <c r="HA50" s="1"/>
  <c r="GL50"/>
  <c r="GR50" s="1"/>
  <c r="BJ31"/>
  <c r="FZ33"/>
  <c r="HD33"/>
  <c r="HJ33" s="1"/>
  <c r="CN14"/>
  <c r="GC14"/>
  <c r="GI14" s="1"/>
  <c r="GJ27"/>
  <c r="GP27" s="1"/>
  <c r="AR27"/>
  <c r="GC27" s="1"/>
  <c r="GI27" s="1"/>
  <c r="FZ11"/>
  <c r="HD11"/>
  <c r="HJ11" s="1"/>
  <c r="FZ29"/>
  <c r="CK29"/>
  <c r="CN29" s="1"/>
  <c r="BJ29"/>
  <c r="Q29"/>
  <c r="HI10"/>
  <c r="HC51"/>
  <c r="HI51" s="1"/>
  <c r="HH10"/>
  <c r="HB51"/>
  <c r="HH51" s="1"/>
  <c r="HJ10"/>
  <c r="FW51"/>
  <c r="FZ51" s="1"/>
  <c r="FZ9"/>
  <c r="H16" i="24"/>
  <c r="DR9" i="23"/>
  <c r="DO51"/>
  <c r="DC9"/>
  <c r="CZ51"/>
  <c r="DX51"/>
  <c r="EA51"/>
  <c r="BY9"/>
  <c r="BV51"/>
  <c r="BJ9"/>
  <c r="BG51"/>
  <c r="CL37"/>
  <c r="GJ37"/>
  <c r="GP37" s="1"/>
  <c r="AF9"/>
  <c r="AC51"/>
  <c r="AR35"/>
  <c r="AU35" s="1"/>
  <c r="AR13"/>
  <c r="AU13" s="1"/>
  <c r="AT47"/>
  <c r="AS26"/>
  <c r="AS14"/>
  <c r="GA14"/>
  <c r="GG14" s="1"/>
  <c r="Q24"/>
  <c r="GA46"/>
  <c r="GC24"/>
  <c r="GI24" s="1"/>
  <c r="Q48"/>
  <c r="AR48"/>
  <c r="CK43"/>
  <c r="GK23"/>
  <c r="GQ23" s="1"/>
  <c r="CM23"/>
  <c r="GK26"/>
  <c r="GQ26" s="1"/>
  <c r="CM26"/>
  <c r="GA33"/>
  <c r="GG33" s="1"/>
  <c r="AS33"/>
  <c r="ED47"/>
  <c r="GS34"/>
  <c r="GY34" s="1"/>
  <c r="EE34"/>
  <c r="EE50"/>
  <c r="GS50"/>
  <c r="GY50" s="1"/>
  <c r="CK40"/>
  <c r="AS34"/>
  <c r="GA34"/>
  <c r="GG34" s="1"/>
  <c r="AS30"/>
  <c r="GA30"/>
  <c r="GG30" s="1"/>
  <c r="AQ51"/>
  <c r="GB9"/>
  <c r="AT9"/>
  <c r="AR23"/>
  <c r="Q23"/>
  <c r="AU25"/>
  <c r="GC25"/>
  <c r="GI25" s="1"/>
  <c r="GL42"/>
  <c r="GR42" s="1"/>
  <c r="CN42"/>
  <c r="GT12"/>
  <c r="EF12"/>
  <c r="GO51"/>
  <c r="AR34"/>
  <c r="Q34"/>
  <c r="ED26"/>
  <c r="Q40"/>
  <c r="AR40"/>
  <c r="AS29"/>
  <c r="GA29"/>
  <c r="GG29" s="1"/>
  <c r="GK47"/>
  <c r="GQ47" s="1"/>
  <c r="CM47"/>
  <c r="GJ30"/>
  <c r="GP30" s="1"/>
  <c r="CL30"/>
  <c r="GB27"/>
  <c r="GH27" s="1"/>
  <c r="AT27"/>
  <c r="GU15"/>
  <c r="HA15" s="1"/>
  <c r="EG15"/>
  <c r="GS13"/>
  <c r="GY13" s="1"/>
  <c r="EE13"/>
  <c r="AP51"/>
  <c r="GA9"/>
  <c r="AS9"/>
  <c r="AU39"/>
  <c r="GC39"/>
  <c r="ED9"/>
  <c r="CK13"/>
  <c r="EG10"/>
  <c r="GU10"/>
  <c r="HA10" s="1"/>
  <c r="AI51"/>
  <c r="AR44"/>
  <c r="CK35"/>
  <c r="AS39"/>
  <c r="GA39"/>
  <c r="CL21"/>
  <c r="GJ21"/>
  <c r="GP21" s="1"/>
  <c r="AR47"/>
  <c r="Q47"/>
  <c r="AR26"/>
  <c r="Q26"/>
  <c r="GB42"/>
  <c r="GH42" s="1"/>
  <c r="AT42"/>
  <c r="GS27"/>
  <c r="GY27" s="1"/>
  <c r="EE27"/>
  <c r="EF27"/>
  <c r="GT27"/>
  <c r="GZ27" s="1"/>
  <c r="GC33"/>
  <c r="GI33" s="1"/>
  <c r="AU33"/>
  <c r="CM46"/>
  <c r="GK46"/>
  <c r="ED40"/>
  <c r="GJ29"/>
  <c r="GP29" s="1"/>
  <c r="CL29"/>
  <c r="CL35"/>
  <c r="GJ35"/>
  <c r="GP35" s="1"/>
  <c r="GT30"/>
  <c r="GZ30" s="1"/>
  <c r="EF30"/>
  <c r="CN27"/>
  <c r="GL27"/>
  <c r="GR27" s="1"/>
  <c r="GJ23"/>
  <c r="GP23" s="1"/>
  <c r="CL23"/>
  <c r="CI51"/>
  <c r="GJ9"/>
  <c r="CL9"/>
  <c r="GA10"/>
  <c r="GG10" s="1"/>
  <c r="AS10"/>
  <c r="GT14"/>
  <c r="GZ14" s="1"/>
  <c r="EF14"/>
  <c r="CH51"/>
  <c r="AL51"/>
  <c r="GS46"/>
  <c r="EE46"/>
  <c r="GB40"/>
  <c r="GH40" s="1"/>
  <c r="AT40"/>
  <c r="ED28"/>
  <c r="AT48"/>
  <c r="GB48"/>
  <c r="GH48" s="1"/>
  <c r="CL41"/>
  <c r="GJ41"/>
  <c r="GP41" s="1"/>
  <c r="GH36"/>
  <c r="AT36"/>
  <c r="GT29"/>
  <c r="GZ29" s="1"/>
  <c r="EF29"/>
  <c r="GK24"/>
  <c r="GQ24" s="1"/>
  <c r="CM24"/>
  <c r="CL31"/>
  <c r="GJ31"/>
  <c r="GP31" s="1"/>
  <c r="AT29"/>
  <c r="GB29"/>
  <c r="GH29" s="1"/>
  <c r="ED27"/>
  <c r="GC19"/>
  <c r="AU19"/>
  <c r="GB18"/>
  <c r="GH18" s="1"/>
  <c r="AT18"/>
  <c r="CK22"/>
  <c r="AR16"/>
  <c r="GS10"/>
  <c r="GY10" s="1"/>
  <c r="EE10"/>
  <c r="AU11"/>
  <c r="GC11"/>
  <c r="GI11" s="1"/>
  <c r="CB51"/>
  <c r="AR15"/>
  <c r="AU15" s="1"/>
  <c r="CK48"/>
  <c r="GB37"/>
  <c r="GH37" s="1"/>
  <c r="AT37"/>
  <c r="GJ18"/>
  <c r="GP18" s="1"/>
  <c r="CL18"/>
  <c r="GL34"/>
  <c r="GR34" s="1"/>
  <c r="CN34"/>
  <c r="CM37"/>
  <c r="GK37"/>
  <c r="GQ37" s="1"/>
  <c r="GS30"/>
  <c r="GY30" s="1"/>
  <c r="EE30"/>
  <c r="GI36"/>
  <c r="GS31"/>
  <c r="GY31" s="1"/>
  <c r="EE31"/>
  <c r="GK29"/>
  <c r="GQ29" s="1"/>
  <c r="CM29"/>
  <c r="Q28"/>
  <c r="AR28"/>
  <c r="CN38"/>
  <c r="GL38"/>
  <c r="GR38" s="1"/>
  <c r="CK20"/>
  <c r="CJ51"/>
  <c r="GK9"/>
  <c r="CM9"/>
  <c r="CL22"/>
  <c r="GJ22"/>
  <c r="GP22" s="1"/>
  <c r="CK9"/>
  <c r="GB23"/>
  <c r="GH23" s="1"/>
  <c r="AT23"/>
  <c r="EF18"/>
  <c r="GT18"/>
  <c r="GZ18" s="1"/>
  <c r="CM18"/>
  <c r="GK18"/>
  <c r="GQ18" s="1"/>
  <c r="ED21"/>
  <c r="GJ33"/>
  <c r="GP33" s="1"/>
  <c r="CL33"/>
  <c r="CK30"/>
  <c r="CK23"/>
  <c r="GK40"/>
  <c r="GQ40" s="1"/>
  <c r="CM40"/>
  <c r="CK33"/>
  <c r="GT37"/>
  <c r="GZ37" s="1"/>
  <c r="EF37"/>
  <c r="CN46"/>
  <c r="GL46"/>
  <c r="AR43"/>
  <c r="Q43"/>
  <c r="ED39"/>
  <c r="AT24"/>
  <c r="GB24"/>
  <c r="GH24" s="1"/>
  <c r="GA20"/>
  <c r="GG20" s="1"/>
  <c r="AS20"/>
  <c r="GQ10"/>
  <c r="CM10"/>
  <c r="GL10"/>
  <c r="GR10" s="1"/>
  <c r="CN10"/>
  <c r="GL11"/>
  <c r="GR11" s="1"/>
  <c r="CN11"/>
  <c r="EC51"/>
  <c r="GT9"/>
  <c r="EF9"/>
  <c r="CM12"/>
  <c r="EG11"/>
  <c r="GU11"/>
  <c r="HA11" s="1"/>
  <c r="AO51"/>
  <c r="GT48"/>
  <c r="GZ48" s="1"/>
  <c r="EF48"/>
  <c r="GT40"/>
  <c r="GZ40" s="1"/>
  <c r="EF40"/>
  <c r="ED31"/>
  <c r="ED34"/>
  <c r="EG42"/>
  <c r="GU42"/>
  <c r="HA42" s="1"/>
  <c r="CL38"/>
  <c r="GJ38"/>
  <c r="GP38" s="1"/>
  <c r="AS27"/>
  <c r="GA27"/>
  <c r="GG27" s="1"/>
  <c r="ED46"/>
  <c r="CL43"/>
  <c r="GJ43"/>
  <c r="GP43" s="1"/>
  <c r="Q18"/>
  <c r="AR18"/>
  <c r="GK21"/>
  <c r="GQ21" s="1"/>
  <c r="CM21"/>
  <c r="Q21"/>
  <c r="AR21"/>
  <c r="N51"/>
  <c r="AR9"/>
  <c r="Q9"/>
  <c r="GU24"/>
  <c r="HA24" s="1"/>
  <c r="EG24"/>
  <c r="AR20"/>
  <c r="Q20"/>
  <c r="GU48"/>
  <c r="HA48" s="1"/>
  <c r="EG48"/>
  <c r="CN41"/>
  <c r="GL41"/>
  <c r="GR41" s="1"/>
  <c r="ED22"/>
  <c r="CM27"/>
  <c r="GK27"/>
  <c r="GQ27" s="1"/>
  <c r="GA13"/>
  <c r="GG13" s="1"/>
  <c r="AS13"/>
  <c r="GJ11"/>
  <c r="GP11" s="1"/>
  <c r="CL11"/>
  <c r="CL15"/>
  <c r="GJ15"/>
  <c r="GP15" s="1"/>
  <c r="AT21"/>
  <c r="GB21"/>
  <c r="GH21" s="1"/>
  <c r="EE9"/>
  <c r="GS9"/>
  <c r="CL13"/>
  <c r="GJ13"/>
  <c r="GP13" s="1"/>
  <c r="AU10"/>
  <c r="GC10"/>
  <c r="GI10" s="1"/>
  <c r="CE51"/>
  <c r="CK39"/>
  <c r="FE12" i="5"/>
  <c r="EV12"/>
  <c r="EM12"/>
  <c r="K16" i="24" l="1"/>
  <c r="T16"/>
  <c r="CN21" i="23"/>
  <c r="GA51"/>
  <c r="GG51" s="1"/>
  <c r="N16" i="24"/>
  <c r="EG13" i="23"/>
  <c r="AU44"/>
  <c r="GC44"/>
  <c r="CN24"/>
  <c r="BH16" i="24"/>
  <c r="CN47" i="23"/>
  <c r="EG33"/>
  <c r="CN28"/>
  <c r="GU20"/>
  <c r="HA20" s="1"/>
  <c r="AU22"/>
  <c r="EG37"/>
  <c r="GL18"/>
  <c r="GR18" s="1"/>
  <c r="GU29"/>
  <c r="HA29" s="1"/>
  <c r="GC45"/>
  <c r="GI45" s="1"/>
  <c r="GC37"/>
  <c r="GI37" s="1"/>
  <c r="GU30"/>
  <c r="HA30" s="1"/>
  <c r="AU29"/>
  <c r="AU30"/>
  <c r="EG35"/>
  <c r="GL12"/>
  <c r="AU12"/>
  <c r="GC12"/>
  <c r="CN45"/>
  <c r="GL45"/>
  <c r="GL37"/>
  <c r="GR37" s="1"/>
  <c r="GL31"/>
  <c r="GR31" s="1"/>
  <c r="EG18"/>
  <c r="GS36"/>
  <c r="GY36" s="1"/>
  <c r="EG12"/>
  <c r="AU46"/>
  <c r="GC46"/>
  <c r="EB51"/>
  <c r="AU31"/>
  <c r="AU50"/>
  <c r="GC50"/>
  <c r="GI50" s="1"/>
  <c r="AU27"/>
  <c r="HD51"/>
  <c r="HJ51" s="1"/>
  <c r="GL29"/>
  <c r="GR29" s="1"/>
  <c r="GC13"/>
  <c r="GI13" s="1"/>
  <c r="GC35"/>
  <c r="GI35" s="1"/>
  <c r="AU18"/>
  <c r="GC18"/>
  <c r="GI18" s="1"/>
  <c r="GU31"/>
  <c r="HA31" s="1"/>
  <c r="EG31"/>
  <c r="GT51"/>
  <c r="GZ51" s="1"/>
  <c r="GZ9"/>
  <c r="EG39"/>
  <c r="GU39"/>
  <c r="EG26"/>
  <c r="GU26"/>
  <c r="HA26" s="1"/>
  <c r="AU48"/>
  <c r="GC48"/>
  <c r="GI48" s="1"/>
  <c r="GU34"/>
  <c r="HA34" s="1"/>
  <c r="EG34"/>
  <c r="GU27"/>
  <c r="HA27" s="1"/>
  <c r="EG27"/>
  <c r="GU28"/>
  <c r="EG28"/>
  <c r="EG40"/>
  <c r="GU40"/>
  <c r="HA40" s="1"/>
  <c r="GL36"/>
  <c r="GR36" s="1"/>
  <c r="CN36"/>
  <c r="CN35"/>
  <c r="GL35"/>
  <c r="GR35" s="1"/>
  <c r="GG9"/>
  <c r="GL43"/>
  <c r="GR43" s="1"/>
  <c r="CN43"/>
  <c r="GC47"/>
  <c r="GI47" s="1"/>
  <c r="AU47"/>
  <c r="GY9"/>
  <c r="GL30"/>
  <c r="GR30" s="1"/>
  <c r="CN30"/>
  <c r="GC26"/>
  <c r="GI26" s="1"/>
  <c r="AU26"/>
  <c r="GB51"/>
  <c r="GH51" s="1"/>
  <c r="GH9"/>
  <c r="CN40"/>
  <c r="GL40"/>
  <c r="GR40" s="1"/>
  <c r="GU46"/>
  <c r="EG46"/>
  <c r="AU34"/>
  <c r="GC34"/>
  <c r="GI34" s="1"/>
  <c r="CN48"/>
  <c r="GL48"/>
  <c r="GR48" s="1"/>
  <c r="EG36"/>
  <c r="GU36"/>
  <c r="HA36" s="1"/>
  <c r="CN23"/>
  <c r="GL23"/>
  <c r="GR23" s="1"/>
  <c r="GL22"/>
  <c r="GR22" s="1"/>
  <c r="CN22"/>
  <c r="GJ51"/>
  <c r="GP51" s="1"/>
  <c r="GP9"/>
  <c r="GL13"/>
  <c r="GR13" s="1"/>
  <c r="CN13"/>
  <c r="AU40"/>
  <c r="GC40"/>
  <c r="GI40" s="1"/>
  <c r="AR51"/>
  <c r="GC9"/>
  <c r="GI9" s="1"/>
  <c r="AU9"/>
  <c r="GU21"/>
  <c r="HA21" s="1"/>
  <c r="EG21"/>
  <c r="ED51"/>
  <c r="EG9"/>
  <c r="GU9"/>
  <c r="EG22"/>
  <c r="GU22"/>
  <c r="HA22" s="1"/>
  <c r="GL20"/>
  <c r="GR20" s="1"/>
  <c r="CN20"/>
  <c r="GC16"/>
  <c r="GI16" s="1"/>
  <c r="AU16"/>
  <c r="AU23"/>
  <c r="GC23"/>
  <c r="GI23" s="1"/>
  <c r="EG47"/>
  <c r="GU47"/>
  <c r="HA47" s="1"/>
  <c r="GL33"/>
  <c r="GR33" s="1"/>
  <c r="CN33"/>
  <c r="GK51"/>
  <c r="GQ51" s="1"/>
  <c r="GQ9"/>
  <c r="GC20"/>
  <c r="GI20" s="1"/>
  <c r="AU20"/>
  <c r="GC21"/>
  <c r="GI21" s="1"/>
  <c r="AU21"/>
  <c r="CN39"/>
  <c r="GL39"/>
  <c r="GC43"/>
  <c r="GI43" s="1"/>
  <c r="AU43"/>
  <c r="CK51"/>
  <c r="GL9"/>
  <c r="CN9"/>
  <c r="GC28"/>
  <c r="GI28" s="1"/>
  <c r="AU28"/>
  <c r="GC15"/>
  <c r="GI15" s="1"/>
  <c r="B44" i="20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B42"/>
  <c r="B41"/>
  <c r="B40"/>
  <c r="B39"/>
  <c r="B38"/>
  <c r="B37"/>
  <c r="O31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T25"/>
  <c r="T10" s="1"/>
  <c r="S25"/>
  <c r="S10" s="1"/>
  <c r="R25"/>
  <c r="R10" s="1"/>
  <c r="Q25"/>
  <c r="Q10" s="1"/>
  <c r="P25"/>
  <c r="P10" s="1"/>
  <c r="O25"/>
  <c r="O10" s="1"/>
  <c r="N25"/>
  <c r="N10" s="1"/>
  <c r="M25"/>
  <c r="M10" s="1"/>
  <c r="L25"/>
  <c r="L10" s="1"/>
  <c r="K25"/>
  <c r="K10" s="1"/>
  <c r="J25"/>
  <c r="J10" s="1"/>
  <c r="I25"/>
  <c r="I10" s="1"/>
  <c r="H25"/>
  <c r="H10" s="1"/>
  <c r="G25"/>
  <c r="G10" s="1"/>
  <c r="F25"/>
  <c r="F10" s="1"/>
  <c r="E25"/>
  <c r="E10" s="1"/>
  <c r="D25"/>
  <c r="D10" s="1"/>
  <c r="C25"/>
  <c r="C10" s="1"/>
  <c r="T24"/>
  <c r="T39" s="1"/>
  <c r="S24"/>
  <c r="S39" s="1"/>
  <c r="R24"/>
  <c r="R39" s="1"/>
  <c r="Q24"/>
  <c r="Q39" s="1"/>
  <c r="P24"/>
  <c r="P39" s="1"/>
  <c r="O24"/>
  <c r="O39" s="1"/>
  <c r="N24"/>
  <c r="N39" s="1"/>
  <c r="M24"/>
  <c r="M39" s="1"/>
  <c r="L24"/>
  <c r="L39" s="1"/>
  <c r="K24"/>
  <c r="K39" s="1"/>
  <c r="J24"/>
  <c r="J39" s="1"/>
  <c r="I24"/>
  <c r="I39" s="1"/>
  <c r="H24"/>
  <c r="H39" s="1"/>
  <c r="G24"/>
  <c r="G39" s="1"/>
  <c r="F24"/>
  <c r="F39" s="1"/>
  <c r="E24"/>
  <c r="E39" s="1"/>
  <c r="D24"/>
  <c r="D39" s="1"/>
  <c r="C24"/>
  <c r="C39" s="1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O16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T8"/>
  <c r="S8"/>
  <c r="R8"/>
  <c r="Q8"/>
  <c r="P8"/>
  <c r="O8"/>
  <c r="N8"/>
  <c r="M8"/>
  <c r="L8"/>
  <c r="K8"/>
  <c r="J8"/>
  <c r="I8"/>
  <c r="H8"/>
  <c r="G8"/>
  <c r="F8"/>
  <c r="E8"/>
  <c r="D8"/>
  <c r="C8"/>
  <c r="T7"/>
  <c r="S7"/>
  <c r="R7"/>
  <c r="Q7"/>
  <c r="P7"/>
  <c r="O7"/>
  <c r="N7"/>
  <c r="M7"/>
  <c r="L7"/>
  <c r="K7"/>
  <c r="J7"/>
  <c r="I7"/>
  <c r="H7"/>
  <c r="G7"/>
  <c r="F7"/>
  <c r="E7"/>
  <c r="D7"/>
  <c r="C7"/>
  <c r="O1"/>
  <c r="N37" l="1"/>
  <c r="GS51" i="23"/>
  <c r="GY51" s="1"/>
  <c r="H44" i="20"/>
  <c r="GL51" i="23"/>
  <c r="GR51" s="1"/>
  <c r="GR9"/>
  <c r="GU51"/>
  <c r="HA51" s="1"/>
  <c r="HA9"/>
  <c r="GC51"/>
  <c r="GI51" s="1"/>
  <c r="D38" i="20"/>
  <c r="L38"/>
  <c r="D44"/>
  <c r="L44"/>
  <c r="T44"/>
  <c r="I44"/>
  <c r="E37"/>
  <c r="S38"/>
  <c r="S44"/>
  <c r="O37"/>
  <c r="E44"/>
  <c r="H37"/>
  <c r="N38"/>
  <c r="I37"/>
  <c r="O38"/>
  <c r="O44"/>
  <c r="K44"/>
  <c r="E38"/>
  <c r="F38"/>
  <c r="F44"/>
  <c r="Q37"/>
  <c r="R37"/>
  <c r="P38"/>
  <c r="K38"/>
  <c r="C44"/>
  <c r="G37"/>
  <c r="M44"/>
  <c r="C38"/>
  <c r="N44"/>
  <c r="T38"/>
  <c r="G38"/>
  <c r="J37"/>
  <c r="H38"/>
  <c r="C37"/>
  <c r="K37"/>
  <c r="S37"/>
  <c r="I38"/>
  <c r="Q38"/>
  <c r="M37"/>
  <c r="M38"/>
  <c r="P37"/>
  <c r="J38"/>
  <c r="R38"/>
  <c r="F37"/>
  <c r="P44"/>
  <c r="Q44"/>
  <c r="J44"/>
  <c r="R44"/>
  <c r="G44"/>
  <c r="D37"/>
  <c r="L37"/>
  <c r="T37"/>
  <c r="R1" i="13"/>
  <c r="C1" i="11" l="1"/>
  <c r="R55" i="5"/>
  <c r="AG55" s="1"/>
  <c r="AV55" s="1"/>
  <c r="BK55" s="1"/>
  <c r="BZ55" s="1"/>
  <c r="CO55" s="1"/>
  <c r="DD55" s="1"/>
  <c r="DS55" s="1"/>
  <c r="C11" i="10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EQ55" i="5" l="1"/>
  <c r="EZ55" s="1"/>
  <c r="EH55"/>
  <c r="R54"/>
  <c r="AG54" s="1"/>
  <c r="AV54" s="1"/>
  <c r="BK54" s="1"/>
  <c r="BZ54" s="1"/>
  <c r="CO54" s="1"/>
  <c r="DD54" s="1"/>
  <c r="DS54" s="1"/>
  <c r="R53"/>
  <c r="AG53" s="1"/>
  <c r="AV53" s="1"/>
  <c r="BK53" s="1"/>
  <c r="BZ53" s="1"/>
  <c r="CO53" s="1"/>
  <c r="DD53" s="1"/>
  <c r="DS53" s="1"/>
  <c r="R52"/>
  <c r="AG52" s="1"/>
  <c r="AV52" s="1"/>
  <c r="BK52" s="1"/>
  <c r="BZ52" s="1"/>
  <c r="CO52" s="1"/>
  <c r="DD52" s="1"/>
  <c r="DS52" s="1"/>
  <c r="EH54" l="1"/>
  <c r="EQ54"/>
  <c r="EZ54" s="1"/>
  <c r="EH53"/>
  <c r="EQ53"/>
  <c r="EZ53" s="1"/>
  <c r="EH52"/>
  <c r="EQ52"/>
  <c r="EZ52" s="1"/>
  <c r="Z44" i="13"/>
  <c r="W44"/>
  <c r="DS18" i="5"/>
  <c r="DT18"/>
  <c r="AG18"/>
  <c r="AH18"/>
  <c r="AJ18"/>
  <c r="AK18"/>
  <c r="AM18"/>
  <c r="AN18"/>
  <c r="BZ18"/>
  <c r="CA18"/>
  <c r="CC18"/>
  <c r="CD18"/>
  <c r="CF18"/>
  <c r="CG18"/>
  <c r="AS14" i="11"/>
  <c r="AT14"/>
  <c r="AR14"/>
  <c r="AJ14"/>
  <c r="AK14"/>
  <c r="AI14"/>
  <c r="Y14"/>
  <c r="X14"/>
  <c r="S14"/>
  <c r="R14"/>
  <c r="P14"/>
  <c r="O14"/>
  <c r="M14"/>
  <c r="L14"/>
  <c r="H14"/>
  <c r="Y59" i="13"/>
  <c r="X59"/>
  <c r="M59"/>
  <c r="L59"/>
  <c r="G59"/>
  <c r="S59" s="1"/>
  <c r="F59"/>
  <c r="R59" s="1"/>
  <c r="D59"/>
  <c r="C59"/>
  <c r="Y51" i="14"/>
  <c r="X51"/>
  <c r="I52"/>
  <c r="J52"/>
  <c r="K52"/>
  <c r="P46"/>
  <c r="O46"/>
  <c r="M51"/>
  <c r="L51"/>
  <c r="G51"/>
  <c r="S51" s="1"/>
  <c r="F51"/>
  <c r="R51" s="1"/>
  <c r="D51"/>
  <c r="D52" s="1"/>
  <c r="C51"/>
  <c r="M51" i="15"/>
  <c r="L51"/>
  <c r="G51"/>
  <c r="S51" s="1"/>
  <c r="F51"/>
  <c r="D51"/>
  <c r="Y51"/>
  <c r="X51"/>
  <c r="C51"/>
  <c r="CY9" i="5"/>
  <c r="CY37"/>
  <c r="CY12"/>
  <c r="CY23"/>
  <c r="CY21"/>
  <c r="CY26"/>
  <c r="CY38"/>
  <c r="CY39"/>
  <c r="CY48"/>
  <c r="CY49"/>
  <c r="CY40"/>
  <c r="CY41"/>
  <c r="CY50"/>
  <c r="CY43"/>
  <c r="CY42"/>
  <c r="CY27"/>
  <c r="CY28"/>
  <c r="CY30"/>
  <c r="CY29"/>
  <c r="CY46"/>
  <c r="CY32"/>
  <c r="CY33"/>
  <c r="CY34"/>
  <c r="CY47"/>
  <c r="CY36"/>
  <c r="CY22"/>
  <c r="CY24"/>
  <c r="CY31"/>
  <c r="CY35"/>
  <c r="CY20"/>
  <c r="CY18"/>
  <c r="CY14"/>
  <c r="CY15"/>
  <c r="CY16"/>
  <c r="CY13"/>
  <c r="CY10"/>
  <c r="E51" i="15" l="1"/>
  <c r="Q14" i="11"/>
  <c r="N51" i="15"/>
  <c r="AD51" i="14"/>
  <c r="Z51"/>
  <c r="N51"/>
  <c r="CY51" i="5"/>
  <c r="T14" i="11"/>
  <c r="E59" i="13"/>
  <c r="Z59"/>
  <c r="E14" i="11"/>
  <c r="Z14"/>
  <c r="AE59" i="13"/>
  <c r="Z51" i="15"/>
  <c r="E51" i="14"/>
  <c r="P51"/>
  <c r="AE51"/>
  <c r="O51"/>
  <c r="H51"/>
  <c r="T51" s="1"/>
  <c r="AD59" i="13"/>
  <c r="N59"/>
  <c r="H59"/>
  <c r="T59" s="1"/>
  <c r="AE51" i="15"/>
  <c r="H51"/>
  <c r="T51" s="1"/>
  <c r="R51"/>
  <c r="AD51" s="1"/>
  <c r="U9" i="11"/>
  <c r="V9"/>
  <c r="U10"/>
  <c r="V10"/>
  <c r="U11"/>
  <c r="V11"/>
  <c r="U12"/>
  <c r="V12"/>
  <c r="U13"/>
  <c r="V13"/>
  <c r="U14"/>
  <c r="AA14" s="1"/>
  <c r="V14"/>
  <c r="AB14" s="1"/>
  <c r="W14"/>
  <c r="V8"/>
  <c r="FE15" i="5"/>
  <c r="FE16"/>
  <c r="FE23"/>
  <c r="FE31"/>
  <c r="FE35"/>
  <c r="FE20"/>
  <c r="FE18"/>
  <c r="FE21"/>
  <c r="FE22"/>
  <c r="FE24"/>
  <c r="FE26"/>
  <c r="FE27"/>
  <c r="FE30"/>
  <c r="FE29"/>
  <c r="FE33"/>
  <c r="FE34"/>
  <c r="FE47"/>
  <c r="FE36"/>
  <c r="FE38"/>
  <c r="FE39"/>
  <c r="FE48"/>
  <c r="FE49"/>
  <c r="FE40"/>
  <c r="FE41"/>
  <c r="FE43"/>
  <c r="FE10"/>
  <c r="DV34"/>
  <c r="DW34"/>
  <c r="DY34"/>
  <c r="DZ34"/>
  <c r="EA34"/>
  <c r="DS30"/>
  <c r="DT30"/>
  <c r="DV30"/>
  <c r="DW30"/>
  <c r="DY30"/>
  <c r="DZ30"/>
  <c r="CX34"/>
  <c r="BZ10"/>
  <c r="CA10"/>
  <c r="T17"/>
  <c r="Y51" i="18"/>
  <c r="X51"/>
  <c r="V51"/>
  <c r="U51"/>
  <c r="N51"/>
  <c r="M51"/>
  <c r="L51"/>
  <c r="K51"/>
  <c r="J51"/>
  <c r="I51"/>
  <c r="H51"/>
  <c r="G51"/>
  <c r="F51"/>
  <c r="E51"/>
  <c r="D51"/>
  <c r="C51"/>
  <c r="O46"/>
  <c r="P46"/>
  <c r="Q46"/>
  <c r="O47"/>
  <c r="P47"/>
  <c r="Q47"/>
  <c r="O48"/>
  <c r="P48"/>
  <c r="Q48"/>
  <c r="O49"/>
  <c r="P49"/>
  <c r="Q49"/>
  <c r="O50"/>
  <c r="P50"/>
  <c r="Q50"/>
  <c r="P45"/>
  <c r="Q45"/>
  <c r="O45"/>
  <c r="S38"/>
  <c r="Z31"/>
  <c r="Z51" s="1"/>
  <c r="W31"/>
  <c r="Z29"/>
  <c r="W29"/>
  <c r="S29"/>
  <c r="R29"/>
  <c r="N51" i="17"/>
  <c r="M51"/>
  <c r="L51"/>
  <c r="K51"/>
  <c r="J51"/>
  <c r="I51"/>
  <c r="H51"/>
  <c r="G51"/>
  <c r="F51"/>
  <c r="E51"/>
  <c r="D51"/>
  <c r="C51"/>
  <c r="O46"/>
  <c r="P46"/>
  <c r="Q46"/>
  <c r="O47"/>
  <c r="P47"/>
  <c r="Q47"/>
  <c r="O48"/>
  <c r="P48"/>
  <c r="Q48"/>
  <c r="O49"/>
  <c r="P49"/>
  <c r="Q49"/>
  <c r="O50"/>
  <c r="P50"/>
  <c r="Q50"/>
  <c r="P45"/>
  <c r="Q45"/>
  <c r="O45"/>
  <c r="Y43"/>
  <c r="Y51" s="1"/>
  <c r="X43"/>
  <c r="X51" s="1"/>
  <c r="V43"/>
  <c r="V51" s="1"/>
  <c r="U43"/>
  <c r="U51" s="1"/>
  <c r="Z42"/>
  <c r="W42"/>
  <c r="Z41"/>
  <c r="W41"/>
  <c r="Z40"/>
  <c r="W40"/>
  <c r="Z39"/>
  <c r="W39"/>
  <c r="Z37"/>
  <c r="W37"/>
  <c r="Z36"/>
  <c r="W36"/>
  <c r="Z35"/>
  <c r="W35"/>
  <c r="Z34"/>
  <c r="W34"/>
  <c r="Z33"/>
  <c r="W33"/>
  <c r="Z32"/>
  <c r="W32"/>
  <c r="Z30"/>
  <c r="W30"/>
  <c r="Z28"/>
  <c r="W28"/>
  <c r="Z27"/>
  <c r="W27"/>
  <c r="Z26"/>
  <c r="W26"/>
  <c r="Z25"/>
  <c r="W25"/>
  <c r="Z24"/>
  <c r="W24"/>
  <c r="Z22"/>
  <c r="W22"/>
  <c r="Z21"/>
  <c r="W21"/>
  <c r="Z20"/>
  <c r="W20"/>
  <c r="Z17"/>
  <c r="W17"/>
  <c r="Z16"/>
  <c r="W16"/>
  <c r="Z15"/>
  <c r="W15"/>
  <c r="Z14"/>
  <c r="W14"/>
  <c r="Z13"/>
  <c r="W13"/>
  <c r="Z12"/>
  <c r="W12"/>
  <c r="Z10"/>
  <c r="W10"/>
  <c r="Z9"/>
  <c r="W9"/>
  <c r="Z52" i="16"/>
  <c r="Y52"/>
  <c r="X52"/>
  <c r="W52"/>
  <c r="V52"/>
  <c r="U52"/>
  <c r="N52"/>
  <c r="M52"/>
  <c r="L52"/>
  <c r="K52"/>
  <c r="J52"/>
  <c r="I52"/>
  <c r="H52"/>
  <c r="G52"/>
  <c r="F52"/>
  <c r="E52"/>
  <c r="D52"/>
  <c r="C52"/>
  <c r="O47"/>
  <c r="P47"/>
  <c r="Q47"/>
  <c r="O48"/>
  <c r="P48"/>
  <c r="Q48"/>
  <c r="O49"/>
  <c r="P49"/>
  <c r="Q49"/>
  <c r="O50"/>
  <c r="P50"/>
  <c r="Q50"/>
  <c r="O51"/>
  <c r="P51"/>
  <c r="Q51"/>
  <c r="P46"/>
  <c r="Q46"/>
  <c r="O46"/>
  <c r="Y52" i="15"/>
  <c r="X52"/>
  <c r="V52"/>
  <c r="U52"/>
  <c r="K52"/>
  <c r="J52"/>
  <c r="I52"/>
  <c r="O47"/>
  <c r="P47"/>
  <c r="O48"/>
  <c r="P48"/>
  <c r="O51"/>
  <c r="P51"/>
  <c r="Q51"/>
  <c r="M50"/>
  <c r="L50"/>
  <c r="O50" s="1"/>
  <c r="M49"/>
  <c r="L49"/>
  <c r="N48"/>
  <c r="N47"/>
  <c r="N46"/>
  <c r="G50"/>
  <c r="S50" s="1"/>
  <c r="F50"/>
  <c r="E50"/>
  <c r="Z49"/>
  <c r="W49"/>
  <c r="G49"/>
  <c r="S49" s="1"/>
  <c r="F49"/>
  <c r="E49"/>
  <c r="Z48"/>
  <c r="W48"/>
  <c r="S48"/>
  <c r="AB48" s="1"/>
  <c r="R48"/>
  <c r="AA48" s="1"/>
  <c r="H48"/>
  <c r="T48" s="1"/>
  <c r="E48"/>
  <c r="S47"/>
  <c r="R47"/>
  <c r="H47"/>
  <c r="T47" s="1"/>
  <c r="E47"/>
  <c r="Z46"/>
  <c r="W46"/>
  <c r="S46"/>
  <c r="R46"/>
  <c r="AD46" s="1"/>
  <c r="H46"/>
  <c r="T46" s="1"/>
  <c r="D46"/>
  <c r="D52" s="1"/>
  <c r="C46"/>
  <c r="C52" s="1"/>
  <c r="Z34"/>
  <c r="W34"/>
  <c r="Z32"/>
  <c r="W32"/>
  <c r="S30"/>
  <c r="Z28"/>
  <c r="W28"/>
  <c r="R28"/>
  <c r="Z24"/>
  <c r="W24"/>
  <c r="Z10"/>
  <c r="W10"/>
  <c r="O52" i="16" l="1"/>
  <c r="O51" i="17"/>
  <c r="W51" i="18"/>
  <c r="AF51" i="14"/>
  <c r="Q51"/>
  <c r="F52" i="15"/>
  <c r="M52"/>
  <c r="P52" s="1"/>
  <c r="Q47"/>
  <c r="P51" i="17"/>
  <c r="O51" i="18"/>
  <c r="AF51" i="15"/>
  <c r="G52"/>
  <c r="P52" i="16"/>
  <c r="Q51" i="18"/>
  <c r="AF59" i="13"/>
  <c r="AC14" i="11"/>
  <c r="W52" i="15"/>
  <c r="N49"/>
  <c r="Q49" s="1"/>
  <c r="P51" i="18"/>
  <c r="Q52" i="16"/>
  <c r="Z52" i="15"/>
  <c r="N50"/>
  <c r="Q50" s="1"/>
  <c r="AC48"/>
  <c r="Q48"/>
  <c r="L52"/>
  <c r="O52" s="1"/>
  <c r="O49"/>
  <c r="Q51" i="17"/>
  <c r="S31" i="18"/>
  <c r="AE29"/>
  <c r="AB29"/>
  <c r="AD29"/>
  <c r="AA29"/>
  <c r="S9"/>
  <c r="R9"/>
  <c r="R38"/>
  <c r="T38"/>
  <c r="T29"/>
  <c r="AF29" s="1"/>
  <c r="Z43" i="17"/>
  <c r="Z51" s="1"/>
  <c r="T12"/>
  <c r="T25"/>
  <c r="S25"/>
  <c r="T28"/>
  <c r="R25"/>
  <c r="T26"/>
  <c r="S41"/>
  <c r="R40"/>
  <c r="S9"/>
  <c r="S12"/>
  <c r="R21"/>
  <c r="R24"/>
  <c r="S26"/>
  <c r="S28"/>
  <c r="R9"/>
  <c r="R12"/>
  <c r="S14"/>
  <c r="S16"/>
  <c r="R26"/>
  <c r="R28"/>
  <c r="S34"/>
  <c r="W43"/>
  <c r="W51" s="1"/>
  <c r="H49" i="15"/>
  <c r="T49" s="1"/>
  <c r="P46"/>
  <c r="P50"/>
  <c r="H50"/>
  <c r="T50" s="1"/>
  <c r="O46"/>
  <c r="P49"/>
  <c r="R49"/>
  <c r="AE46"/>
  <c r="AC46"/>
  <c r="E46"/>
  <c r="E52" s="1"/>
  <c r="AB46"/>
  <c r="AA46"/>
  <c r="AF48"/>
  <c r="AE48"/>
  <c r="R50"/>
  <c r="AF46"/>
  <c r="AD48"/>
  <c r="S24"/>
  <c r="S9"/>
  <c r="R32"/>
  <c r="AA28"/>
  <c r="AD28"/>
  <c r="S28"/>
  <c r="N52" l="1"/>
  <c r="Q52" s="1"/>
  <c r="S51" i="18"/>
  <c r="AC49" i="15"/>
  <c r="H52"/>
  <c r="AB31" i="18"/>
  <c r="AE31"/>
  <c r="AC29"/>
  <c r="R31"/>
  <c r="R51" s="1"/>
  <c r="AC25" i="17"/>
  <c r="AF25"/>
  <c r="T40"/>
  <c r="R42"/>
  <c r="R34"/>
  <c r="AB28"/>
  <c r="AE28"/>
  <c r="S24"/>
  <c r="S21"/>
  <c r="S35"/>
  <c r="R30"/>
  <c r="R10"/>
  <c r="R22"/>
  <c r="R20"/>
  <c r="AB25"/>
  <c r="AE25"/>
  <c r="R39"/>
  <c r="R16"/>
  <c r="S39"/>
  <c r="AE14"/>
  <c r="AB14"/>
  <c r="AA21"/>
  <c r="AD21"/>
  <c r="R35"/>
  <c r="AE41"/>
  <c r="AB41"/>
  <c r="S37"/>
  <c r="R43"/>
  <c r="S30"/>
  <c r="S27"/>
  <c r="T9"/>
  <c r="R41"/>
  <c r="S22"/>
  <c r="AD28"/>
  <c r="AA28"/>
  <c r="AB26"/>
  <c r="AE26"/>
  <c r="AA40"/>
  <c r="AD40"/>
  <c r="R32"/>
  <c r="R27"/>
  <c r="AC28"/>
  <c r="AF28"/>
  <c r="AE34"/>
  <c r="AB34"/>
  <c r="AD12"/>
  <c r="AA12"/>
  <c r="S10"/>
  <c r="R36"/>
  <c r="R14"/>
  <c r="AB12"/>
  <c r="AE12"/>
  <c r="R33"/>
  <c r="R17"/>
  <c r="R19"/>
  <c r="S32"/>
  <c r="S20"/>
  <c r="AA24"/>
  <c r="AD24"/>
  <c r="S15"/>
  <c r="S13"/>
  <c r="S40"/>
  <c r="AA25"/>
  <c r="AD25"/>
  <c r="AC12"/>
  <c r="AF12"/>
  <c r="S36"/>
  <c r="AD26"/>
  <c r="AA26"/>
  <c r="AB9"/>
  <c r="AE9"/>
  <c r="R15"/>
  <c r="S17"/>
  <c r="R13"/>
  <c r="S19"/>
  <c r="AE16"/>
  <c r="AB16"/>
  <c r="AD9"/>
  <c r="AA9"/>
  <c r="R37"/>
  <c r="S33"/>
  <c r="AC26"/>
  <c r="AF26"/>
  <c r="S9" i="16"/>
  <c r="S52" s="1"/>
  <c r="T9"/>
  <c r="T52" s="1"/>
  <c r="R9"/>
  <c r="R52" s="1"/>
  <c r="Q46" i="15"/>
  <c r="T32"/>
  <c r="T28"/>
  <c r="AE24"/>
  <c r="AB24"/>
  <c r="R34"/>
  <c r="AA32"/>
  <c r="AD32"/>
  <c r="R30"/>
  <c r="R9"/>
  <c r="R24"/>
  <c r="AB28"/>
  <c r="AE28"/>
  <c r="S34"/>
  <c r="S10"/>
  <c r="T10"/>
  <c r="S32"/>
  <c r="R10"/>
  <c r="AD51" i="18" l="1"/>
  <c r="AA51"/>
  <c r="S52" i="15"/>
  <c r="AB52" s="1"/>
  <c r="AC52" i="16"/>
  <c r="AF52"/>
  <c r="AB52"/>
  <c r="AE52"/>
  <c r="AB51" i="18"/>
  <c r="AE51"/>
  <c r="AD52" i="16"/>
  <c r="AA52"/>
  <c r="R52" i="15"/>
  <c r="T31" i="18"/>
  <c r="AA31"/>
  <c r="AD31"/>
  <c r="T9"/>
  <c r="T42" i="17"/>
  <c r="AA13"/>
  <c r="AD13"/>
  <c r="AA37"/>
  <c r="AD37"/>
  <c r="T33"/>
  <c r="AE39"/>
  <c r="AB39"/>
  <c r="AB17"/>
  <c r="AE17"/>
  <c r="S18"/>
  <c r="T37"/>
  <c r="T27"/>
  <c r="S42"/>
  <c r="AC9"/>
  <c r="AF9"/>
  <c r="AD39"/>
  <c r="AA39"/>
  <c r="AA20"/>
  <c r="AD20"/>
  <c r="AB24"/>
  <c r="AE24"/>
  <c r="AD34"/>
  <c r="AA34"/>
  <c r="T19"/>
  <c r="R18"/>
  <c r="R51" s="1"/>
  <c r="AB30"/>
  <c r="AE30"/>
  <c r="T39"/>
  <c r="T34"/>
  <c r="AA42"/>
  <c r="AD42"/>
  <c r="AF40"/>
  <c r="AC40"/>
  <c r="AA27"/>
  <c r="AD27"/>
  <c r="AE22"/>
  <c r="AB22"/>
  <c r="T41"/>
  <c r="T22"/>
  <c r="T30"/>
  <c r="AB21"/>
  <c r="AE21"/>
  <c r="S43"/>
  <c r="AA17"/>
  <c r="AD17"/>
  <c r="AD36"/>
  <c r="AA36"/>
  <c r="AA35"/>
  <c r="AD35"/>
  <c r="T10"/>
  <c r="AB33"/>
  <c r="AE33"/>
  <c r="T13"/>
  <c r="AA15"/>
  <c r="AD15"/>
  <c r="AE36"/>
  <c r="AB36"/>
  <c r="AB13"/>
  <c r="AE13"/>
  <c r="T17"/>
  <c r="T36"/>
  <c r="AD32"/>
  <c r="AA32"/>
  <c r="AA41"/>
  <c r="AD41"/>
  <c r="AB27"/>
  <c r="AE27"/>
  <c r="T35"/>
  <c r="AD16"/>
  <c r="AA16"/>
  <c r="AA22"/>
  <c r="AD22"/>
  <c r="AA10"/>
  <c r="AD10"/>
  <c r="AA30"/>
  <c r="AD30"/>
  <c r="AB35"/>
  <c r="AE35"/>
  <c r="T15"/>
  <c r="AE32"/>
  <c r="AB32"/>
  <c r="AD14"/>
  <c r="AA14"/>
  <c r="T21"/>
  <c r="T32"/>
  <c r="AA43"/>
  <c r="AD43"/>
  <c r="AB37"/>
  <c r="AE37"/>
  <c r="T16"/>
  <c r="AB40"/>
  <c r="AE40"/>
  <c r="AB15"/>
  <c r="AE15"/>
  <c r="AE20"/>
  <c r="AB20"/>
  <c r="AA33"/>
  <c r="AD33"/>
  <c r="T14"/>
  <c r="T24"/>
  <c r="AB10"/>
  <c r="AE10"/>
  <c r="T20"/>
  <c r="AF10" i="15"/>
  <c r="AC10"/>
  <c r="AA34"/>
  <c r="AD34"/>
  <c r="AB10"/>
  <c r="AE10"/>
  <c r="AF28"/>
  <c r="AC28"/>
  <c r="AA24"/>
  <c r="AD24"/>
  <c r="AA10"/>
  <c r="AD10"/>
  <c r="T30"/>
  <c r="T24"/>
  <c r="AB32"/>
  <c r="AE32"/>
  <c r="AC32"/>
  <c r="AF32"/>
  <c r="T9"/>
  <c r="AB34"/>
  <c r="AE34"/>
  <c r="T34"/>
  <c r="AE52" l="1"/>
  <c r="T51" i="18"/>
  <c r="AD52" i="15"/>
  <c r="AA52"/>
  <c r="T52"/>
  <c r="AA51" i="17"/>
  <c r="AD51"/>
  <c r="S51"/>
  <c r="AC31" i="18"/>
  <c r="AF31"/>
  <c r="AC24" i="17"/>
  <c r="AF24"/>
  <c r="AC13"/>
  <c r="AF13"/>
  <c r="AC20"/>
  <c r="AF20"/>
  <c r="T43"/>
  <c r="AF15"/>
  <c r="AC15"/>
  <c r="AF10"/>
  <c r="AC10"/>
  <c r="AF22"/>
  <c r="AC22"/>
  <c r="AF41"/>
  <c r="AC41"/>
  <c r="AC33"/>
  <c r="AF33"/>
  <c r="AF34"/>
  <c r="AC34"/>
  <c r="AC21"/>
  <c r="AF21"/>
  <c r="AC17"/>
  <c r="AF17"/>
  <c r="T18"/>
  <c r="AE42"/>
  <c r="AB42"/>
  <c r="AF27"/>
  <c r="AC27"/>
  <c r="AC14"/>
  <c r="AF14"/>
  <c r="AF30"/>
  <c r="AC30"/>
  <c r="AF39"/>
  <c r="AC39"/>
  <c r="AC42"/>
  <c r="AF42"/>
  <c r="AF32"/>
  <c r="AC32"/>
  <c r="AC35"/>
  <c r="AF35"/>
  <c r="AC37"/>
  <c r="AF37"/>
  <c r="AC16"/>
  <c r="AF16"/>
  <c r="AF36"/>
  <c r="AC36"/>
  <c r="AB43"/>
  <c r="AE43"/>
  <c r="AF34" i="15"/>
  <c r="AC34"/>
  <c r="AC24"/>
  <c r="AF24"/>
  <c r="AC51" i="18" l="1"/>
  <c r="AF51"/>
  <c r="AF52" i="15"/>
  <c r="AC52"/>
  <c r="T51" i="17"/>
  <c r="AF51" s="1"/>
  <c r="AE51"/>
  <c r="AB51"/>
  <c r="AF43"/>
  <c r="AC43"/>
  <c r="I60" i="13"/>
  <c r="J60"/>
  <c r="K60"/>
  <c r="Y52" i="14"/>
  <c r="X52"/>
  <c r="V52"/>
  <c r="U52"/>
  <c r="C52"/>
  <c r="M50"/>
  <c r="P50" s="1"/>
  <c r="L50"/>
  <c r="M48"/>
  <c r="P48" s="1"/>
  <c r="L48"/>
  <c r="O48" s="1"/>
  <c r="M47"/>
  <c r="P47" s="1"/>
  <c r="L47"/>
  <c r="N46"/>
  <c r="G50"/>
  <c r="S50" s="1"/>
  <c r="F50"/>
  <c r="E50"/>
  <c r="Z48"/>
  <c r="W48"/>
  <c r="G48"/>
  <c r="S48" s="1"/>
  <c r="AB48" s="1"/>
  <c r="F48"/>
  <c r="E48"/>
  <c r="G47"/>
  <c r="F47"/>
  <c r="E47"/>
  <c r="Z46"/>
  <c r="W46"/>
  <c r="S46"/>
  <c r="R46"/>
  <c r="AD46" s="1"/>
  <c r="H46"/>
  <c r="E46"/>
  <c r="Z32"/>
  <c r="S32"/>
  <c r="R32"/>
  <c r="Z28"/>
  <c r="W28"/>
  <c r="Z10"/>
  <c r="W10"/>
  <c r="T10"/>
  <c r="S10"/>
  <c r="R10"/>
  <c r="AC51" i="17" l="1"/>
  <c r="N47" i="14"/>
  <c r="M52"/>
  <c r="P52" s="1"/>
  <c r="Q47"/>
  <c r="W52"/>
  <c r="Q46"/>
  <c r="Z52"/>
  <c r="N50"/>
  <c r="Q50" s="1"/>
  <c r="O50"/>
  <c r="E52"/>
  <c r="G52"/>
  <c r="F52"/>
  <c r="N48"/>
  <c r="Q48" s="1"/>
  <c r="T46"/>
  <c r="AF46" s="1"/>
  <c r="O47"/>
  <c r="L52"/>
  <c r="O52" s="1"/>
  <c r="H48"/>
  <c r="T48" s="1"/>
  <c r="AC48" s="1"/>
  <c r="S47"/>
  <c r="H50"/>
  <c r="T50" s="1"/>
  <c r="AB46"/>
  <c r="H47"/>
  <c r="T47" s="1"/>
  <c r="AA46"/>
  <c r="R47"/>
  <c r="AE48"/>
  <c r="R48"/>
  <c r="AE46"/>
  <c r="R50"/>
  <c r="AF10"/>
  <c r="AE10"/>
  <c r="AB10"/>
  <c r="AD10"/>
  <c r="AA10"/>
  <c r="S30"/>
  <c r="AE32"/>
  <c r="AB32"/>
  <c r="S28"/>
  <c r="AA32"/>
  <c r="AD32"/>
  <c r="R34"/>
  <c r="AC10"/>
  <c r="N52" l="1"/>
  <c r="Q52" s="1"/>
  <c r="AC46"/>
  <c r="H52"/>
  <c r="AF48"/>
  <c r="AA48"/>
  <c r="AD48"/>
  <c r="S34"/>
  <c r="R9"/>
  <c r="T32"/>
  <c r="R28"/>
  <c r="S9"/>
  <c r="R30"/>
  <c r="AE28"/>
  <c r="AB28"/>
  <c r="S52" l="1"/>
  <c r="AB52"/>
  <c r="AE52"/>
  <c r="R52"/>
  <c r="T28"/>
  <c r="T30"/>
  <c r="AA28"/>
  <c r="AD28"/>
  <c r="T9"/>
  <c r="AC32"/>
  <c r="AF32"/>
  <c r="T34"/>
  <c r="AA52" l="1"/>
  <c r="AD52"/>
  <c r="T52"/>
  <c r="AC28"/>
  <c r="AF28"/>
  <c r="AC52" l="1"/>
  <c r="AF52"/>
  <c r="O54" i="13"/>
  <c r="P54"/>
  <c r="O59"/>
  <c r="P59"/>
  <c r="Q59"/>
  <c r="P53"/>
  <c r="O53"/>
  <c r="M58"/>
  <c r="L58"/>
  <c r="M57"/>
  <c r="P57" s="1"/>
  <c r="L57"/>
  <c r="O57" s="1"/>
  <c r="M56"/>
  <c r="L56"/>
  <c r="M55"/>
  <c r="L55"/>
  <c r="N54"/>
  <c r="N53"/>
  <c r="Y58"/>
  <c r="X58"/>
  <c r="U58"/>
  <c r="G58"/>
  <c r="S58" s="1"/>
  <c r="AB58" s="1"/>
  <c r="F58"/>
  <c r="R58" s="1"/>
  <c r="D58"/>
  <c r="C58"/>
  <c r="G57"/>
  <c r="F57"/>
  <c r="E57"/>
  <c r="Y56"/>
  <c r="X56"/>
  <c r="W56"/>
  <c r="G56"/>
  <c r="S56" s="1"/>
  <c r="AB56" s="1"/>
  <c r="F56"/>
  <c r="R56" s="1"/>
  <c r="D56"/>
  <c r="C56"/>
  <c r="Y55"/>
  <c r="X55"/>
  <c r="V55"/>
  <c r="V60" s="1"/>
  <c r="U55"/>
  <c r="G55"/>
  <c r="F55"/>
  <c r="D55"/>
  <c r="C55"/>
  <c r="S54"/>
  <c r="R54"/>
  <c r="H54"/>
  <c r="T54" s="1"/>
  <c r="E54"/>
  <c r="Z53"/>
  <c r="W53"/>
  <c r="S53"/>
  <c r="AE53" s="1"/>
  <c r="R53"/>
  <c r="H53"/>
  <c r="E53"/>
  <c r="Z43"/>
  <c r="W43"/>
  <c r="Z42"/>
  <c r="W42"/>
  <c r="Z51"/>
  <c r="W51"/>
  <c r="R51"/>
  <c r="AA51" s="1"/>
  <c r="Z50"/>
  <c r="W50"/>
  <c r="Z41"/>
  <c r="W41"/>
  <c r="Z40"/>
  <c r="W40"/>
  <c r="Z13"/>
  <c r="W13"/>
  <c r="Z39"/>
  <c r="W39"/>
  <c r="Z38"/>
  <c r="W38"/>
  <c r="Z35"/>
  <c r="W35"/>
  <c r="Z34"/>
  <c r="W34"/>
  <c r="Z33"/>
  <c r="W33"/>
  <c r="Z32"/>
  <c r="W32"/>
  <c r="Z31"/>
  <c r="W31"/>
  <c r="Z30"/>
  <c r="W30"/>
  <c r="Z28"/>
  <c r="W28"/>
  <c r="Z27"/>
  <c r="W27"/>
  <c r="Z25"/>
  <c r="W25"/>
  <c r="Z24"/>
  <c r="W24"/>
  <c r="Z23"/>
  <c r="W23"/>
  <c r="Z22"/>
  <c r="W22"/>
  <c r="Z21"/>
  <c r="W21"/>
  <c r="Z20"/>
  <c r="Z19"/>
  <c r="W19"/>
  <c r="Z18"/>
  <c r="Z17"/>
  <c r="W17"/>
  <c r="Z16"/>
  <c r="W16"/>
  <c r="Z45"/>
  <c r="W45"/>
  <c r="Z14"/>
  <c r="W14"/>
  <c r="Z47"/>
  <c r="W47"/>
  <c r="Z15"/>
  <c r="W15"/>
  <c r="Z12"/>
  <c r="W12"/>
  <c r="Z10"/>
  <c r="W10"/>
  <c r="D60" l="1"/>
  <c r="P58"/>
  <c r="O58"/>
  <c r="C60"/>
  <c r="X60"/>
  <c r="Q54"/>
  <c r="Y60"/>
  <c r="P56"/>
  <c r="U60"/>
  <c r="M60"/>
  <c r="O55"/>
  <c r="L60"/>
  <c r="O60" s="1"/>
  <c r="G60"/>
  <c r="F60"/>
  <c r="N57"/>
  <c r="Q57" s="1"/>
  <c r="T53"/>
  <c r="AF53" s="1"/>
  <c r="N56"/>
  <c r="Q53"/>
  <c r="P55"/>
  <c r="S55"/>
  <c r="AE55" s="1"/>
  <c r="N55"/>
  <c r="H55"/>
  <c r="T55" s="1"/>
  <c r="N58"/>
  <c r="O56"/>
  <c r="Z56"/>
  <c r="R55"/>
  <c r="AD55" s="1"/>
  <c r="Z58"/>
  <c r="AD58"/>
  <c r="AA58"/>
  <c r="AB53"/>
  <c r="E56"/>
  <c r="H56"/>
  <c r="T56" s="1"/>
  <c r="AC56" s="1"/>
  <c r="Z55"/>
  <c r="H57"/>
  <c r="T57" s="1"/>
  <c r="E58"/>
  <c r="AA56"/>
  <c r="AD56"/>
  <c r="AA53"/>
  <c r="S57"/>
  <c r="W58"/>
  <c r="AE58"/>
  <c r="E55"/>
  <c r="AE56"/>
  <c r="R57"/>
  <c r="H58"/>
  <c r="T58" s="1"/>
  <c r="W55"/>
  <c r="AD53"/>
  <c r="R14"/>
  <c r="AD14" s="1"/>
  <c r="R22"/>
  <c r="AA22" s="1"/>
  <c r="T21"/>
  <c r="AF21" s="1"/>
  <c r="R24"/>
  <c r="T27"/>
  <c r="AF27" s="1"/>
  <c r="S19"/>
  <c r="S47"/>
  <c r="S34"/>
  <c r="R15"/>
  <c r="S45"/>
  <c r="R18"/>
  <c r="AD18" s="1"/>
  <c r="S10"/>
  <c r="R45"/>
  <c r="R16"/>
  <c r="S20"/>
  <c r="R39"/>
  <c r="S28"/>
  <c r="R13"/>
  <c r="R28"/>
  <c r="S37"/>
  <c r="S17"/>
  <c r="T22"/>
  <c r="AF22" s="1"/>
  <c r="S21"/>
  <c r="S27"/>
  <c r="S14"/>
  <c r="S22"/>
  <c r="R21"/>
  <c r="R27"/>
  <c r="S29"/>
  <c r="S9"/>
  <c r="S15"/>
  <c r="S18"/>
  <c r="AE18" s="1"/>
  <c r="R33"/>
  <c r="AD51"/>
  <c r="S42"/>
  <c r="S30"/>
  <c r="R30"/>
  <c r="R34"/>
  <c r="R49"/>
  <c r="S48"/>
  <c r="R48"/>
  <c r="S33"/>
  <c r="S44"/>
  <c r="R44"/>
  <c r="B44" i="10"/>
  <c r="AQ15" i="11"/>
  <c r="AP15"/>
  <c r="AH15"/>
  <c r="AG15"/>
  <c r="Y15"/>
  <c r="X15"/>
  <c r="S15"/>
  <c r="S29" i="10" s="1"/>
  <c r="R15" i="11"/>
  <c r="R29" i="10" s="1"/>
  <c r="P15" i="11"/>
  <c r="P29" i="10" s="1"/>
  <c r="O15" i="11"/>
  <c r="O29" i="10" s="1"/>
  <c r="M15" i="11"/>
  <c r="M29" i="10" s="1"/>
  <c r="L15" i="11"/>
  <c r="L29" i="10" s="1"/>
  <c r="J15" i="11"/>
  <c r="J29" i="10" s="1"/>
  <c r="I15" i="11"/>
  <c r="I29" i="10" s="1"/>
  <c r="G15" i="11"/>
  <c r="V15" s="1"/>
  <c r="F15"/>
  <c r="U15" s="1"/>
  <c r="D15"/>
  <c r="D29" i="10" s="1"/>
  <c r="C15" i="11"/>
  <c r="C29" i="10" s="1"/>
  <c r="AO14" i="11"/>
  <c r="AU14" s="1"/>
  <c r="N14"/>
  <c r="AF14" s="1"/>
  <c r="AL14" s="1"/>
  <c r="K14"/>
  <c r="AR13"/>
  <c r="AN13"/>
  <c r="AT13" s="1"/>
  <c r="AM13"/>
  <c r="AS13" s="1"/>
  <c r="AI13"/>
  <c r="AE13"/>
  <c r="AK13" s="1"/>
  <c r="AD13"/>
  <c r="AJ13" s="1"/>
  <c r="AB13"/>
  <c r="Z13"/>
  <c r="AA13"/>
  <c r="T13"/>
  <c r="AO13" s="1"/>
  <c r="Q13"/>
  <c r="N13"/>
  <c r="AF13" s="1"/>
  <c r="AL13" s="1"/>
  <c r="K13"/>
  <c r="H13"/>
  <c r="W13" s="1"/>
  <c r="E13"/>
  <c r="AR12"/>
  <c r="AN12"/>
  <c r="AT12" s="1"/>
  <c r="AM12"/>
  <c r="AI12"/>
  <c r="AE12"/>
  <c r="AK12" s="1"/>
  <c r="AD12"/>
  <c r="AJ12" s="1"/>
  <c r="AA12"/>
  <c r="Z12"/>
  <c r="AB12"/>
  <c r="T12"/>
  <c r="AO12" s="1"/>
  <c r="Q12"/>
  <c r="N12"/>
  <c r="AF12" s="1"/>
  <c r="K12"/>
  <c r="H12"/>
  <c r="W12" s="1"/>
  <c r="E12"/>
  <c r="AR11"/>
  <c r="AN11"/>
  <c r="AT11" s="1"/>
  <c r="AM11"/>
  <c r="AS11" s="1"/>
  <c r="AI11"/>
  <c r="AE11"/>
  <c r="AK11" s="1"/>
  <c r="AD11"/>
  <c r="AJ11" s="1"/>
  <c r="Z11"/>
  <c r="AB11"/>
  <c r="AA11"/>
  <c r="T11"/>
  <c r="AO11" s="1"/>
  <c r="Q11"/>
  <c r="N11"/>
  <c r="AF11" s="1"/>
  <c r="K11"/>
  <c r="H11"/>
  <c r="W11" s="1"/>
  <c r="E11"/>
  <c r="AR10"/>
  <c r="AN10"/>
  <c r="AT10" s="1"/>
  <c r="AM10"/>
  <c r="AS10" s="1"/>
  <c r="AI10"/>
  <c r="AE10"/>
  <c r="AK10" s="1"/>
  <c r="AD10"/>
  <c r="AJ10" s="1"/>
  <c r="AA10"/>
  <c r="Z10"/>
  <c r="AB10"/>
  <c r="T10"/>
  <c r="AO10" s="1"/>
  <c r="Q10"/>
  <c r="N10"/>
  <c r="AF10" s="1"/>
  <c r="AL10" s="1"/>
  <c r="K10"/>
  <c r="H10"/>
  <c r="E10"/>
  <c r="AR9"/>
  <c r="AN9"/>
  <c r="AM9"/>
  <c r="AS9" s="1"/>
  <c r="AI9"/>
  <c r="AE9"/>
  <c r="AK9" s="1"/>
  <c r="AD9"/>
  <c r="AJ9" s="1"/>
  <c r="AB9"/>
  <c r="AA9"/>
  <c r="Z9"/>
  <c r="AO9"/>
  <c r="AF9"/>
  <c r="W9"/>
  <c r="AR8"/>
  <c r="AN8"/>
  <c r="AT8" s="1"/>
  <c r="AM8"/>
  <c r="AI8"/>
  <c r="AE8"/>
  <c r="AK8" s="1"/>
  <c r="AD8"/>
  <c r="AJ8" s="1"/>
  <c r="AB8"/>
  <c r="Z8"/>
  <c r="U8"/>
  <c r="AA8" s="1"/>
  <c r="T8"/>
  <c r="AO8" s="1"/>
  <c r="Q8"/>
  <c r="N8"/>
  <c r="K8"/>
  <c r="H8"/>
  <c r="E8"/>
  <c r="U1"/>
  <c r="AC11" l="1"/>
  <c r="P60" i="13"/>
  <c r="AB55"/>
  <c r="AC55"/>
  <c r="K15" i="11"/>
  <c r="K29" i="10" s="1"/>
  <c r="AA15" i="11"/>
  <c r="AU10"/>
  <c r="AR15"/>
  <c r="W60" i="13"/>
  <c r="E60"/>
  <c r="Q15" i="11"/>
  <c r="Q29" i="10" s="1"/>
  <c r="AB15" i="11"/>
  <c r="AC12"/>
  <c r="AC53" i="13"/>
  <c r="H60"/>
  <c r="AA55"/>
  <c r="N60"/>
  <c r="AF55"/>
  <c r="Z60"/>
  <c r="AB44"/>
  <c r="AE44"/>
  <c r="AA44"/>
  <c r="AD44"/>
  <c r="Q56"/>
  <c r="F29" i="10"/>
  <c r="AL9" i="11"/>
  <c r="W10"/>
  <c r="AC10" s="1"/>
  <c r="AM15"/>
  <c r="AS15" s="1"/>
  <c r="AU11"/>
  <c r="AU12"/>
  <c r="T15"/>
  <c r="T29" i="10" s="1"/>
  <c r="N15" i="11"/>
  <c r="N29" i="10" s="1"/>
  <c r="AI15" i="11"/>
  <c r="E15"/>
  <c r="E29" i="10" s="1"/>
  <c r="AL12" i="11"/>
  <c r="H15"/>
  <c r="W8"/>
  <c r="AC8" s="1"/>
  <c r="AD15"/>
  <c r="AJ15" s="1"/>
  <c r="AS8"/>
  <c r="AC9"/>
  <c r="AL11"/>
  <c r="AC13"/>
  <c r="G29" i="10"/>
  <c r="Q55" i="13"/>
  <c r="Q58"/>
  <c r="AF58"/>
  <c r="AF56"/>
  <c r="AC58"/>
  <c r="AA14"/>
  <c r="AC27"/>
  <c r="AD22"/>
  <c r="T51"/>
  <c r="T13"/>
  <c r="S43"/>
  <c r="R41"/>
  <c r="R43"/>
  <c r="R38"/>
  <c r="AB30"/>
  <c r="AE30"/>
  <c r="R50"/>
  <c r="R31"/>
  <c r="R20"/>
  <c r="R29"/>
  <c r="AE21"/>
  <c r="AB21"/>
  <c r="R23"/>
  <c r="R12"/>
  <c r="AB28"/>
  <c r="AE28"/>
  <c r="AB10"/>
  <c r="AE10"/>
  <c r="S23"/>
  <c r="AC21"/>
  <c r="S36"/>
  <c r="R42"/>
  <c r="T33"/>
  <c r="S39"/>
  <c r="T34"/>
  <c r="AD27"/>
  <c r="AA27"/>
  <c r="R17"/>
  <c r="AB17"/>
  <c r="AE17"/>
  <c r="AA13"/>
  <c r="AD13"/>
  <c r="T14"/>
  <c r="AA39"/>
  <c r="AD39"/>
  <c r="AC22"/>
  <c r="S49"/>
  <c r="S40"/>
  <c r="S31"/>
  <c r="S38"/>
  <c r="AA30"/>
  <c r="AD30"/>
  <c r="R40"/>
  <c r="AE27"/>
  <c r="AB27"/>
  <c r="T18"/>
  <c r="AF18" s="1"/>
  <c r="R25"/>
  <c r="S12"/>
  <c r="AA45"/>
  <c r="AD45"/>
  <c r="AA15"/>
  <c r="AD15"/>
  <c r="S50"/>
  <c r="AA34"/>
  <c r="AD34"/>
  <c r="AB22"/>
  <c r="AE22"/>
  <c r="AE14"/>
  <c r="AB14"/>
  <c r="T28"/>
  <c r="S25"/>
  <c r="AE19"/>
  <c r="AB19"/>
  <c r="T10"/>
  <c r="T49"/>
  <c r="T48"/>
  <c r="AA33"/>
  <c r="AD33"/>
  <c r="R26"/>
  <c r="T45"/>
  <c r="T16"/>
  <c r="R47"/>
  <c r="AB47"/>
  <c r="AE47"/>
  <c r="AA24"/>
  <c r="AD24"/>
  <c r="S46"/>
  <c r="S51"/>
  <c r="AB42"/>
  <c r="AE42"/>
  <c r="S13"/>
  <c r="R9"/>
  <c r="S26"/>
  <c r="T9"/>
  <c r="T15"/>
  <c r="AB45"/>
  <c r="AE45"/>
  <c r="T30"/>
  <c r="S32"/>
  <c r="AE15"/>
  <c r="AB15"/>
  <c r="AD21"/>
  <c r="AA21"/>
  <c r="AA16"/>
  <c r="AD16"/>
  <c r="R10"/>
  <c r="AB34"/>
  <c r="AE34"/>
  <c r="AE33"/>
  <c r="AB33"/>
  <c r="T44"/>
  <c r="S35"/>
  <c r="R46"/>
  <c r="R36"/>
  <c r="S41"/>
  <c r="R37"/>
  <c r="R32"/>
  <c r="R35"/>
  <c r="S24"/>
  <c r="S16"/>
  <c r="AA28"/>
  <c r="AD28"/>
  <c r="AB20"/>
  <c r="AE20"/>
  <c r="AU9" i="11"/>
  <c r="Z15"/>
  <c r="AF8"/>
  <c r="AT9"/>
  <c r="AS12"/>
  <c r="AU13"/>
  <c r="AO15"/>
  <c r="AN15"/>
  <c r="AT15" s="1"/>
  <c r="AE15"/>
  <c r="AK15" s="1"/>
  <c r="AU8"/>
  <c r="Q60" i="13" l="1"/>
  <c r="AU15" i="11"/>
  <c r="S60" i="13"/>
  <c r="AE60" s="1"/>
  <c r="AC44"/>
  <c r="AF44"/>
  <c r="W15" i="11"/>
  <c r="AC15" s="1"/>
  <c r="H29" i="10"/>
  <c r="AB16" i="13"/>
  <c r="AE16"/>
  <c r="AA47"/>
  <c r="AD47"/>
  <c r="AC10"/>
  <c r="AF10"/>
  <c r="T40"/>
  <c r="AC34"/>
  <c r="AF34"/>
  <c r="T12"/>
  <c r="T43"/>
  <c r="T26"/>
  <c r="R19"/>
  <c r="R60" s="1"/>
  <c r="AD60" s="1"/>
  <c r="AF33"/>
  <c r="AC33"/>
  <c r="AD20"/>
  <c r="AA20"/>
  <c r="AB43"/>
  <c r="AE43"/>
  <c r="AF51"/>
  <c r="AC51"/>
  <c r="AE24"/>
  <c r="AB24"/>
  <c r="T35"/>
  <c r="T32"/>
  <c r="AF15"/>
  <c r="AC15"/>
  <c r="AB51"/>
  <c r="AE51"/>
  <c r="AD25"/>
  <c r="AA25"/>
  <c r="AA40"/>
  <c r="AD40"/>
  <c r="AF14"/>
  <c r="AC14"/>
  <c r="AD23"/>
  <c r="AA23"/>
  <c r="AC45"/>
  <c r="AF45"/>
  <c r="AC28"/>
  <c r="AF28"/>
  <c r="AE50"/>
  <c r="AB50"/>
  <c r="T25"/>
  <c r="AE23"/>
  <c r="AB23"/>
  <c r="T23"/>
  <c r="T31"/>
  <c r="T41"/>
  <c r="AC13"/>
  <c r="AF13"/>
  <c r="AA32"/>
  <c r="AD32"/>
  <c r="AA10"/>
  <c r="AD10"/>
  <c r="AB13"/>
  <c r="AE13"/>
  <c r="AC48"/>
  <c r="AF48"/>
  <c r="T39"/>
  <c r="AE38"/>
  <c r="AB38"/>
  <c r="T29"/>
  <c r="AA35"/>
  <c r="AD35"/>
  <c r="T37"/>
  <c r="AE41"/>
  <c r="AB41"/>
  <c r="T36"/>
  <c r="AB35"/>
  <c r="AE35"/>
  <c r="AB32"/>
  <c r="AE32"/>
  <c r="AC16"/>
  <c r="AF16"/>
  <c r="T24"/>
  <c r="AB25"/>
  <c r="AE25"/>
  <c r="AB40"/>
  <c r="AE40"/>
  <c r="T42"/>
  <c r="AA31"/>
  <c r="AD31"/>
  <c r="AA41"/>
  <c r="AD41"/>
  <c r="T46"/>
  <c r="AC30"/>
  <c r="AF30"/>
  <c r="T47"/>
  <c r="AD17"/>
  <c r="AA17"/>
  <c r="AB39"/>
  <c r="AE39"/>
  <c r="AA42"/>
  <c r="AD42"/>
  <c r="AA50"/>
  <c r="AD50"/>
  <c r="AD38"/>
  <c r="AA38"/>
  <c r="AB12"/>
  <c r="AE12"/>
  <c r="AE31"/>
  <c r="AB31"/>
  <c r="T17"/>
  <c r="AD12"/>
  <c r="AA12"/>
  <c r="T20"/>
  <c r="T50"/>
  <c r="T38"/>
  <c r="AA43"/>
  <c r="AD43"/>
  <c r="AL8" i="11"/>
  <c r="AF15"/>
  <c r="AL15" s="1"/>
  <c r="AA60" i="13" l="1"/>
  <c r="AB60"/>
  <c r="AC20"/>
  <c r="AF20"/>
  <c r="AF50"/>
  <c r="AC50"/>
  <c r="AF38"/>
  <c r="AC38"/>
  <c r="AF32"/>
  <c r="AC32"/>
  <c r="AC12"/>
  <c r="AF12"/>
  <c r="AC17"/>
  <c r="AF17"/>
  <c r="AC39"/>
  <c r="AF39"/>
  <c r="AC42"/>
  <c r="AF42"/>
  <c r="AC40"/>
  <c r="AF40"/>
  <c r="AA19"/>
  <c r="AD19"/>
  <c r="AC43"/>
  <c r="AF43"/>
  <c r="AC24"/>
  <c r="AF24"/>
  <c r="AC23"/>
  <c r="AF23"/>
  <c r="T19"/>
  <c r="T60" s="1"/>
  <c r="AF60" s="1"/>
  <c r="AF41"/>
  <c r="AC41"/>
  <c r="AC47"/>
  <c r="AF47"/>
  <c r="AC35"/>
  <c r="AF35"/>
  <c r="AF31"/>
  <c r="AC31"/>
  <c r="AF25"/>
  <c r="AC25"/>
  <c r="B43" i="10"/>
  <c r="B42"/>
  <c r="B41"/>
  <c r="B40"/>
  <c r="B39"/>
  <c r="B38"/>
  <c r="B37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T24"/>
  <c r="T39" s="1"/>
  <c r="S24"/>
  <c r="S39" s="1"/>
  <c r="R24"/>
  <c r="R39" s="1"/>
  <c r="Q24"/>
  <c r="Q39" s="1"/>
  <c r="P24"/>
  <c r="P39" s="1"/>
  <c r="O24"/>
  <c r="O39" s="1"/>
  <c r="N24"/>
  <c r="N39" s="1"/>
  <c r="M24"/>
  <c r="M39" s="1"/>
  <c r="L24"/>
  <c r="L39" s="1"/>
  <c r="K24"/>
  <c r="K39" s="1"/>
  <c r="J24"/>
  <c r="J39" s="1"/>
  <c r="I24"/>
  <c r="I39" s="1"/>
  <c r="H24"/>
  <c r="H39" s="1"/>
  <c r="G24"/>
  <c r="G39" s="1"/>
  <c r="F24"/>
  <c r="E24"/>
  <c r="E39" s="1"/>
  <c r="D24"/>
  <c r="D39" s="1"/>
  <c r="C24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8"/>
  <c r="S8"/>
  <c r="R8"/>
  <c r="Q8"/>
  <c r="P8"/>
  <c r="O8"/>
  <c r="N8"/>
  <c r="M8"/>
  <c r="L8"/>
  <c r="K8"/>
  <c r="J8"/>
  <c r="I8"/>
  <c r="H8"/>
  <c r="G8"/>
  <c r="F8"/>
  <c r="E8"/>
  <c r="D8"/>
  <c r="C8"/>
  <c r="T7"/>
  <c r="S7"/>
  <c r="R7"/>
  <c r="Q7"/>
  <c r="P7"/>
  <c r="O7"/>
  <c r="N7"/>
  <c r="M7"/>
  <c r="L7"/>
  <c r="K7"/>
  <c r="J7"/>
  <c r="I7"/>
  <c r="H7"/>
  <c r="G7"/>
  <c r="F7"/>
  <c r="E7"/>
  <c r="D7"/>
  <c r="C7"/>
  <c r="FD32" i="5"/>
  <c r="FC32"/>
  <c r="EL32"/>
  <c r="EK32"/>
  <c r="I38" i="10" l="1"/>
  <c r="Q38"/>
  <c r="FE32" i="5"/>
  <c r="O38" i="10"/>
  <c r="G38"/>
  <c r="H38"/>
  <c r="P38"/>
  <c r="J38"/>
  <c r="R38"/>
  <c r="P37"/>
  <c r="F38"/>
  <c r="N38"/>
  <c r="E37"/>
  <c r="S38"/>
  <c r="D38"/>
  <c r="L38"/>
  <c r="T38"/>
  <c r="O37"/>
  <c r="E38"/>
  <c r="M38"/>
  <c r="F39"/>
  <c r="K38"/>
  <c r="C38"/>
  <c r="J37"/>
  <c r="AC60" i="13"/>
  <c r="AC19"/>
  <c r="AF19"/>
  <c r="G37" i="10"/>
  <c r="R37"/>
  <c r="N37"/>
  <c r="M37"/>
  <c r="H37"/>
  <c r="F37"/>
  <c r="D37"/>
  <c r="L37"/>
  <c r="T37"/>
  <c r="C37"/>
  <c r="K37"/>
  <c r="S37"/>
  <c r="I37"/>
  <c r="Q37"/>
  <c r="EV28" i="5"/>
  <c r="EM28"/>
  <c r="FD42"/>
  <c r="FD51" s="1"/>
  <c r="FC42"/>
  <c r="FC51" s="1"/>
  <c r="EU42"/>
  <c r="EU51" s="1"/>
  <c r="ET42"/>
  <c r="ET51" s="1"/>
  <c r="EL42"/>
  <c r="EL51" s="1"/>
  <c r="EK42"/>
  <c r="EK51" s="1"/>
  <c r="FE42" l="1"/>
  <c r="BE45"/>
  <c r="BE13"/>
  <c r="BF37"/>
  <c r="BE37"/>
  <c r="BF9"/>
  <c r="L31"/>
  <c r="M31"/>
  <c r="L35"/>
  <c r="M35"/>
  <c r="L20"/>
  <c r="M20"/>
  <c r="L18"/>
  <c r="M18"/>
  <c r="L19"/>
  <c r="M19"/>
  <c r="N19"/>
  <c r="L21"/>
  <c r="M21"/>
  <c r="L22"/>
  <c r="M22"/>
  <c r="L24"/>
  <c r="M24"/>
  <c r="L25"/>
  <c r="M25"/>
  <c r="L26"/>
  <c r="M26"/>
  <c r="L27"/>
  <c r="M27"/>
  <c r="L28"/>
  <c r="M28"/>
  <c r="L30"/>
  <c r="M30"/>
  <c r="L29"/>
  <c r="M29"/>
  <c r="L46"/>
  <c r="M46"/>
  <c r="L32"/>
  <c r="M32"/>
  <c r="L33"/>
  <c r="M33"/>
  <c r="L34"/>
  <c r="M34"/>
  <c r="L47"/>
  <c r="M47"/>
  <c r="L36"/>
  <c r="M36"/>
  <c r="L44"/>
  <c r="M44"/>
  <c r="L38"/>
  <c r="M38"/>
  <c r="L39"/>
  <c r="M39"/>
  <c r="L48"/>
  <c r="M48"/>
  <c r="L49"/>
  <c r="M49"/>
  <c r="L40"/>
  <c r="M40"/>
  <c r="L41"/>
  <c r="M41"/>
  <c r="L50"/>
  <c r="M50"/>
  <c r="L43"/>
  <c r="M43"/>
  <c r="L42"/>
  <c r="M42"/>
  <c r="L13"/>
  <c r="M13"/>
  <c r="L45"/>
  <c r="M45"/>
  <c r="L12"/>
  <c r="M12"/>
  <c r="L14"/>
  <c r="M14"/>
  <c r="L15"/>
  <c r="M15"/>
  <c r="L16"/>
  <c r="M16"/>
  <c r="L10"/>
  <c r="M10"/>
  <c r="BZ39"/>
  <c r="CA39"/>
  <c r="BZ48"/>
  <c r="CA48"/>
  <c r="BZ49"/>
  <c r="CA49"/>
  <c r="BZ40"/>
  <c r="CA40"/>
  <c r="BZ41"/>
  <c r="CA41"/>
  <c r="BZ50"/>
  <c r="CA50"/>
  <c r="BZ43"/>
  <c r="CA43"/>
  <c r="BZ42"/>
  <c r="CA42"/>
  <c r="CA38"/>
  <c r="BZ38"/>
  <c r="BZ19"/>
  <c r="CA19"/>
  <c r="CB19"/>
  <c r="BZ21"/>
  <c r="CA21"/>
  <c r="BZ22"/>
  <c r="CA22"/>
  <c r="BZ24"/>
  <c r="CA24"/>
  <c r="BZ26"/>
  <c r="CA26"/>
  <c r="BZ27"/>
  <c r="CA27"/>
  <c r="BZ28"/>
  <c r="CA28"/>
  <c r="BZ30"/>
  <c r="CA30"/>
  <c r="BZ29"/>
  <c r="CA29"/>
  <c r="BZ46"/>
  <c r="CA46"/>
  <c r="BZ32"/>
  <c r="CA32"/>
  <c r="BZ33"/>
  <c r="CA33"/>
  <c r="BZ34"/>
  <c r="CA34"/>
  <c r="BZ47"/>
  <c r="CA47"/>
  <c r="BZ36"/>
  <c r="CA36"/>
  <c r="CX12" l="1"/>
  <c r="CX10"/>
  <c r="DA10" s="1"/>
  <c r="BT49"/>
  <c r="BT38"/>
  <c r="BT33"/>
  <c r="BU33"/>
  <c r="BT34"/>
  <c r="BU34"/>
  <c r="BT27"/>
  <c r="BU27"/>
  <c r="BT30"/>
  <c r="BU30"/>
  <c r="BT29"/>
  <c r="BU29"/>
  <c r="BT31"/>
  <c r="BT16"/>
  <c r="BT13"/>
  <c r="BU13"/>
  <c r="BT10"/>
  <c r="BW10" s="1"/>
  <c r="BU10"/>
  <c r="BX10" s="1"/>
  <c r="W9"/>
  <c r="AA17"/>
  <c r="AB17"/>
  <c r="AB12"/>
  <c r="AA12"/>
  <c r="AB45"/>
  <c r="AA45"/>
  <c r="AB13"/>
  <c r="AA13"/>
  <c r="AB10"/>
  <c r="AE10" s="1"/>
  <c r="AA10"/>
  <c r="AD10" s="1"/>
  <c r="AA9"/>
  <c r="O43"/>
  <c r="O35"/>
  <c r="M23"/>
  <c r="L23"/>
  <c r="P20"/>
  <c r="L37"/>
  <c r="O20"/>
  <c r="EV22"/>
  <c r="EM22"/>
  <c r="DZ22"/>
  <c r="DY22"/>
  <c r="DW22"/>
  <c r="DV22"/>
  <c r="DT22"/>
  <c r="DS22"/>
  <c r="DN22"/>
  <c r="DQ22" s="1"/>
  <c r="DM22"/>
  <c r="DP22" s="1"/>
  <c r="DL22"/>
  <c r="DI22"/>
  <c r="DF22"/>
  <c r="DB22"/>
  <c r="CX22"/>
  <c r="CW22"/>
  <c r="CT22"/>
  <c r="CQ22"/>
  <c r="CG22"/>
  <c r="CF22"/>
  <c r="CD22"/>
  <c r="CC22"/>
  <c r="BU22"/>
  <c r="BX22" s="1"/>
  <c r="BT22"/>
  <c r="BW22" s="1"/>
  <c r="BS22"/>
  <c r="BP22"/>
  <c r="BM22"/>
  <c r="BF22"/>
  <c r="BE22"/>
  <c r="BD22"/>
  <c r="BA22"/>
  <c r="AX22"/>
  <c r="AN22"/>
  <c r="AM22"/>
  <c r="AK22"/>
  <c r="AJ22"/>
  <c r="AH22"/>
  <c r="AG22"/>
  <c r="AB22"/>
  <c r="AE22" s="1"/>
  <c r="AA22"/>
  <c r="AD22" s="1"/>
  <c r="Z22"/>
  <c r="W22"/>
  <c r="T22"/>
  <c r="O22"/>
  <c r="K22"/>
  <c r="H22"/>
  <c r="E22"/>
  <c r="EV10"/>
  <c r="EM10"/>
  <c r="DW10"/>
  <c r="DV10"/>
  <c r="DT10"/>
  <c r="DS10"/>
  <c r="DN10"/>
  <c r="DQ10" s="1"/>
  <c r="DM10"/>
  <c r="DP10" s="1"/>
  <c r="DI10"/>
  <c r="DO10" s="1"/>
  <c r="DF10"/>
  <c r="DB10"/>
  <c r="CT10"/>
  <c r="CQ10"/>
  <c r="CD10"/>
  <c r="CC10"/>
  <c r="BP10"/>
  <c r="BM10"/>
  <c r="BF10"/>
  <c r="BE10"/>
  <c r="BH10" s="1"/>
  <c r="BA10"/>
  <c r="AX10"/>
  <c r="AK10"/>
  <c r="AJ10"/>
  <c r="AH10"/>
  <c r="AG10"/>
  <c r="W10"/>
  <c r="AC10" s="1"/>
  <c r="T10"/>
  <c r="O10"/>
  <c r="P10"/>
  <c r="H10"/>
  <c r="E10"/>
  <c r="FE9"/>
  <c r="EV9"/>
  <c r="EM9"/>
  <c r="DZ9"/>
  <c r="DY9"/>
  <c r="DW9"/>
  <c r="DV9"/>
  <c r="DT9"/>
  <c r="DS9"/>
  <c r="DN9"/>
  <c r="DM9"/>
  <c r="DL9"/>
  <c r="DI9"/>
  <c r="DF9"/>
  <c r="CX9"/>
  <c r="CW9"/>
  <c r="CT9"/>
  <c r="CQ9"/>
  <c r="CG9"/>
  <c r="CF9"/>
  <c r="CD9"/>
  <c r="CC9"/>
  <c r="CA9"/>
  <c r="BZ9"/>
  <c r="BU9"/>
  <c r="BT9"/>
  <c r="BS9"/>
  <c r="BP9"/>
  <c r="BM9"/>
  <c r="BI9"/>
  <c r="BE9"/>
  <c r="BD9"/>
  <c r="BA9"/>
  <c r="AX9"/>
  <c r="AN9"/>
  <c r="AM9"/>
  <c r="AK9"/>
  <c r="AJ9"/>
  <c r="AH9"/>
  <c r="AG9"/>
  <c r="AB9"/>
  <c r="Z9"/>
  <c r="T9"/>
  <c r="M9"/>
  <c r="L9"/>
  <c r="K9"/>
  <c r="H9"/>
  <c r="E9"/>
  <c r="L51" l="1"/>
  <c r="DR10"/>
  <c r="CB10"/>
  <c r="O51"/>
  <c r="CB22"/>
  <c r="AE9"/>
  <c r="BG9"/>
  <c r="BX9"/>
  <c r="DQ9"/>
  <c r="DX10"/>
  <c r="DA9"/>
  <c r="CE10"/>
  <c r="AD9"/>
  <c r="DB9"/>
  <c r="BW9"/>
  <c r="DP9"/>
  <c r="BI10"/>
  <c r="AC9"/>
  <c r="DU10"/>
  <c r="CI22"/>
  <c r="EQ22" s="1"/>
  <c r="CJ22"/>
  <c r="ER22" s="1"/>
  <c r="EX22" s="1"/>
  <c r="AI10"/>
  <c r="AP9"/>
  <c r="AL10"/>
  <c r="N10"/>
  <c r="Q10" s="1"/>
  <c r="N22"/>
  <c r="P9"/>
  <c r="DX9"/>
  <c r="AO9"/>
  <c r="BV10"/>
  <c r="BY10" s="1"/>
  <c r="AF10"/>
  <c r="EB22"/>
  <c r="EE22" s="1"/>
  <c r="CE22"/>
  <c r="BI22"/>
  <c r="EA22"/>
  <c r="DO22"/>
  <c r="DR22" s="1"/>
  <c r="DU22"/>
  <c r="CZ22"/>
  <c r="DC22" s="1"/>
  <c r="DA22"/>
  <c r="CH22"/>
  <c r="BV22"/>
  <c r="BY22" s="1"/>
  <c r="BH22"/>
  <c r="AC22"/>
  <c r="AF22" s="1"/>
  <c r="AO22"/>
  <c r="AQ22"/>
  <c r="AT22" s="1"/>
  <c r="AI22"/>
  <c r="P22"/>
  <c r="AL22"/>
  <c r="AP22"/>
  <c r="EC22"/>
  <c r="DX22"/>
  <c r="BG22"/>
  <c r="CZ10"/>
  <c r="DC10" s="1"/>
  <c r="CI9"/>
  <c r="AP10"/>
  <c r="EH10" s="1"/>
  <c r="EN10" s="1"/>
  <c r="CI10"/>
  <c r="CL10" s="1"/>
  <c r="EB10"/>
  <c r="EZ10" s="1"/>
  <c r="FF10" s="1"/>
  <c r="BG10"/>
  <c r="BJ10" s="1"/>
  <c r="AL9"/>
  <c r="CB9"/>
  <c r="AQ10"/>
  <c r="CJ10"/>
  <c r="EC10"/>
  <c r="BV9"/>
  <c r="EA9"/>
  <c r="CH9"/>
  <c r="AI9"/>
  <c r="AQ9"/>
  <c r="CE9"/>
  <c r="BH9"/>
  <c r="DU9"/>
  <c r="DO9"/>
  <c r="O9"/>
  <c r="CZ9"/>
  <c r="EC9"/>
  <c r="N9"/>
  <c r="CJ9"/>
  <c r="EB9"/>
  <c r="EH9" l="1"/>
  <c r="EN9" s="1"/>
  <c r="CM22"/>
  <c r="DC9"/>
  <c r="AS9"/>
  <c r="AT9"/>
  <c r="CK22"/>
  <c r="CL9"/>
  <c r="CK10"/>
  <c r="CN10" s="1"/>
  <c r="EZ22"/>
  <c r="FF22" s="1"/>
  <c r="AR10"/>
  <c r="CL22"/>
  <c r="BY9"/>
  <c r="AR9"/>
  <c r="DR9"/>
  <c r="AF9"/>
  <c r="EQ10"/>
  <c r="EW10" s="1"/>
  <c r="EI9"/>
  <c r="EE10"/>
  <c r="AS10"/>
  <c r="EI22"/>
  <c r="EO22" s="1"/>
  <c r="EW22"/>
  <c r="AR22"/>
  <c r="AU22" s="1"/>
  <c r="Q22"/>
  <c r="ED22"/>
  <c r="EG22" s="1"/>
  <c r="BJ22"/>
  <c r="AS22"/>
  <c r="EH22"/>
  <c r="EN22" s="1"/>
  <c r="FA22"/>
  <c r="FG22" s="1"/>
  <c r="EF22"/>
  <c r="ED10"/>
  <c r="FB10" s="1"/>
  <c r="FH10" s="1"/>
  <c r="EQ9"/>
  <c r="ER10"/>
  <c r="EX10" s="1"/>
  <c r="CM10"/>
  <c r="EF10"/>
  <c r="FA10"/>
  <c r="FG10" s="1"/>
  <c r="EI10"/>
  <c r="EO10" s="1"/>
  <c r="AT10"/>
  <c r="ED9"/>
  <c r="CM9"/>
  <c r="ER9"/>
  <c r="CK9"/>
  <c r="BJ9"/>
  <c r="EE9"/>
  <c r="EZ9"/>
  <c r="FA9"/>
  <c r="EF9"/>
  <c r="Q9"/>
  <c r="EX9" l="1"/>
  <c r="FB9"/>
  <c r="FH9" s="1"/>
  <c r="EO9"/>
  <c r="EW9"/>
  <c r="ES10"/>
  <c r="EY10" s="1"/>
  <c r="AU10"/>
  <c r="EJ10"/>
  <c r="EP10" s="1"/>
  <c r="FG9"/>
  <c r="EG9"/>
  <c r="EG10"/>
  <c r="FF9"/>
  <c r="FB22"/>
  <c r="FH22" s="1"/>
  <c r="EJ22"/>
  <c r="EP22" s="1"/>
  <c r="ES22"/>
  <c r="EY22" s="1"/>
  <c r="CN22"/>
  <c r="ES9"/>
  <c r="CN9"/>
  <c r="AU9"/>
  <c r="EJ9"/>
  <c r="EP9" l="1"/>
  <c r="EY9"/>
  <c r="E40"/>
  <c r="K21"/>
  <c r="EV21"/>
  <c r="EM21"/>
  <c r="DZ21"/>
  <c r="DY21"/>
  <c r="DW21"/>
  <c r="DV21"/>
  <c r="DT21"/>
  <c r="DS21"/>
  <c r="DN21"/>
  <c r="DQ21" s="1"/>
  <c r="DM21"/>
  <c r="DP21" s="1"/>
  <c r="DL21"/>
  <c r="DI21"/>
  <c r="DF21"/>
  <c r="DB21"/>
  <c r="CX21"/>
  <c r="DA21" s="1"/>
  <c r="CW21"/>
  <c r="CT21"/>
  <c r="CQ21"/>
  <c r="CG21"/>
  <c r="CF21"/>
  <c r="CD21"/>
  <c r="CC21"/>
  <c r="BU21"/>
  <c r="BX21" s="1"/>
  <c r="BT21"/>
  <c r="BW21" s="1"/>
  <c r="BS21"/>
  <c r="BP21"/>
  <c r="BM21"/>
  <c r="BF21"/>
  <c r="BI21" s="1"/>
  <c r="BE21"/>
  <c r="BD21"/>
  <c r="BA21"/>
  <c r="AX21"/>
  <c r="AN21"/>
  <c r="AM21"/>
  <c r="AK21"/>
  <c r="AJ21"/>
  <c r="AH21"/>
  <c r="AG21"/>
  <c r="AB21"/>
  <c r="AE21" s="1"/>
  <c r="AA21"/>
  <c r="AD21" s="1"/>
  <c r="Z21"/>
  <c r="W21"/>
  <c r="T21"/>
  <c r="P21"/>
  <c r="H21"/>
  <c r="E21"/>
  <c r="N21" l="1"/>
  <c r="Q21" s="1"/>
  <c r="AP21"/>
  <c r="AS21" s="1"/>
  <c r="AO21"/>
  <c r="CB21"/>
  <c r="AI21"/>
  <c r="CI21"/>
  <c r="CL21" s="1"/>
  <c r="AQ21"/>
  <c r="AT21" s="1"/>
  <c r="EA21"/>
  <c r="DO21"/>
  <c r="DR21" s="1"/>
  <c r="DU21"/>
  <c r="CZ21"/>
  <c r="DC21" s="1"/>
  <c r="CH21"/>
  <c r="BV21"/>
  <c r="BY21" s="1"/>
  <c r="CE21"/>
  <c r="BH21"/>
  <c r="AC21"/>
  <c r="AF21" s="1"/>
  <c r="AL21"/>
  <c r="O21"/>
  <c r="BG21"/>
  <c r="EC21"/>
  <c r="CJ21"/>
  <c r="DX21"/>
  <c r="EB21"/>
  <c r="EQ21" l="1"/>
  <c r="EW21" s="1"/>
  <c r="EH21"/>
  <c r="EN21" s="1"/>
  <c r="AR21"/>
  <c r="EJ21" s="1"/>
  <c r="EP21" s="1"/>
  <c r="EI21"/>
  <c r="EO21" s="1"/>
  <c r="ED21"/>
  <c r="EG21" s="1"/>
  <c r="EF21"/>
  <c r="FA21"/>
  <c r="FG21" s="1"/>
  <c r="CM21"/>
  <c r="ER21"/>
  <c r="EX21" s="1"/>
  <c r="EE21"/>
  <c r="EZ21"/>
  <c r="FF21" s="1"/>
  <c r="CK21"/>
  <c r="BJ21"/>
  <c r="CH33"/>
  <c r="BM33"/>
  <c r="BP33"/>
  <c r="BV33" s="1"/>
  <c r="CF33"/>
  <c r="CG33"/>
  <c r="AU21" l="1"/>
  <c r="FB21"/>
  <c r="FH21" s="1"/>
  <c r="ES21"/>
  <c r="EY21" s="1"/>
  <c r="CN21"/>
  <c r="DY29" l="1"/>
  <c r="DY46"/>
  <c r="DY33"/>
  <c r="DY47"/>
  <c r="DY36"/>
  <c r="CQ13" l="1"/>
  <c r="DM34" l="1"/>
  <c r="DP34" s="1"/>
  <c r="DN34"/>
  <c r="DQ34" s="1"/>
  <c r="CX30"/>
  <c r="CA20"/>
  <c r="BZ20"/>
  <c r="E14"/>
  <c r="DT13"/>
  <c r="DT12"/>
  <c r="DT14"/>
  <c r="DT15"/>
  <c r="DT16"/>
  <c r="DT23"/>
  <c r="DT31"/>
  <c r="DT35"/>
  <c r="DT20"/>
  <c r="DT24"/>
  <c r="DT26"/>
  <c r="DT27"/>
  <c r="DT28"/>
  <c r="DT29"/>
  <c r="DT46"/>
  <c r="DT32"/>
  <c r="DT33"/>
  <c r="DT34"/>
  <c r="DT47"/>
  <c r="DT36"/>
  <c r="DT38"/>
  <c r="DT39"/>
  <c r="DT48"/>
  <c r="DT49"/>
  <c r="DT40"/>
  <c r="DT41"/>
  <c r="DT50"/>
  <c r="DT43"/>
  <c r="DT42"/>
  <c r="DS12"/>
  <c r="DS14"/>
  <c r="DS15"/>
  <c r="DS16"/>
  <c r="DS23"/>
  <c r="DS31"/>
  <c r="DS35"/>
  <c r="DS20"/>
  <c r="DS24"/>
  <c r="DS26"/>
  <c r="DS27"/>
  <c r="DS28"/>
  <c r="DS29"/>
  <c r="DS46"/>
  <c r="DS32"/>
  <c r="DS33"/>
  <c r="DS34"/>
  <c r="DS47"/>
  <c r="DS36"/>
  <c r="DS38"/>
  <c r="DS39"/>
  <c r="DS48"/>
  <c r="DS49"/>
  <c r="DS40"/>
  <c r="DS41"/>
  <c r="DS50"/>
  <c r="DS43"/>
  <c r="DS42"/>
  <c r="DS37"/>
  <c r="AN16"/>
  <c r="AM16"/>
  <c r="AH16"/>
  <c r="AG16"/>
  <c r="FE14" l="1"/>
  <c r="FE37"/>
  <c r="EV14"/>
  <c r="EV15"/>
  <c r="EV16"/>
  <c r="EV23"/>
  <c r="EV31"/>
  <c r="EV35"/>
  <c r="EV20"/>
  <c r="EV18"/>
  <c r="EV24"/>
  <c r="EV26"/>
  <c r="EV27"/>
  <c r="EV30"/>
  <c r="EV29"/>
  <c r="EV32"/>
  <c r="EV33"/>
  <c r="EV34"/>
  <c r="EV47"/>
  <c r="EV36"/>
  <c r="EV38"/>
  <c r="EV39"/>
  <c r="EV48"/>
  <c r="EV49"/>
  <c r="EV40"/>
  <c r="EV41"/>
  <c r="EV43"/>
  <c r="EV42"/>
  <c r="EM14"/>
  <c r="EM15"/>
  <c r="EM16"/>
  <c r="EM17"/>
  <c r="EM23"/>
  <c r="EM31"/>
  <c r="EM35"/>
  <c r="EM20"/>
  <c r="EM18"/>
  <c r="EM19"/>
  <c r="EM24"/>
  <c r="EM26"/>
  <c r="EM27"/>
  <c r="EM30"/>
  <c r="EM29"/>
  <c r="EM32"/>
  <c r="EM33"/>
  <c r="EM34"/>
  <c r="EM47"/>
  <c r="EM36"/>
  <c r="EM38"/>
  <c r="EM39"/>
  <c r="EM48"/>
  <c r="EM49"/>
  <c r="EM40"/>
  <c r="EM41"/>
  <c r="EM50"/>
  <c r="EM43"/>
  <c r="EM42"/>
  <c r="DL31"/>
  <c r="DL35"/>
  <c r="DL18"/>
  <c r="DL27"/>
  <c r="DL30"/>
  <c r="DL29"/>
  <c r="DL40"/>
  <c r="DI13"/>
  <c r="DI12"/>
  <c r="DO12" s="1"/>
  <c r="DI16"/>
  <c r="DO16" s="1"/>
  <c r="DI31"/>
  <c r="DI35"/>
  <c r="DI18"/>
  <c r="DI26"/>
  <c r="DI27"/>
  <c r="DI30"/>
  <c r="DI29"/>
  <c r="DI32"/>
  <c r="DI33"/>
  <c r="DO33" s="1"/>
  <c r="DI34"/>
  <c r="DI38"/>
  <c r="DI39"/>
  <c r="DO39" s="1"/>
  <c r="DI40"/>
  <c r="DI41"/>
  <c r="DO41" s="1"/>
  <c r="DI43"/>
  <c r="DO43" s="1"/>
  <c r="DI42"/>
  <c r="DF13"/>
  <c r="DU13" s="1"/>
  <c r="DF12"/>
  <c r="DF16"/>
  <c r="DF31"/>
  <c r="DF35"/>
  <c r="DF18"/>
  <c r="DF26"/>
  <c r="DF27"/>
  <c r="DF30"/>
  <c r="DF29"/>
  <c r="DF32"/>
  <c r="DF33"/>
  <c r="DF34"/>
  <c r="DF38"/>
  <c r="DF39"/>
  <c r="DF40"/>
  <c r="DF41"/>
  <c r="DF43"/>
  <c r="DF42"/>
  <c r="CW13"/>
  <c r="CW14"/>
  <c r="CW23"/>
  <c r="CW31"/>
  <c r="CW35"/>
  <c r="CW20"/>
  <c r="CW18"/>
  <c r="CW24"/>
  <c r="EA24" s="1"/>
  <c r="CW27"/>
  <c r="CW28"/>
  <c r="CW30"/>
  <c r="CW29"/>
  <c r="CW46"/>
  <c r="EA46" s="1"/>
  <c r="CW33"/>
  <c r="EA33" s="1"/>
  <c r="CW47"/>
  <c r="EA47" s="1"/>
  <c r="CW36"/>
  <c r="CW40"/>
  <c r="CT13"/>
  <c r="CT12"/>
  <c r="CT14"/>
  <c r="DX14" s="1"/>
  <c r="CT15"/>
  <c r="CZ15" s="1"/>
  <c r="ED15" s="1"/>
  <c r="FB15" s="1"/>
  <c r="CT16"/>
  <c r="CZ16" s="1"/>
  <c r="CT23"/>
  <c r="DX23" s="1"/>
  <c r="CT31"/>
  <c r="CT35"/>
  <c r="CT20"/>
  <c r="CT18"/>
  <c r="CT24"/>
  <c r="DX24" s="1"/>
  <c r="CT26"/>
  <c r="CZ26" s="1"/>
  <c r="CT27"/>
  <c r="CT28"/>
  <c r="CT30"/>
  <c r="CT29"/>
  <c r="CT46"/>
  <c r="DX46" s="1"/>
  <c r="CT32"/>
  <c r="CZ32" s="1"/>
  <c r="CT33"/>
  <c r="CT34"/>
  <c r="CT47"/>
  <c r="CT36"/>
  <c r="DX36" s="1"/>
  <c r="CT38"/>
  <c r="CT39"/>
  <c r="CZ39" s="1"/>
  <c r="CT48"/>
  <c r="DX48" s="1"/>
  <c r="CT49"/>
  <c r="CZ49" s="1"/>
  <c r="CT40"/>
  <c r="CT41"/>
  <c r="CZ41" s="1"/>
  <c r="CT50"/>
  <c r="DX50" s="1"/>
  <c r="CT43"/>
  <c r="CZ43" s="1"/>
  <c r="CT42"/>
  <c r="CQ12"/>
  <c r="CQ14"/>
  <c r="DU14" s="1"/>
  <c r="CQ15"/>
  <c r="DU15" s="1"/>
  <c r="CQ16"/>
  <c r="CQ23"/>
  <c r="DU23" s="1"/>
  <c r="CQ31"/>
  <c r="CQ35"/>
  <c r="CQ20"/>
  <c r="DU20" s="1"/>
  <c r="CQ18"/>
  <c r="CQ24"/>
  <c r="DU24" s="1"/>
  <c r="CQ26"/>
  <c r="CQ27"/>
  <c r="CQ28"/>
  <c r="CQ30"/>
  <c r="CQ29"/>
  <c r="CQ46"/>
  <c r="DU46" s="1"/>
  <c r="CQ32"/>
  <c r="CQ33"/>
  <c r="CQ34"/>
  <c r="CQ47"/>
  <c r="DU47" s="1"/>
  <c r="CQ36"/>
  <c r="DU36" s="1"/>
  <c r="CQ38"/>
  <c r="CQ39"/>
  <c r="CQ48"/>
  <c r="DU48" s="1"/>
  <c r="CQ49"/>
  <c r="DU49" s="1"/>
  <c r="CQ40"/>
  <c r="CQ41"/>
  <c r="CQ50"/>
  <c r="DU50" s="1"/>
  <c r="CQ43"/>
  <c r="CQ42"/>
  <c r="BS31"/>
  <c r="BS35"/>
  <c r="BS18"/>
  <c r="BS27"/>
  <c r="BS30"/>
  <c r="BS29"/>
  <c r="BS40"/>
  <c r="BP13"/>
  <c r="BV13" s="1"/>
  <c r="BP12"/>
  <c r="BP16"/>
  <c r="BV16" s="1"/>
  <c r="BP31"/>
  <c r="BP35"/>
  <c r="BP18"/>
  <c r="BP26"/>
  <c r="BP27"/>
  <c r="BP30"/>
  <c r="BP29"/>
  <c r="BP32"/>
  <c r="BV32" s="1"/>
  <c r="BP34"/>
  <c r="BV34" s="1"/>
  <c r="BP38"/>
  <c r="BP39"/>
  <c r="BP49"/>
  <c r="BV49" s="1"/>
  <c r="BP40"/>
  <c r="BP41"/>
  <c r="BP43"/>
  <c r="BV43" s="1"/>
  <c r="BP42"/>
  <c r="BM13"/>
  <c r="BM12"/>
  <c r="BM16"/>
  <c r="BM31"/>
  <c r="BM35"/>
  <c r="BM18"/>
  <c r="BM26"/>
  <c r="BM27"/>
  <c r="BM30"/>
  <c r="BM29"/>
  <c r="BM32"/>
  <c r="BM34"/>
  <c r="BM38"/>
  <c r="BM39"/>
  <c r="BM49"/>
  <c r="BM40"/>
  <c r="BM41"/>
  <c r="BM43"/>
  <c r="BM42"/>
  <c r="BD13"/>
  <c r="BD14"/>
  <c r="CH14" s="1"/>
  <c r="BD23"/>
  <c r="CH23" s="1"/>
  <c r="BD31"/>
  <c r="BD35"/>
  <c r="BD20"/>
  <c r="CH20" s="1"/>
  <c r="BD18"/>
  <c r="BD24"/>
  <c r="CH24" s="1"/>
  <c r="BD27"/>
  <c r="BD28"/>
  <c r="CH28" s="1"/>
  <c r="BD30"/>
  <c r="BD29"/>
  <c r="BD46"/>
  <c r="BD47"/>
  <c r="CH47" s="1"/>
  <c r="BD36"/>
  <c r="CH36" s="1"/>
  <c r="BD48"/>
  <c r="BD40"/>
  <c r="BD37"/>
  <c r="BA13"/>
  <c r="BA45"/>
  <c r="CE45" s="1"/>
  <c r="BA12"/>
  <c r="BA14"/>
  <c r="CE14" s="1"/>
  <c r="BA15"/>
  <c r="CE15" s="1"/>
  <c r="BA16"/>
  <c r="BA23"/>
  <c r="CE23" s="1"/>
  <c r="BA31"/>
  <c r="BA35"/>
  <c r="BA20"/>
  <c r="BA18"/>
  <c r="BA24"/>
  <c r="CE24" s="1"/>
  <c r="BA26"/>
  <c r="BG26" s="1"/>
  <c r="BA27"/>
  <c r="BA28"/>
  <c r="BA30"/>
  <c r="BA29"/>
  <c r="BA46"/>
  <c r="CE46" s="1"/>
  <c r="BA32"/>
  <c r="BG32" s="1"/>
  <c r="BA33"/>
  <c r="CE33" s="1"/>
  <c r="BA34"/>
  <c r="BA47"/>
  <c r="BA36"/>
  <c r="CE36" s="1"/>
  <c r="BA38"/>
  <c r="BA39"/>
  <c r="BG39" s="1"/>
  <c r="BA48"/>
  <c r="CE48" s="1"/>
  <c r="BA49"/>
  <c r="BA40"/>
  <c r="BA41"/>
  <c r="BG41" s="1"/>
  <c r="BA50"/>
  <c r="BG50" s="1"/>
  <c r="BA43"/>
  <c r="BA42"/>
  <c r="AX13"/>
  <c r="AX45"/>
  <c r="CB45" s="1"/>
  <c r="AX12"/>
  <c r="AX14"/>
  <c r="CB14" s="1"/>
  <c r="AX15"/>
  <c r="CB15" s="1"/>
  <c r="AX16"/>
  <c r="AX23"/>
  <c r="CB23" s="1"/>
  <c r="AX31"/>
  <c r="AX35"/>
  <c r="AX20"/>
  <c r="CB20" s="1"/>
  <c r="AX18"/>
  <c r="AX24"/>
  <c r="CB24" s="1"/>
  <c r="AX26"/>
  <c r="AX27"/>
  <c r="AX28"/>
  <c r="AX30"/>
  <c r="AX29"/>
  <c r="AX46"/>
  <c r="CB46" s="1"/>
  <c r="AX32"/>
  <c r="AX33"/>
  <c r="CB33" s="1"/>
  <c r="AX34"/>
  <c r="AX47"/>
  <c r="CB47" s="1"/>
  <c r="AX36"/>
  <c r="CB36" s="1"/>
  <c r="AX38"/>
  <c r="AX39"/>
  <c r="AX48"/>
  <c r="CB48" s="1"/>
  <c r="AX49"/>
  <c r="AX40"/>
  <c r="AX41"/>
  <c r="AX50"/>
  <c r="AX43"/>
  <c r="AX42"/>
  <c r="FE51" l="1"/>
  <c r="CZ12"/>
  <c r="ED12" s="1"/>
  <c r="FB12" s="1"/>
  <c r="FH12" s="1"/>
  <c r="BG12"/>
  <c r="CB18"/>
  <c r="BD51"/>
  <c r="DX40"/>
  <c r="DO26"/>
  <c r="DR26" s="1"/>
  <c r="CE18"/>
  <c r="DU18"/>
  <c r="CB49"/>
  <c r="CH18"/>
  <c r="DU30"/>
  <c r="EA30"/>
  <c r="CZ30"/>
  <c r="DX30"/>
  <c r="CZ34"/>
  <c r="DX34"/>
  <c r="CB32"/>
  <c r="BG20"/>
  <c r="CK20" s="1"/>
  <c r="ES20" s="1"/>
  <c r="EY20" s="1"/>
  <c r="CB28"/>
  <c r="CB43"/>
  <c r="CB34"/>
  <c r="DU35"/>
  <c r="BG13"/>
  <c r="CK13" s="1"/>
  <c r="BV27"/>
  <c r="CH40"/>
  <c r="CB40"/>
  <c r="DX18"/>
  <c r="CB42"/>
  <c r="CB38"/>
  <c r="CB39"/>
  <c r="CB29"/>
  <c r="CB26"/>
  <c r="CB50"/>
  <c r="CB27"/>
  <c r="CE43"/>
  <c r="CK32"/>
  <c r="ES32" s="1"/>
  <c r="EY32" s="1"/>
  <c r="BV29"/>
  <c r="BG42"/>
  <c r="DO42"/>
  <c r="DR42" s="1"/>
  <c r="CB30"/>
  <c r="CB41"/>
  <c r="BV30"/>
  <c r="DU41"/>
  <c r="DU16"/>
  <c r="DX38"/>
  <c r="CZ35"/>
  <c r="EA31"/>
  <c r="DR16"/>
  <c r="EA13"/>
  <c r="BG14"/>
  <c r="CB35"/>
  <c r="CE34"/>
  <c r="CE16"/>
  <c r="BG15"/>
  <c r="DU40"/>
  <c r="DX31"/>
  <c r="DU39"/>
  <c r="DR33"/>
  <c r="DX15"/>
  <c r="BG28"/>
  <c r="CK28" s="1"/>
  <c r="BG43"/>
  <c r="CE32"/>
  <c r="CZ47"/>
  <c r="ED47" s="1"/>
  <c r="FB47" s="1"/>
  <c r="DR39"/>
  <c r="DX35"/>
  <c r="DU31"/>
  <c r="BG18"/>
  <c r="BG16"/>
  <c r="DU38"/>
  <c r="DU32"/>
  <c r="BG38"/>
  <c r="BG30"/>
  <c r="BG35"/>
  <c r="BG46"/>
  <c r="CK46" s="1"/>
  <c r="ES46" s="1"/>
  <c r="BG27"/>
  <c r="BG45"/>
  <c r="CB16"/>
  <c r="CE49"/>
  <c r="CE27"/>
  <c r="CE35"/>
  <c r="CE20"/>
  <c r="CH46"/>
  <c r="DX39"/>
  <c r="EA35"/>
  <c r="CZ18"/>
  <c r="DR43"/>
  <c r="DO38"/>
  <c r="DR38" s="1"/>
  <c r="DO29"/>
  <c r="DR29" s="1"/>
  <c r="DX41"/>
  <c r="CZ38"/>
  <c r="CH31"/>
  <c r="CE28"/>
  <c r="BG24"/>
  <c r="BG31"/>
  <c r="CB12"/>
  <c r="CE50"/>
  <c r="CE39"/>
  <c r="CH35"/>
  <c r="CH13"/>
  <c r="DX42"/>
  <c r="DX33"/>
  <c r="CZ42"/>
  <c r="DU33"/>
  <c r="DO30"/>
  <c r="BG33"/>
  <c r="CE12"/>
  <c r="CZ28"/>
  <c r="DU27"/>
  <c r="BG34"/>
  <c r="CK34" s="1"/>
  <c r="ES34" s="1"/>
  <c r="EY34" s="1"/>
  <c r="BV39"/>
  <c r="CK39" s="1"/>
  <c r="ES39" s="1"/>
  <c r="EY39" s="1"/>
  <c r="CZ33"/>
  <c r="ED33" s="1"/>
  <c r="FB33" s="1"/>
  <c r="DU43"/>
  <c r="DU28"/>
  <c r="DO35"/>
  <c r="DR35" s="1"/>
  <c r="DX16"/>
  <c r="BG48"/>
  <c r="BG47"/>
  <c r="BG36"/>
  <c r="CB31"/>
  <c r="BV12"/>
  <c r="CH48"/>
  <c r="CZ14"/>
  <c r="ED14" s="1"/>
  <c r="FB14" s="1"/>
  <c r="CZ48"/>
  <c r="ED48" s="1"/>
  <c r="FB48" s="1"/>
  <c r="CZ31"/>
  <c r="DU42"/>
  <c r="DU34"/>
  <c r="DU12"/>
  <c r="DR41"/>
  <c r="DX47"/>
  <c r="DR12"/>
  <c r="EA28"/>
  <c r="EA14"/>
  <c r="DX28"/>
  <c r="EA40"/>
  <c r="CZ24"/>
  <c r="ED24" s="1"/>
  <c r="FB24" s="1"/>
  <c r="DO40"/>
  <c r="DR40" s="1"/>
  <c r="DX13"/>
  <c r="CB13"/>
  <c r="CH27"/>
  <c r="CZ50"/>
  <c r="ED50" s="1"/>
  <c r="FB50" s="1"/>
  <c r="EA27"/>
  <c r="EA18"/>
  <c r="DU29"/>
  <c r="DU26"/>
  <c r="DX43"/>
  <c r="DX32"/>
  <c r="DO27"/>
  <c r="DR27" s="1"/>
  <c r="ED39"/>
  <c r="FB39" s="1"/>
  <c r="BV41"/>
  <c r="CE41"/>
  <c r="BV38"/>
  <c r="CE38"/>
  <c r="CE29"/>
  <c r="BV26"/>
  <c r="CK26" s="1"/>
  <c r="CE26"/>
  <c r="BV18"/>
  <c r="BV31"/>
  <c r="CE31"/>
  <c r="CE13"/>
  <c r="EA36"/>
  <c r="CZ36"/>
  <c r="ED36" s="1"/>
  <c r="FB36" s="1"/>
  <c r="EA29"/>
  <c r="CZ29"/>
  <c r="CZ20"/>
  <c r="EA20"/>
  <c r="CZ23"/>
  <c r="ED23" s="1"/>
  <c r="FB23" s="1"/>
  <c r="EA23"/>
  <c r="CH29"/>
  <c r="BG29"/>
  <c r="DX49"/>
  <c r="DO34"/>
  <c r="DR34" s="1"/>
  <c r="DX20"/>
  <c r="BV42"/>
  <c r="CE42"/>
  <c r="BV40"/>
  <c r="CE40"/>
  <c r="CE47"/>
  <c r="CE30"/>
  <c r="CH30"/>
  <c r="ED41"/>
  <c r="FB41" s="1"/>
  <c r="BG49"/>
  <c r="BG23"/>
  <c r="CK23" s="1"/>
  <c r="ES23" s="1"/>
  <c r="EY23" s="1"/>
  <c r="BV35"/>
  <c r="CZ40"/>
  <c r="BG40"/>
  <c r="DO18"/>
  <c r="DR18" s="1"/>
  <c r="DO31"/>
  <c r="DR31" s="1"/>
  <c r="ED16"/>
  <c r="FB16" s="1"/>
  <c r="CZ13"/>
  <c r="DO13"/>
  <c r="DR13" s="1"/>
  <c r="DX29"/>
  <c r="DX26"/>
  <c r="CZ46"/>
  <c r="ED46" s="1"/>
  <c r="FB46" s="1"/>
  <c r="CZ27"/>
  <c r="DX27"/>
  <c r="DX12"/>
  <c r="DO32"/>
  <c r="DR32" s="1"/>
  <c r="ED43"/>
  <c r="FB43" s="1"/>
  <c r="BA37"/>
  <c r="BA51" s="1"/>
  <c r="AI14"/>
  <c r="Z45"/>
  <c r="Z31"/>
  <c r="Z35"/>
  <c r="Z18"/>
  <c r="Z27"/>
  <c r="Z30"/>
  <c r="Z29"/>
  <c r="Z40"/>
  <c r="W13"/>
  <c r="AC13" s="1"/>
  <c r="W45"/>
  <c r="W12"/>
  <c r="W16"/>
  <c r="AC16" s="1"/>
  <c r="W17"/>
  <c r="AC17" s="1"/>
  <c r="W31"/>
  <c r="W35"/>
  <c r="W18"/>
  <c r="W19"/>
  <c r="AC19" s="1"/>
  <c r="AR19" s="1"/>
  <c r="EJ19" s="1"/>
  <c r="W25"/>
  <c r="W26"/>
  <c r="AC26" s="1"/>
  <c r="W27"/>
  <c r="W28"/>
  <c r="W30"/>
  <c r="W29"/>
  <c r="W32"/>
  <c r="W33"/>
  <c r="W34"/>
  <c r="AC34" s="1"/>
  <c r="W44"/>
  <c r="AC44" s="1"/>
  <c r="W38"/>
  <c r="W39"/>
  <c r="AC39" s="1"/>
  <c r="W49"/>
  <c r="AC49" s="1"/>
  <c r="W40"/>
  <c r="W41"/>
  <c r="AC41" s="1"/>
  <c r="W50"/>
  <c r="W43"/>
  <c r="AC43" s="1"/>
  <c r="W42"/>
  <c r="T25"/>
  <c r="T26"/>
  <c r="T27"/>
  <c r="T28"/>
  <c r="T30"/>
  <c r="T29"/>
  <c r="T32"/>
  <c r="T33"/>
  <c r="T34"/>
  <c r="T44"/>
  <c r="T38"/>
  <c r="T39"/>
  <c r="T49"/>
  <c r="T40"/>
  <c r="AI40" s="1"/>
  <c r="T41"/>
  <c r="T50"/>
  <c r="T43"/>
  <c r="T42"/>
  <c r="K13"/>
  <c r="K45"/>
  <c r="K14"/>
  <c r="AO14" s="1"/>
  <c r="K23"/>
  <c r="AO23" s="1"/>
  <c r="K31"/>
  <c r="K35"/>
  <c r="K20"/>
  <c r="K18"/>
  <c r="K24"/>
  <c r="AO24" s="1"/>
  <c r="K27"/>
  <c r="K28"/>
  <c r="AO28" s="1"/>
  <c r="K30"/>
  <c r="K29"/>
  <c r="K46"/>
  <c r="AO46" s="1"/>
  <c r="K33"/>
  <c r="K47"/>
  <c r="K36"/>
  <c r="AO36" s="1"/>
  <c r="K44"/>
  <c r="AO44" s="1"/>
  <c r="K48"/>
  <c r="K40"/>
  <c r="H13"/>
  <c r="H45"/>
  <c r="H12"/>
  <c r="H14"/>
  <c r="H15"/>
  <c r="H16"/>
  <c r="N16" s="1"/>
  <c r="H23"/>
  <c r="H31"/>
  <c r="H35"/>
  <c r="H20"/>
  <c r="H18"/>
  <c r="H24"/>
  <c r="H25"/>
  <c r="H26"/>
  <c r="N26" s="1"/>
  <c r="H27"/>
  <c r="H28"/>
  <c r="H30"/>
  <c r="H29"/>
  <c r="H46"/>
  <c r="H32"/>
  <c r="N32" s="1"/>
  <c r="H33"/>
  <c r="H34"/>
  <c r="N34" s="1"/>
  <c r="H47"/>
  <c r="H36"/>
  <c r="H44"/>
  <c r="H38"/>
  <c r="H39"/>
  <c r="H48"/>
  <c r="H49"/>
  <c r="N49" s="1"/>
  <c r="H40"/>
  <c r="H41"/>
  <c r="N41" s="1"/>
  <c r="H50"/>
  <c r="N50" s="1"/>
  <c r="H43"/>
  <c r="N43" s="1"/>
  <c r="H42"/>
  <c r="E13"/>
  <c r="E45"/>
  <c r="E12"/>
  <c r="E15"/>
  <c r="AI15" s="1"/>
  <c r="E16"/>
  <c r="E23"/>
  <c r="AI23" s="1"/>
  <c r="E31"/>
  <c r="E35"/>
  <c r="E20"/>
  <c r="AI20" s="1"/>
  <c r="E18"/>
  <c r="E24"/>
  <c r="AI24" s="1"/>
  <c r="E25"/>
  <c r="E26"/>
  <c r="E27"/>
  <c r="E28"/>
  <c r="E30"/>
  <c r="E29"/>
  <c r="E46"/>
  <c r="AI46" s="1"/>
  <c r="E32"/>
  <c r="E33"/>
  <c r="E34"/>
  <c r="E47"/>
  <c r="AI47" s="1"/>
  <c r="E36"/>
  <c r="AI36" s="1"/>
  <c r="E44"/>
  <c r="E38"/>
  <c r="E39"/>
  <c r="E48"/>
  <c r="AI48" s="1"/>
  <c r="E49"/>
  <c r="E50"/>
  <c r="E43"/>
  <c r="E42"/>
  <c r="DL37"/>
  <c r="DL51" s="1"/>
  <c r="BS37"/>
  <c r="BS51" s="1"/>
  <c r="BP37"/>
  <c r="BP51" s="1"/>
  <c r="Z37"/>
  <c r="W37"/>
  <c r="T37"/>
  <c r="K37"/>
  <c r="H37"/>
  <c r="E37"/>
  <c r="T16"/>
  <c r="T12"/>
  <c r="T31"/>
  <c r="T35"/>
  <c r="T18"/>
  <c r="T19"/>
  <c r="AI19" s="1"/>
  <c r="DZ13"/>
  <c r="DY13"/>
  <c r="DW13"/>
  <c r="DV13"/>
  <c r="DS13"/>
  <c r="DN13"/>
  <c r="DQ13" s="1"/>
  <c r="DM13"/>
  <c r="DP13" s="1"/>
  <c r="CX13"/>
  <c r="CG13"/>
  <c r="CF13"/>
  <c r="CD13"/>
  <c r="CC13"/>
  <c r="CA13"/>
  <c r="BZ13"/>
  <c r="BX13"/>
  <c r="BW13"/>
  <c r="BF13"/>
  <c r="AN13"/>
  <c r="AM13"/>
  <c r="AK13"/>
  <c r="AJ13"/>
  <c r="AH13"/>
  <c r="AG13"/>
  <c r="AE13"/>
  <c r="AD13"/>
  <c r="T13"/>
  <c r="ED26" l="1"/>
  <c r="DS51"/>
  <c r="O14" i="10" s="1"/>
  <c r="O44" s="1"/>
  <c r="N12" i="5"/>
  <c r="H51"/>
  <c r="Z51"/>
  <c r="E51"/>
  <c r="K51"/>
  <c r="AC12"/>
  <c r="AF12" s="1"/>
  <c r="W51"/>
  <c r="FB26"/>
  <c r="CK40"/>
  <c r="ES40" s="1"/>
  <c r="EY40" s="1"/>
  <c r="N33"/>
  <c r="N31"/>
  <c r="AI18"/>
  <c r="AO18"/>
  <c r="CK27"/>
  <c r="ES27" s="1"/>
  <c r="EY27" s="1"/>
  <c r="CK18"/>
  <c r="ES18" s="1"/>
  <c r="EY18" s="1"/>
  <c r="AI38"/>
  <c r="AL18"/>
  <c r="ED30"/>
  <c r="FB30" s="1"/>
  <c r="N30"/>
  <c r="ED40"/>
  <c r="FB40" s="1"/>
  <c r="CK35"/>
  <c r="ES35" s="1"/>
  <c r="EY35" s="1"/>
  <c r="N38"/>
  <c r="N44"/>
  <c r="AR44" s="1"/>
  <c r="N13"/>
  <c r="Q13" s="1"/>
  <c r="N36"/>
  <c r="AR36" s="1"/>
  <c r="EJ36" s="1"/>
  <c r="N28"/>
  <c r="AO29"/>
  <c r="AL24"/>
  <c r="N24"/>
  <c r="AR24" s="1"/>
  <c r="EJ24" s="1"/>
  <c r="AL14"/>
  <c r="N14"/>
  <c r="AR14" s="1"/>
  <c r="EJ14" s="1"/>
  <c r="CK48"/>
  <c r="ES48" s="1"/>
  <c r="EY48" s="1"/>
  <c r="CK45"/>
  <c r="ES45" s="1"/>
  <c r="EY45" s="1"/>
  <c r="BH13"/>
  <c r="CI13"/>
  <c r="N15"/>
  <c r="AR15" s="1"/>
  <c r="CK49"/>
  <c r="ES49" s="1"/>
  <c r="EY49" s="1"/>
  <c r="CK47"/>
  <c r="ES47" s="1"/>
  <c r="EY47" s="1"/>
  <c r="ED42"/>
  <c r="CK43"/>
  <c r="ES43" s="1"/>
  <c r="EY43" s="1"/>
  <c r="AL20"/>
  <c r="N20"/>
  <c r="Q20" s="1"/>
  <c r="AL39"/>
  <c r="N39"/>
  <c r="AR39" s="1"/>
  <c r="AL47"/>
  <c r="N47"/>
  <c r="AL46"/>
  <c r="N46"/>
  <c r="AR46" s="1"/>
  <c r="EJ46" s="1"/>
  <c r="AL23"/>
  <c r="N23"/>
  <c r="AR23" s="1"/>
  <c r="EJ23" s="1"/>
  <c r="CK14"/>
  <c r="ES14" s="1"/>
  <c r="EY14" s="1"/>
  <c r="CK42"/>
  <c r="ES42" s="1"/>
  <c r="EY42" s="1"/>
  <c r="N35"/>
  <c r="N40"/>
  <c r="AI16"/>
  <c r="N27"/>
  <c r="N18"/>
  <c r="AC45"/>
  <c r="ED38"/>
  <c r="FB38" s="1"/>
  <c r="CK29"/>
  <c r="ES29" s="1"/>
  <c r="EY29" s="1"/>
  <c r="ES26"/>
  <c r="EY26" s="1"/>
  <c r="CK31"/>
  <c r="ES31" s="1"/>
  <c r="EY31" s="1"/>
  <c r="CK30"/>
  <c r="ES30" s="1"/>
  <c r="EY30" s="1"/>
  <c r="BI13"/>
  <c r="CJ13"/>
  <c r="AL48"/>
  <c r="N48"/>
  <c r="AR48" s="1"/>
  <c r="EJ48" s="1"/>
  <c r="CK33"/>
  <c r="ES33" s="1"/>
  <c r="EY33" s="1"/>
  <c r="CK15"/>
  <c r="ES15" s="1"/>
  <c r="EY15" s="1"/>
  <c r="N42"/>
  <c r="CK36"/>
  <c r="ES36" s="1"/>
  <c r="EY36" s="1"/>
  <c r="CK24"/>
  <c r="ES24" s="1"/>
  <c r="EY24" s="1"/>
  <c r="CK16"/>
  <c r="ES16" s="1"/>
  <c r="EY16" s="1"/>
  <c r="CK50"/>
  <c r="ES50" s="1"/>
  <c r="CK12"/>
  <c r="ES12" s="1"/>
  <c r="EY12" s="1"/>
  <c r="N25"/>
  <c r="N29"/>
  <c r="N45"/>
  <c r="CK41"/>
  <c r="ES41" s="1"/>
  <c r="EY41" s="1"/>
  <c r="AC25"/>
  <c r="AF25" s="1"/>
  <c r="AI13"/>
  <c r="AO13"/>
  <c r="AI31"/>
  <c r="AI12"/>
  <c r="AL45"/>
  <c r="AI50"/>
  <c r="AI39"/>
  <c r="AI28"/>
  <c r="AF44"/>
  <c r="AC29"/>
  <c r="AF29" s="1"/>
  <c r="DR30"/>
  <c r="ED29"/>
  <c r="FB29" s="1"/>
  <c r="AI34"/>
  <c r="AI29"/>
  <c r="AI26"/>
  <c r="AL19"/>
  <c r="ES28"/>
  <c r="AI17"/>
  <c r="AI33"/>
  <c r="AI30"/>
  <c r="AI25"/>
  <c r="AI35"/>
  <c r="AR41"/>
  <c r="EJ41" s="1"/>
  <c r="AC30"/>
  <c r="AF30" s="1"/>
  <c r="AC35"/>
  <c r="AF35" s="1"/>
  <c r="ED28"/>
  <c r="CK38"/>
  <c r="ES38" s="1"/>
  <c r="EY38" s="1"/>
  <c r="AL17"/>
  <c r="AO30"/>
  <c r="AO45"/>
  <c r="ED34"/>
  <c r="FB34" s="1"/>
  <c r="FH34" s="1"/>
  <c r="ES13"/>
  <c r="AL35"/>
  <c r="AL43"/>
  <c r="AL34"/>
  <c r="AL29"/>
  <c r="AL12"/>
  <c r="AL50"/>
  <c r="AL28"/>
  <c r="AL36"/>
  <c r="ED35"/>
  <c r="FB35" s="1"/>
  <c r="AO31"/>
  <c r="AL30"/>
  <c r="AL25"/>
  <c r="AI43"/>
  <c r="AF41"/>
  <c r="AL38"/>
  <c r="AL15"/>
  <c r="AL33"/>
  <c r="AR34"/>
  <c r="EJ34" s="1"/>
  <c r="AI49"/>
  <c r="AF34"/>
  <c r="AL13"/>
  <c r="EC13"/>
  <c r="FA13" s="1"/>
  <c r="AO20"/>
  <c r="AR17"/>
  <c r="AI42"/>
  <c r="AF49"/>
  <c r="AF26"/>
  <c r="AL31"/>
  <c r="AO48"/>
  <c r="ED27"/>
  <c r="FB27" s="1"/>
  <c r="ED13"/>
  <c r="EG13" s="1"/>
  <c r="EB13"/>
  <c r="EZ13" s="1"/>
  <c r="DA13"/>
  <c r="AL41"/>
  <c r="AR43"/>
  <c r="EJ43" s="1"/>
  <c r="AF39"/>
  <c r="AF17"/>
  <c r="AL26"/>
  <c r="AL49"/>
  <c r="AQ13"/>
  <c r="EI13" s="1"/>
  <c r="AO40"/>
  <c r="AO27"/>
  <c r="AI41"/>
  <c r="AI32"/>
  <c r="AI27"/>
  <c r="AL42"/>
  <c r="AL40"/>
  <c r="AL32"/>
  <c r="AL27"/>
  <c r="ED32"/>
  <c r="FB32" s="1"/>
  <c r="AF43"/>
  <c r="AR49"/>
  <c r="ED49"/>
  <c r="FB49" s="1"/>
  <c r="FH49" s="1"/>
  <c r="AC42"/>
  <c r="AC40"/>
  <c r="AF40" s="1"/>
  <c r="AC32"/>
  <c r="AC27"/>
  <c r="AF27" s="1"/>
  <c r="AO33"/>
  <c r="AO35"/>
  <c r="AC38"/>
  <c r="AF38" s="1"/>
  <c r="AC33"/>
  <c r="AF33" s="1"/>
  <c r="AC28"/>
  <c r="AF28" s="1"/>
  <c r="AL16"/>
  <c r="AO47"/>
  <c r="AL44"/>
  <c r="AR26"/>
  <c r="AC50"/>
  <c r="AF50" s="1"/>
  <c r="AC18"/>
  <c r="AC31"/>
  <c r="ED18"/>
  <c r="FB18" s="1"/>
  <c r="ED20"/>
  <c r="FB20" s="1"/>
  <c r="AI44"/>
  <c r="ED31"/>
  <c r="FB31" s="1"/>
  <c r="AF19"/>
  <c r="AU19"/>
  <c r="AR16"/>
  <c r="AF16"/>
  <c r="AO16"/>
  <c r="P13"/>
  <c r="DC13"/>
  <c r="BY13"/>
  <c r="AP13"/>
  <c r="EH13" s="1"/>
  <c r="O13"/>
  <c r="DB13"/>
  <c r="AR12" l="1"/>
  <c r="EJ12" s="1"/>
  <c r="AR13"/>
  <c r="AU13" s="1"/>
  <c r="FB28"/>
  <c r="EY28"/>
  <c r="AR18"/>
  <c r="AU26"/>
  <c r="EE13"/>
  <c r="EF13"/>
  <c r="EJ15"/>
  <c r="AU15"/>
  <c r="FB13"/>
  <c r="AR50"/>
  <c r="AU50" s="1"/>
  <c r="FB42"/>
  <c r="AR35"/>
  <c r="AU35" s="1"/>
  <c r="AF42"/>
  <c r="AR20"/>
  <c r="AU20" s="1"/>
  <c r="AR25"/>
  <c r="AU25" s="1"/>
  <c r="AR29"/>
  <c r="EJ29" s="1"/>
  <c r="AR30"/>
  <c r="EJ30" s="1"/>
  <c r="AU41"/>
  <c r="AU36"/>
  <c r="AT13"/>
  <c r="AU48"/>
  <c r="AU17"/>
  <c r="AU43"/>
  <c r="AR45"/>
  <c r="EJ45" s="1"/>
  <c r="EP45" s="1"/>
  <c r="AR40"/>
  <c r="AU40" s="1"/>
  <c r="EJ26"/>
  <c r="EJ17"/>
  <c r="AU34"/>
  <c r="AU12"/>
  <c r="AR42"/>
  <c r="AR38"/>
  <c r="AU38" s="1"/>
  <c r="AU46"/>
  <c r="AU24"/>
  <c r="AU23"/>
  <c r="AR32"/>
  <c r="AF32"/>
  <c r="EJ39"/>
  <c r="AU39"/>
  <c r="AF18"/>
  <c r="EJ49"/>
  <c r="AU49"/>
  <c r="AF31"/>
  <c r="AR31"/>
  <c r="AR33"/>
  <c r="AU33" s="1"/>
  <c r="EJ13"/>
  <c r="AR28"/>
  <c r="AR47"/>
  <c r="AU14"/>
  <c r="AF13"/>
  <c r="AR27"/>
  <c r="AU44"/>
  <c r="EJ16"/>
  <c r="AU16"/>
  <c r="AS13"/>
  <c r="ER13"/>
  <c r="CM13"/>
  <c r="BJ13"/>
  <c r="CL13"/>
  <c r="EQ13"/>
  <c r="EP12" l="1"/>
  <c r="FH28"/>
  <c r="AU30"/>
  <c r="AU29"/>
  <c r="EJ50"/>
  <c r="EJ20"/>
  <c r="EJ35"/>
  <c r="EJ25"/>
  <c r="EJ38"/>
  <c r="EJ40"/>
  <c r="EJ42"/>
  <c r="AU42"/>
  <c r="EJ33"/>
  <c r="EJ28"/>
  <c r="EP28" s="1"/>
  <c r="AU28"/>
  <c r="EJ31"/>
  <c r="AU31"/>
  <c r="EJ18"/>
  <c r="AU18"/>
  <c r="EJ27"/>
  <c r="AU27"/>
  <c r="EJ32"/>
  <c r="AU32"/>
  <c r="EJ47"/>
  <c r="AU47"/>
  <c r="CN13"/>
  <c r="T45" l="1"/>
  <c r="T51" s="1"/>
  <c r="AI45" l="1"/>
  <c r="AU45" s="1"/>
  <c r="AF45"/>
  <c r="EV37"/>
  <c r="EV51" s="1"/>
  <c r="EM37"/>
  <c r="DF37"/>
  <c r="DF51" s="1"/>
  <c r="DI37"/>
  <c r="DI51" s="1"/>
  <c r="BM37"/>
  <c r="BM51" s="1"/>
  <c r="EZ1"/>
  <c r="EQ1"/>
  <c r="EH1"/>
  <c r="EM25" l="1"/>
  <c r="DW42"/>
  <c r="DV42"/>
  <c r="DW43"/>
  <c r="DV43"/>
  <c r="DW50"/>
  <c r="DV50"/>
  <c r="DW41"/>
  <c r="DV41"/>
  <c r="DZ40"/>
  <c r="DY40"/>
  <c r="DW40"/>
  <c r="DV40"/>
  <c r="DW49"/>
  <c r="DV49"/>
  <c r="DW48"/>
  <c r="DV48"/>
  <c r="DW39"/>
  <c r="DV39"/>
  <c r="DW38"/>
  <c r="DV38"/>
  <c r="DZ36"/>
  <c r="DW36"/>
  <c r="DV36"/>
  <c r="DZ47"/>
  <c r="DW47"/>
  <c r="DV47"/>
  <c r="DZ33"/>
  <c r="DW33"/>
  <c r="DV33"/>
  <c r="DW32"/>
  <c r="DV32"/>
  <c r="DZ46"/>
  <c r="DW46"/>
  <c r="DV46"/>
  <c r="DZ29"/>
  <c r="DW29"/>
  <c r="DV29"/>
  <c r="DZ28"/>
  <c r="DY28"/>
  <c r="DW28"/>
  <c r="DV28"/>
  <c r="DZ27"/>
  <c r="DY27"/>
  <c r="DW27"/>
  <c r="DV27"/>
  <c r="DW26"/>
  <c r="DV26"/>
  <c r="DZ24"/>
  <c r="DY24"/>
  <c r="DW24"/>
  <c r="DV24"/>
  <c r="DZ18"/>
  <c r="DY18"/>
  <c r="DW18"/>
  <c r="DV18"/>
  <c r="DZ20"/>
  <c r="DY20"/>
  <c r="DW20"/>
  <c r="DV20"/>
  <c r="DZ35"/>
  <c r="DY35"/>
  <c r="DW35"/>
  <c r="DV35"/>
  <c r="DZ31"/>
  <c r="DY31"/>
  <c r="DW31"/>
  <c r="DV31"/>
  <c r="DZ23"/>
  <c r="DY23"/>
  <c r="DW23"/>
  <c r="DV23"/>
  <c r="DW16"/>
  <c r="DV16"/>
  <c r="DW15"/>
  <c r="DV15"/>
  <c r="DZ14"/>
  <c r="DY14"/>
  <c r="DW14"/>
  <c r="DV14"/>
  <c r="DW12"/>
  <c r="DV12"/>
  <c r="DZ37"/>
  <c r="DY37"/>
  <c r="DW37"/>
  <c r="DV37"/>
  <c r="DT37"/>
  <c r="CD42"/>
  <c r="CC42"/>
  <c r="CD43"/>
  <c r="CC43"/>
  <c r="CD50"/>
  <c r="CC50"/>
  <c r="CD41"/>
  <c r="CC41"/>
  <c r="CG40"/>
  <c r="CF40"/>
  <c r="CD40"/>
  <c r="CC40"/>
  <c r="CD49"/>
  <c r="CC49"/>
  <c r="CG48"/>
  <c r="CF48"/>
  <c r="CD48"/>
  <c r="CC48"/>
  <c r="CD39"/>
  <c r="CC39"/>
  <c r="CD38"/>
  <c r="CC38"/>
  <c r="CG36"/>
  <c r="CF36"/>
  <c r="CD36"/>
  <c r="CC36"/>
  <c r="CG47"/>
  <c r="CF47"/>
  <c r="CD47"/>
  <c r="CC47"/>
  <c r="CD34"/>
  <c r="CC34"/>
  <c r="CD33"/>
  <c r="CC33"/>
  <c r="CD32"/>
  <c r="CC32"/>
  <c r="CG46"/>
  <c r="CF46"/>
  <c r="CD46"/>
  <c r="CC46"/>
  <c r="CG29"/>
  <c r="CF29"/>
  <c r="CD29"/>
  <c r="CC29"/>
  <c r="CG30"/>
  <c r="CF30"/>
  <c r="CD30"/>
  <c r="CC30"/>
  <c r="CG28"/>
  <c r="CF28"/>
  <c r="CD28"/>
  <c r="CC28"/>
  <c r="CG27"/>
  <c r="CF27"/>
  <c r="CD27"/>
  <c r="CC27"/>
  <c r="CD26"/>
  <c r="CC26"/>
  <c r="CG24"/>
  <c r="CF24"/>
  <c r="CD24"/>
  <c r="CC24"/>
  <c r="CG20"/>
  <c r="CF20"/>
  <c r="CD20"/>
  <c r="CC20"/>
  <c r="CG35"/>
  <c r="CF35"/>
  <c r="CD35"/>
  <c r="CC35"/>
  <c r="CA35"/>
  <c r="BZ35"/>
  <c r="CG31"/>
  <c r="CF31"/>
  <c r="CD31"/>
  <c r="CC31"/>
  <c r="CA31"/>
  <c r="BZ31"/>
  <c r="CG23"/>
  <c r="CF23"/>
  <c r="CD23"/>
  <c r="CC23"/>
  <c r="CA23"/>
  <c r="BZ23"/>
  <c r="CD16"/>
  <c r="CC16"/>
  <c r="CA16"/>
  <c r="BZ16"/>
  <c r="CD15"/>
  <c r="CC15"/>
  <c r="CA15"/>
  <c r="BZ15"/>
  <c r="CG14"/>
  <c r="CF14"/>
  <c r="CD14"/>
  <c r="CC14"/>
  <c r="CA14"/>
  <c r="BZ14"/>
  <c r="CD12"/>
  <c r="CC12"/>
  <c r="CA12"/>
  <c r="BZ12"/>
  <c r="CD45"/>
  <c r="CC45"/>
  <c r="CA45"/>
  <c r="BZ45"/>
  <c r="CG37"/>
  <c r="CF37"/>
  <c r="CD37"/>
  <c r="CC37"/>
  <c r="CA37"/>
  <c r="BZ37"/>
  <c r="CX14"/>
  <c r="DB14"/>
  <c r="CX15"/>
  <c r="DB15"/>
  <c r="CX16"/>
  <c r="DA16" s="1"/>
  <c r="DB16"/>
  <c r="CX23"/>
  <c r="DA23" s="1"/>
  <c r="DB23"/>
  <c r="CX31"/>
  <c r="DA31" s="1"/>
  <c r="CX35"/>
  <c r="DA35" s="1"/>
  <c r="DB35"/>
  <c r="CX20"/>
  <c r="DB20"/>
  <c r="CX18"/>
  <c r="DB18"/>
  <c r="CX24"/>
  <c r="DA24" s="1"/>
  <c r="DB24"/>
  <c r="CX26"/>
  <c r="DB26"/>
  <c r="CX27"/>
  <c r="DA27" s="1"/>
  <c r="DB27"/>
  <c r="CX28"/>
  <c r="DA30"/>
  <c r="DB30"/>
  <c r="CX29"/>
  <c r="DA29" s="1"/>
  <c r="DB29"/>
  <c r="CX46"/>
  <c r="DA46" s="1"/>
  <c r="DB46"/>
  <c r="CX32"/>
  <c r="DB32"/>
  <c r="CX33"/>
  <c r="DB33"/>
  <c r="DA34"/>
  <c r="DB34"/>
  <c r="CX47"/>
  <c r="CX36"/>
  <c r="DA36" s="1"/>
  <c r="DB36"/>
  <c r="CX38"/>
  <c r="DA38" s="1"/>
  <c r="DB38"/>
  <c r="CX39"/>
  <c r="DA39" s="1"/>
  <c r="DB39"/>
  <c r="CX48"/>
  <c r="DB48"/>
  <c r="CX49"/>
  <c r="CX40"/>
  <c r="DA40" s="1"/>
  <c r="DB40"/>
  <c r="CX41"/>
  <c r="CX50"/>
  <c r="DA50" s="1"/>
  <c r="CX43"/>
  <c r="DA43" s="1"/>
  <c r="CX42"/>
  <c r="CX37"/>
  <c r="CW37"/>
  <c r="CW51" s="1"/>
  <c r="CT37"/>
  <c r="CT51" s="1"/>
  <c r="CQ37"/>
  <c r="CQ51" s="1"/>
  <c r="DM12"/>
  <c r="DN12"/>
  <c r="DQ12" s="1"/>
  <c r="DM16"/>
  <c r="DP16" s="1"/>
  <c r="DN16"/>
  <c r="DQ16" s="1"/>
  <c r="DM31"/>
  <c r="DP31" s="1"/>
  <c r="DN31"/>
  <c r="DQ31" s="1"/>
  <c r="DM35"/>
  <c r="DP35" s="1"/>
  <c r="DN35"/>
  <c r="DQ35" s="1"/>
  <c r="DM18"/>
  <c r="DP18" s="1"/>
  <c r="DN18"/>
  <c r="DQ18" s="1"/>
  <c r="DM26"/>
  <c r="DN26"/>
  <c r="DQ26" s="1"/>
  <c r="DM27"/>
  <c r="DP27" s="1"/>
  <c r="DN27"/>
  <c r="DQ27" s="1"/>
  <c r="DM30"/>
  <c r="DN30"/>
  <c r="DM29"/>
  <c r="DP29" s="1"/>
  <c r="DN29"/>
  <c r="DQ29" s="1"/>
  <c r="DM32"/>
  <c r="DP32" s="1"/>
  <c r="DN32"/>
  <c r="DQ32" s="1"/>
  <c r="DM33"/>
  <c r="DP33" s="1"/>
  <c r="DN33"/>
  <c r="DQ33" s="1"/>
  <c r="DM38"/>
  <c r="DP38" s="1"/>
  <c r="DN38"/>
  <c r="DQ38" s="1"/>
  <c r="DM39"/>
  <c r="DP39" s="1"/>
  <c r="DN39"/>
  <c r="DQ39" s="1"/>
  <c r="DM40"/>
  <c r="DP40" s="1"/>
  <c r="DN40"/>
  <c r="DQ40" s="1"/>
  <c r="DM41"/>
  <c r="DP41" s="1"/>
  <c r="DN41"/>
  <c r="DQ41" s="1"/>
  <c r="DM43"/>
  <c r="DP43" s="1"/>
  <c r="DN43"/>
  <c r="DQ43" s="1"/>
  <c r="DM42"/>
  <c r="DN42"/>
  <c r="DN37"/>
  <c r="DO37"/>
  <c r="DM37"/>
  <c r="BT12"/>
  <c r="BU12"/>
  <c r="BY12"/>
  <c r="BW16"/>
  <c r="BU16"/>
  <c r="BX16" s="1"/>
  <c r="BY16"/>
  <c r="BW31"/>
  <c r="BU31"/>
  <c r="BY31"/>
  <c r="BT35"/>
  <c r="BW35" s="1"/>
  <c r="BU35"/>
  <c r="BX35" s="1"/>
  <c r="BY35"/>
  <c r="BT18"/>
  <c r="BW18" s="1"/>
  <c r="BU18"/>
  <c r="BX18" s="1"/>
  <c r="BY18"/>
  <c r="BT26"/>
  <c r="BW26" s="1"/>
  <c r="BU26"/>
  <c r="BX26" s="1"/>
  <c r="BY26"/>
  <c r="BW27"/>
  <c r="BX27"/>
  <c r="BY27"/>
  <c r="BW30"/>
  <c r="BX30"/>
  <c r="BY30"/>
  <c r="BW29"/>
  <c r="BX29"/>
  <c r="BY29"/>
  <c r="BT32"/>
  <c r="BW32" s="1"/>
  <c r="BU32"/>
  <c r="BX32" s="1"/>
  <c r="BY32"/>
  <c r="BW34"/>
  <c r="BX34"/>
  <c r="BY34"/>
  <c r="BW38"/>
  <c r="BU38"/>
  <c r="BX38" s="1"/>
  <c r="BY38"/>
  <c r="BT39"/>
  <c r="BW39" s="1"/>
  <c r="BU39"/>
  <c r="BX39" s="1"/>
  <c r="BY39"/>
  <c r="BW49"/>
  <c r="BU49"/>
  <c r="BX49" s="1"/>
  <c r="BY49"/>
  <c r="BT40"/>
  <c r="BW40" s="1"/>
  <c r="BU40"/>
  <c r="BX40" s="1"/>
  <c r="BY40"/>
  <c r="BT41"/>
  <c r="BW41" s="1"/>
  <c r="BU41"/>
  <c r="BX41" s="1"/>
  <c r="BY41"/>
  <c r="BT43"/>
  <c r="BW43" s="1"/>
  <c r="BU43"/>
  <c r="BX43" s="1"/>
  <c r="BY43"/>
  <c r="BT42"/>
  <c r="BU42"/>
  <c r="BY42"/>
  <c r="BU37"/>
  <c r="BV37"/>
  <c r="BT37"/>
  <c r="CI45"/>
  <c r="BF45"/>
  <c r="BE12"/>
  <c r="BF12"/>
  <c r="BE14"/>
  <c r="CI14" s="1"/>
  <c r="BF14"/>
  <c r="BE15"/>
  <c r="CI15" s="1"/>
  <c r="BF15"/>
  <c r="CJ15" s="1"/>
  <c r="BE16"/>
  <c r="BF16"/>
  <c r="BE23"/>
  <c r="BF23"/>
  <c r="BI23" s="1"/>
  <c r="BE31"/>
  <c r="BF31"/>
  <c r="BE35"/>
  <c r="BF35"/>
  <c r="BE20"/>
  <c r="CI20" s="1"/>
  <c r="BF20"/>
  <c r="BE18"/>
  <c r="BF18"/>
  <c r="BE24"/>
  <c r="BF24"/>
  <c r="BE26"/>
  <c r="BF26"/>
  <c r="BE27"/>
  <c r="BF27"/>
  <c r="BE28"/>
  <c r="BF28"/>
  <c r="BE30"/>
  <c r="BF30"/>
  <c r="BE29"/>
  <c r="CI29" s="1"/>
  <c r="BF29"/>
  <c r="BE46"/>
  <c r="BH46" s="1"/>
  <c r="BF46"/>
  <c r="BE32"/>
  <c r="BF32"/>
  <c r="BE33"/>
  <c r="BF33"/>
  <c r="CJ33" s="1"/>
  <c r="BE34"/>
  <c r="BF34"/>
  <c r="BE47"/>
  <c r="BF47"/>
  <c r="CJ47" s="1"/>
  <c r="BE36"/>
  <c r="BF36"/>
  <c r="BE38"/>
  <c r="BH38" s="1"/>
  <c r="BF38"/>
  <c r="BI38" s="1"/>
  <c r="BE39"/>
  <c r="BF39"/>
  <c r="BE48"/>
  <c r="CI48" s="1"/>
  <c r="BF48"/>
  <c r="CJ48" s="1"/>
  <c r="BE49"/>
  <c r="CI49" s="1"/>
  <c r="BF49"/>
  <c r="BE40"/>
  <c r="BF40"/>
  <c r="BE41"/>
  <c r="BF41"/>
  <c r="BE50"/>
  <c r="BF50"/>
  <c r="BE43"/>
  <c r="BF43"/>
  <c r="BE42"/>
  <c r="BF42"/>
  <c r="BH37"/>
  <c r="R1"/>
  <c r="AG1" s="1"/>
  <c r="AV1" s="1"/>
  <c r="DY51" l="1"/>
  <c r="CF51"/>
  <c r="DO51"/>
  <c r="DR51" s="1"/>
  <c r="BZ51"/>
  <c r="I14" i="10" s="1"/>
  <c r="I44" s="1"/>
  <c r="DZ51" i="5"/>
  <c r="DT51"/>
  <c r="P14" i="10" s="1"/>
  <c r="P44" s="1"/>
  <c r="BE51" i="5"/>
  <c r="BH51" s="1"/>
  <c r="BF51"/>
  <c r="BI51" s="1"/>
  <c r="BT51"/>
  <c r="BV51"/>
  <c r="BY51" s="1"/>
  <c r="BX12"/>
  <c r="BU51"/>
  <c r="BX51" s="1"/>
  <c r="DA14"/>
  <c r="CX51"/>
  <c r="DA51" s="1"/>
  <c r="CA51"/>
  <c r="J14" i="10" s="1"/>
  <c r="J44" s="1"/>
  <c r="CG51" i="5"/>
  <c r="EM51"/>
  <c r="DW51"/>
  <c r="DN51"/>
  <c r="DQ51" s="1"/>
  <c r="DP26"/>
  <c r="DM51"/>
  <c r="DP51" s="1"/>
  <c r="DV51"/>
  <c r="CD51"/>
  <c r="CC51"/>
  <c r="CJ18"/>
  <c r="CJ49"/>
  <c r="ER49" s="1"/>
  <c r="EX49" s="1"/>
  <c r="DQ30"/>
  <c r="EC30"/>
  <c r="CI18"/>
  <c r="EQ18" s="1"/>
  <c r="EW18" s="1"/>
  <c r="DP30"/>
  <c r="EB30"/>
  <c r="CJ31"/>
  <c r="CJ39"/>
  <c r="DP37"/>
  <c r="DU37"/>
  <c r="DA37"/>
  <c r="EA37"/>
  <c r="EA51" s="1"/>
  <c r="BW37"/>
  <c r="BW51"/>
  <c r="CJ43"/>
  <c r="CJ12"/>
  <c r="CI41"/>
  <c r="EQ41" s="1"/>
  <c r="EW41" s="1"/>
  <c r="CJ32"/>
  <c r="CM32" s="1"/>
  <c r="BH50"/>
  <c r="CI50"/>
  <c r="BH47"/>
  <c r="CI47"/>
  <c r="BH27"/>
  <c r="CI27"/>
  <c r="BH35"/>
  <c r="CI35"/>
  <c r="BH23"/>
  <c r="CI23"/>
  <c r="BH12"/>
  <c r="CI12"/>
  <c r="BW42"/>
  <c r="DQ42"/>
  <c r="DA42"/>
  <c r="BI42"/>
  <c r="CJ42"/>
  <c r="BI40"/>
  <c r="CJ40"/>
  <c r="BI35"/>
  <c r="CJ35"/>
  <c r="ER35" s="1"/>
  <c r="EX35" s="1"/>
  <c r="BI36"/>
  <c r="CJ36"/>
  <c r="BI34"/>
  <c r="CJ34"/>
  <c r="BI29"/>
  <c r="CJ29"/>
  <c r="BI28"/>
  <c r="CJ28"/>
  <c r="BI26"/>
  <c r="CJ26"/>
  <c r="BI24"/>
  <c r="CJ24"/>
  <c r="BI20"/>
  <c r="CJ20"/>
  <c r="BI16"/>
  <c r="CJ16"/>
  <c r="BI14"/>
  <c r="CJ14"/>
  <c r="BI45"/>
  <c r="CJ45"/>
  <c r="DP42"/>
  <c r="CJ41"/>
  <c r="BH42"/>
  <c r="CI42"/>
  <c r="BH40"/>
  <c r="CI40"/>
  <c r="BH33"/>
  <c r="CI33"/>
  <c r="EQ33" s="1"/>
  <c r="EW33" s="1"/>
  <c r="BH30"/>
  <c r="CI30"/>
  <c r="BI50"/>
  <c r="CJ50"/>
  <c r="BI30"/>
  <c r="CJ30"/>
  <c r="CM30" s="1"/>
  <c r="BI27"/>
  <c r="CJ27"/>
  <c r="BI18"/>
  <c r="BX42"/>
  <c r="DB42"/>
  <c r="BH43"/>
  <c r="CI43"/>
  <c r="BH39"/>
  <c r="CI39"/>
  <c r="BH36"/>
  <c r="CI36"/>
  <c r="BH34"/>
  <c r="CI34"/>
  <c r="BH28"/>
  <c r="CI28"/>
  <c r="BH26"/>
  <c r="CI26"/>
  <c r="BH24"/>
  <c r="CI24"/>
  <c r="BH31"/>
  <c r="CI31"/>
  <c r="BH16"/>
  <c r="CI16"/>
  <c r="CI32"/>
  <c r="EQ32" s="1"/>
  <c r="EW32" s="1"/>
  <c r="BX37"/>
  <c r="DR37"/>
  <c r="DB37"/>
  <c r="BY37"/>
  <c r="DP12"/>
  <c r="BW12"/>
  <c r="DA12"/>
  <c r="BI37"/>
  <c r="DQ37"/>
  <c r="BK1"/>
  <c r="BZ1" s="1"/>
  <c r="CL48"/>
  <c r="EQ20"/>
  <c r="EW20" s="1"/>
  <c r="CL15"/>
  <c r="DC41"/>
  <c r="DC24"/>
  <c r="CM15"/>
  <c r="DC50"/>
  <c r="DC28"/>
  <c r="ER33"/>
  <c r="EX33" s="1"/>
  <c r="EQ49"/>
  <c r="EW49" s="1"/>
  <c r="CM48"/>
  <c r="ER48"/>
  <c r="EX48" s="1"/>
  <c r="CI38"/>
  <c r="CL29"/>
  <c r="CJ46"/>
  <c r="EC43"/>
  <c r="DC49"/>
  <c r="EB15"/>
  <c r="EB28"/>
  <c r="EB20"/>
  <c r="EB47"/>
  <c r="EC28"/>
  <c r="EB41"/>
  <c r="EC47"/>
  <c r="EB32"/>
  <c r="EB18"/>
  <c r="EZ18" s="1"/>
  <c r="FF18" s="1"/>
  <c r="EC12"/>
  <c r="EC41"/>
  <c r="EB48"/>
  <c r="EB26"/>
  <c r="EC31"/>
  <c r="EB33"/>
  <c r="EZ33" s="1"/>
  <c r="FF33" s="1"/>
  <c r="DC18"/>
  <c r="EB49"/>
  <c r="EZ49" s="1"/>
  <c r="FF49" s="1"/>
  <c r="DC26"/>
  <c r="CZ37"/>
  <c r="CZ51" s="1"/>
  <c r="DC33"/>
  <c r="DC36"/>
  <c r="FH30"/>
  <c r="DC30"/>
  <c r="CI46"/>
  <c r="EC14"/>
  <c r="EC15"/>
  <c r="EC16"/>
  <c r="EC23"/>
  <c r="EC35"/>
  <c r="EC20"/>
  <c r="EC27"/>
  <c r="EC29"/>
  <c r="EC32"/>
  <c r="EC34"/>
  <c r="FA34" s="1"/>
  <c r="EC36"/>
  <c r="EC38"/>
  <c r="EC48"/>
  <c r="EC40"/>
  <c r="FA40" s="1"/>
  <c r="FG40" s="1"/>
  <c r="EC50"/>
  <c r="DB43"/>
  <c r="DA48"/>
  <c r="DA32"/>
  <c r="DA20"/>
  <c r="DB31"/>
  <c r="DB12"/>
  <c r="BI43"/>
  <c r="BH48"/>
  <c r="BH32"/>
  <c r="BH20"/>
  <c r="BI31"/>
  <c r="BH15"/>
  <c r="BI12"/>
  <c r="CJ37"/>
  <c r="CJ23"/>
  <c r="DX37"/>
  <c r="DX51" s="1"/>
  <c r="EB14"/>
  <c r="EB16"/>
  <c r="EB23"/>
  <c r="EB35"/>
  <c r="EB27"/>
  <c r="EB29"/>
  <c r="EB34"/>
  <c r="EZ34" s="1"/>
  <c r="EB36"/>
  <c r="EZ36" s="1"/>
  <c r="EB38"/>
  <c r="EB40"/>
  <c r="EB50"/>
  <c r="EC42"/>
  <c r="DA41"/>
  <c r="DA47"/>
  <c r="DA28"/>
  <c r="BH41"/>
  <c r="BI48"/>
  <c r="BI32"/>
  <c r="BI15"/>
  <c r="CI37"/>
  <c r="EB42"/>
  <c r="DB41"/>
  <c r="DB47"/>
  <c r="DB28"/>
  <c r="BI41"/>
  <c r="BI47"/>
  <c r="BH29"/>
  <c r="BH14"/>
  <c r="CJ38"/>
  <c r="DA49"/>
  <c r="DA33"/>
  <c r="DA26"/>
  <c r="DA18"/>
  <c r="BH49"/>
  <c r="BH18"/>
  <c r="EC37"/>
  <c r="EC18"/>
  <c r="EC24"/>
  <c r="EC26"/>
  <c r="EC46"/>
  <c r="EC33"/>
  <c r="EC39"/>
  <c r="EC49"/>
  <c r="BI49"/>
  <c r="BI33"/>
  <c r="BH45"/>
  <c r="EB37"/>
  <c r="EB12"/>
  <c r="EB31"/>
  <c r="EB24"/>
  <c r="EB46"/>
  <c r="EB39"/>
  <c r="EB43"/>
  <c r="BI39"/>
  <c r="BI46"/>
  <c r="CO1"/>
  <c r="DU51" l="1"/>
  <c r="Q14" i="10" s="1"/>
  <c r="Q44" s="1"/>
  <c r="EC51" i="5"/>
  <c r="EZ26"/>
  <c r="EB51"/>
  <c r="CJ51"/>
  <c r="M14" i="10" s="1"/>
  <c r="CL28" i="5"/>
  <c r="CI51"/>
  <c r="DB51"/>
  <c r="DC51"/>
  <c r="ER32"/>
  <c r="EX32" s="1"/>
  <c r="ED37"/>
  <c r="ED51" s="1"/>
  <c r="EQ15"/>
  <c r="EW15" s="1"/>
  <c r="DD1"/>
  <c r="DS1" s="1"/>
  <c r="EF40"/>
  <c r="CL32"/>
  <c r="CM33"/>
  <c r="EQ48"/>
  <c r="EW48" s="1"/>
  <c r="DC39"/>
  <c r="ER15"/>
  <c r="EX15" s="1"/>
  <c r="DC23"/>
  <c r="CM49"/>
  <c r="EG24"/>
  <c r="CL20"/>
  <c r="DC46"/>
  <c r="DC47"/>
  <c r="EE26"/>
  <c r="CL41"/>
  <c r="EE33"/>
  <c r="EG30"/>
  <c r="CL49"/>
  <c r="EE18"/>
  <c r="EE49"/>
  <c r="CL18"/>
  <c r="CL33"/>
  <c r="CL16"/>
  <c r="EQ16"/>
  <c r="EW16" s="1"/>
  <c r="EE37"/>
  <c r="EZ37"/>
  <c r="EE24"/>
  <c r="EZ24"/>
  <c r="FF24" s="1"/>
  <c r="EF18"/>
  <c r="FA18"/>
  <c r="FG18" s="1"/>
  <c r="CM18"/>
  <c r="ER18"/>
  <c r="EX18" s="1"/>
  <c r="CM36"/>
  <c r="ER36"/>
  <c r="EX36" s="1"/>
  <c r="EE40"/>
  <c r="EZ40"/>
  <c r="FF40" s="1"/>
  <c r="EE29"/>
  <c r="EZ29"/>
  <c r="FF29" s="1"/>
  <c r="CM26"/>
  <c r="ER26"/>
  <c r="EX26" s="1"/>
  <c r="EF36"/>
  <c r="FA36"/>
  <c r="FG36" s="1"/>
  <c r="CM28"/>
  <c r="ER28"/>
  <c r="EG36"/>
  <c r="FH36"/>
  <c r="EF31"/>
  <c r="FA31"/>
  <c r="FG31" s="1"/>
  <c r="EE41"/>
  <c r="EZ41"/>
  <c r="FF41" s="1"/>
  <c r="CL45"/>
  <c r="EQ45"/>
  <c r="EW45" s="1"/>
  <c r="CM43"/>
  <c r="ER43"/>
  <c r="EX43" s="1"/>
  <c r="EE12"/>
  <c r="EZ12"/>
  <c r="FF12" s="1"/>
  <c r="EF24"/>
  <c r="FA24"/>
  <c r="FG24" s="1"/>
  <c r="CL30"/>
  <c r="EQ30"/>
  <c r="EW30" s="1"/>
  <c r="CM38"/>
  <c r="ER38"/>
  <c r="EX38" s="1"/>
  <c r="CL24"/>
  <c r="EQ24"/>
  <c r="EW24" s="1"/>
  <c r="EE14"/>
  <c r="EZ14"/>
  <c r="FF14" s="1"/>
  <c r="EQ28"/>
  <c r="CM37"/>
  <c r="ER37"/>
  <c r="EF38"/>
  <c r="FA38"/>
  <c r="FG38" s="1"/>
  <c r="EF14"/>
  <c r="FA14"/>
  <c r="FG14" s="1"/>
  <c r="CL12"/>
  <c r="EQ12"/>
  <c r="EW12" s="1"/>
  <c r="EF47"/>
  <c r="FA47"/>
  <c r="FG47" s="1"/>
  <c r="EE28"/>
  <c r="EZ28"/>
  <c r="CM31"/>
  <c r="ER31"/>
  <c r="EX31" s="1"/>
  <c r="EF26"/>
  <c r="FA26"/>
  <c r="FG26" s="1"/>
  <c r="CL34"/>
  <c r="EQ34"/>
  <c r="EW34" s="1"/>
  <c r="CL26"/>
  <c r="EQ26"/>
  <c r="EW26" s="1"/>
  <c r="EE50"/>
  <c r="EZ50"/>
  <c r="EE34"/>
  <c r="FF34"/>
  <c r="EF48"/>
  <c r="FA48"/>
  <c r="FG48" s="1"/>
  <c r="EF15"/>
  <c r="FA15"/>
  <c r="FG15" s="1"/>
  <c r="CL46"/>
  <c r="EQ46"/>
  <c r="EE32"/>
  <c r="EZ32"/>
  <c r="FF32" s="1"/>
  <c r="EF43"/>
  <c r="FA43"/>
  <c r="FG43" s="1"/>
  <c r="CM41"/>
  <c r="ER41"/>
  <c r="EX41" s="1"/>
  <c r="EE43"/>
  <c r="EZ43"/>
  <c r="FF43" s="1"/>
  <c r="EE46"/>
  <c r="EZ46"/>
  <c r="EF46"/>
  <c r="FA46"/>
  <c r="CM14"/>
  <c r="ER14"/>
  <c r="EX14" s="1"/>
  <c r="CL40"/>
  <c r="EQ40"/>
  <c r="EW40" s="1"/>
  <c r="CM23"/>
  <c r="ER23"/>
  <c r="EX23" s="1"/>
  <c r="EF27"/>
  <c r="FA27"/>
  <c r="FG27" s="1"/>
  <c r="EF16"/>
  <c r="FA16"/>
  <c r="FG16" s="1"/>
  <c r="EG47"/>
  <c r="FH47"/>
  <c r="EE20"/>
  <c r="EZ20"/>
  <c r="FF20" s="1"/>
  <c r="CM39"/>
  <c r="ER39"/>
  <c r="EX39" s="1"/>
  <c r="CL27"/>
  <c r="EQ27"/>
  <c r="EW27" s="1"/>
  <c r="CL36"/>
  <c r="EQ36"/>
  <c r="EW36" s="1"/>
  <c r="EF42"/>
  <c r="FA42"/>
  <c r="EE16"/>
  <c r="EZ16"/>
  <c r="FF16" s="1"/>
  <c r="CL43"/>
  <c r="EQ43"/>
  <c r="EW43" s="1"/>
  <c r="EE31"/>
  <c r="EZ31"/>
  <c r="FF31" s="1"/>
  <c r="CL31"/>
  <c r="EQ31"/>
  <c r="EW31" s="1"/>
  <c r="EF33"/>
  <c r="FA33"/>
  <c r="FG33" s="1"/>
  <c r="EF37"/>
  <c r="FA37"/>
  <c r="CM16"/>
  <c r="ER16"/>
  <c r="EX16" s="1"/>
  <c r="CL50"/>
  <c r="EQ50"/>
  <c r="EE36"/>
  <c r="FF36"/>
  <c r="CM40"/>
  <c r="ER40"/>
  <c r="EX40" s="1"/>
  <c r="FA50"/>
  <c r="EF30"/>
  <c r="FA30"/>
  <c r="FG30" s="1"/>
  <c r="EF23"/>
  <c r="FA23"/>
  <c r="FG23" s="1"/>
  <c r="CL47"/>
  <c r="EQ47"/>
  <c r="EW47" s="1"/>
  <c r="EF12"/>
  <c r="FA12"/>
  <c r="FG12" s="1"/>
  <c r="EE47"/>
  <c r="EZ47"/>
  <c r="FF47" s="1"/>
  <c r="CM47"/>
  <c r="ER47"/>
  <c r="EX47" s="1"/>
  <c r="CL38"/>
  <c r="EQ38"/>
  <c r="EW38" s="1"/>
  <c r="CM35"/>
  <c r="EF39"/>
  <c r="FA39"/>
  <c r="FG39" s="1"/>
  <c r="CM45"/>
  <c r="ER45"/>
  <c r="EX45" s="1"/>
  <c r="ER30"/>
  <c r="EX30" s="1"/>
  <c r="EE42"/>
  <c r="EZ42"/>
  <c r="EE38"/>
  <c r="EZ38"/>
  <c r="FF38" s="1"/>
  <c r="EE27"/>
  <c r="EZ27"/>
  <c r="FF27" s="1"/>
  <c r="EE23"/>
  <c r="EZ23"/>
  <c r="FF23" s="1"/>
  <c r="CM50"/>
  <c r="ER50"/>
  <c r="CL35"/>
  <c r="EQ35"/>
  <c r="EW35" s="1"/>
  <c r="EF29"/>
  <c r="FA29"/>
  <c r="FG29" s="1"/>
  <c r="EF35"/>
  <c r="FA35"/>
  <c r="FG35" s="1"/>
  <c r="EG39"/>
  <c r="FH39"/>
  <c r="EG28"/>
  <c r="EF41"/>
  <c r="FA41"/>
  <c r="FG41" s="1"/>
  <c r="EF28"/>
  <c r="FA28"/>
  <c r="CM46"/>
  <c r="ER46"/>
  <c r="EQ29"/>
  <c r="EW29" s="1"/>
  <c r="CM27"/>
  <c r="ER27"/>
  <c r="EX27" s="1"/>
  <c r="CM29"/>
  <c r="ER29"/>
  <c r="EX29" s="1"/>
  <c r="CL37"/>
  <c r="EQ37"/>
  <c r="EE35"/>
  <c r="EZ35"/>
  <c r="FF35" s="1"/>
  <c r="CL42"/>
  <c r="EQ42"/>
  <c r="EF32"/>
  <c r="FA32"/>
  <c r="FG32" s="1"/>
  <c r="EF20"/>
  <c r="FA20"/>
  <c r="FG20" s="1"/>
  <c r="CL39"/>
  <c r="EQ39"/>
  <c r="EW39" s="1"/>
  <c r="CM20"/>
  <c r="ER20"/>
  <c r="EX20" s="1"/>
  <c r="EG23"/>
  <c r="FH23"/>
  <c r="EE48"/>
  <c r="EZ48"/>
  <c r="FF48" s="1"/>
  <c r="EZ15"/>
  <c r="EE39"/>
  <c r="EZ39"/>
  <c r="FF39" s="1"/>
  <c r="FA49"/>
  <c r="CM34"/>
  <c r="ER34"/>
  <c r="EX34" s="1"/>
  <c r="CL23"/>
  <c r="EQ23"/>
  <c r="EW23" s="1"/>
  <c r="EE30"/>
  <c r="EZ30"/>
  <c r="FF30" s="1"/>
  <c r="CM24"/>
  <c r="ER24"/>
  <c r="EX24" s="1"/>
  <c r="EF34"/>
  <c r="FG34"/>
  <c r="CM42"/>
  <c r="ER42"/>
  <c r="EG41"/>
  <c r="FH41"/>
  <c r="EG46"/>
  <c r="CL14"/>
  <c r="EQ14"/>
  <c r="EW14" s="1"/>
  <c r="CM12"/>
  <c r="ER12"/>
  <c r="EX12" s="1"/>
  <c r="DC37"/>
  <c r="DC32"/>
  <c r="DC42"/>
  <c r="DC38"/>
  <c r="DC20"/>
  <c r="DC40"/>
  <c r="DC29"/>
  <c r="DC15"/>
  <c r="DC34"/>
  <c r="DC27"/>
  <c r="DC35"/>
  <c r="DC31"/>
  <c r="DC14"/>
  <c r="DC12"/>
  <c r="DC16"/>
  <c r="DC48"/>
  <c r="DC43"/>
  <c r="CH37"/>
  <c r="CH51" s="1"/>
  <c r="AX37"/>
  <c r="AX51" s="1"/>
  <c r="AG14"/>
  <c r="AH14"/>
  <c r="AJ14"/>
  <c r="AK14"/>
  <c r="AM14"/>
  <c r="AN14"/>
  <c r="AG15"/>
  <c r="AH15"/>
  <c r="AJ15"/>
  <c r="AK15"/>
  <c r="AJ16"/>
  <c r="AK16"/>
  <c r="AG17"/>
  <c r="AH17"/>
  <c r="AJ17"/>
  <c r="AK17"/>
  <c r="AG23"/>
  <c r="AH23"/>
  <c r="AJ23"/>
  <c r="AK23"/>
  <c r="AM23"/>
  <c r="AN23"/>
  <c r="AG31"/>
  <c r="AH31"/>
  <c r="AJ31"/>
  <c r="AK31"/>
  <c r="AM31"/>
  <c r="AN31"/>
  <c r="AG35"/>
  <c r="AH35"/>
  <c r="AJ35"/>
  <c r="AK35"/>
  <c r="AM35"/>
  <c r="AN35"/>
  <c r="AG20"/>
  <c r="AH20"/>
  <c r="AJ20"/>
  <c r="AK20"/>
  <c r="AM20"/>
  <c r="AN20"/>
  <c r="AG19"/>
  <c r="AH19"/>
  <c r="AJ19"/>
  <c r="AK19"/>
  <c r="AG24"/>
  <c r="AH24"/>
  <c r="AJ24"/>
  <c r="AK24"/>
  <c r="AM24"/>
  <c r="AN24"/>
  <c r="AG25"/>
  <c r="AH25"/>
  <c r="AJ25"/>
  <c r="AK25"/>
  <c r="AG26"/>
  <c r="AH26"/>
  <c r="AJ26"/>
  <c r="AK26"/>
  <c r="AG27"/>
  <c r="AH27"/>
  <c r="AJ27"/>
  <c r="AK27"/>
  <c r="AM27"/>
  <c r="AN27"/>
  <c r="AG28"/>
  <c r="AH28"/>
  <c r="AJ28"/>
  <c r="AK28"/>
  <c r="AM28"/>
  <c r="AN28"/>
  <c r="AG30"/>
  <c r="AH30"/>
  <c r="AJ30"/>
  <c r="AK30"/>
  <c r="AM30"/>
  <c r="AN30"/>
  <c r="AG29"/>
  <c r="AH29"/>
  <c r="AJ29"/>
  <c r="AK29"/>
  <c r="AM29"/>
  <c r="AN29"/>
  <c r="AG46"/>
  <c r="AH46"/>
  <c r="AJ46"/>
  <c r="AK46"/>
  <c r="AM46"/>
  <c r="AN46"/>
  <c r="AG32"/>
  <c r="AH32"/>
  <c r="AJ32"/>
  <c r="AK32"/>
  <c r="AG33"/>
  <c r="AH33"/>
  <c r="AJ33"/>
  <c r="AK33"/>
  <c r="AM33"/>
  <c r="AN33"/>
  <c r="AG34"/>
  <c r="AH34"/>
  <c r="AJ34"/>
  <c r="AK34"/>
  <c r="AG47"/>
  <c r="AH47"/>
  <c r="AJ47"/>
  <c r="AK47"/>
  <c r="AM47"/>
  <c r="AN47"/>
  <c r="AG36"/>
  <c r="AH36"/>
  <c r="AJ36"/>
  <c r="AK36"/>
  <c r="AM36"/>
  <c r="AN36"/>
  <c r="AG44"/>
  <c r="AH44"/>
  <c r="AJ44"/>
  <c r="AK44"/>
  <c r="AM44"/>
  <c r="AN44"/>
  <c r="AG38"/>
  <c r="AH38"/>
  <c r="AJ38"/>
  <c r="AK38"/>
  <c r="AG39"/>
  <c r="AH39"/>
  <c r="AJ39"/>
  <c r="AK39"/>
  <c r="AG48"/>
  <c r="AH48"/>
  <c r="AJ48"/>
  <c r="AK48"/>
  <c r="AM48"/>
  <c r="AN48"/>
  <c r="AG49"/>
  <c r="AH49"/>
  <c r="AJ49"/>
  <c r="AK49"/>
  <c r="AG40"/>
  <c r="AH40"/>
  <c r="AJ40"/>
  <c r="AK40"/>
  <c r="AM40"/>
  <c r="AN40"/>
  <c r="AG41"/>
  <c r="AH41"/>
  <c r="AJ41"/>
  <c r="AK41"/>
  <c r="AG50"/>
  <c r="AH50"/>
  <c r="AJ50"/>
  <c r="AK50"/>
  <c r="AG43"/>
  <c r="AH43"/>
  <c r="AJ43"/>
  <c r="AK43"/>
  <c r="AG42"/>
  <c r="AH42"/>
  <c r="AJ42"/>
  <c r="AK42"/>
  <c r="AG45"/>
  <c r="AH45"/>
  <c r="AJ45"/>
  <c r="AK45"/>
  <c r="AM45"/>
  <c r="AN45"/>
  <c r="AG12"/>
  <c r="AH12"/>
  <c r="AJ12"/>
  <c r="AK12"/>
  <c r="AH37"/>
  <c r="AI37"/>
  <c r="AJ37"/>
  <c r="AK37"/>
  <c r="AL37"/>
  <c r="AL51" s="1"/>
  <c r="AM37"/>
  <c r="AN37"/>
  <c r="AO37"/>
  <c r="AO51" s="1"/>
  <c r="AG37"/>
  <c r="AB42"/>
  <c r="AA42"/>
  <c r="AB43"/>
  <c r="AE43" s="1"/>
  <c r="AA43"/>
  <c r="AD43" s="1"/>
  <c r="AB50"/>
  <c r="AE50" s="1"/>
  <c r="AA50"/>
  <c r="AD50" s="1"/>
  <c r="AB41"/>
  <c r="AE41" s="1"/>
  <c r="AA41"/>
  <c r="AD41" s="1"/>
  <c r="AB40"/>
  <c r="AE40" s="1"/>
  <c r="AA40"/>
  <c r="AD40" s="1"/>
  <c r="AB49"/>
  <c r="AE49" s="1"/>
  <c r="AA49"/>
  <c r="AD49" s="1"/>
  <c r="AB39"/>
  <c r="AE39" s="1"/>
  <c r="AA39"/>
  <c r="AD39" s="1"/>
  <c r="AB38"/>
  <c r="AE38" s="1"/>
  <c r="AA38"/>
  <c r="AD38" s="1"/>
  <c r="AB44"/>
  <c r="AA44"/>
  <c r="AD44" s="1"/>
  <c r="AB34"/>
  <c r="AE34" s="1"/>
  <c r="AA34"/>
  <c r="AD34" s="1"/>
  <c r="AB33"/>
  <c r="AE33" s="1"/>
  <c r="AA33"/>
  <c r="AD33" s="1"/>
  <c r="AB32"/>
  <c r="AE32" s="1"/>
  <c r="AA32"/>
  <c r="AD32" s="1"/>
  <c r="AB29"/>
  <c r="AE29" s="1"/>
  <c r="AA29"/>
  <c r="AD29" s="1"/>
  <c r="AB30"/>
  <c r="AE30" s="1"/>
  <c r="AA30"/>
  <c r="AD30" s="1"/>
  <c r="AB28"/>
  <c r="AE28" s="1"/>
  <c r="AA28"/>
  <c r="AD28" s="1"/>
  <c r="AB27"/>
  <c r="AE27" s="1"/>
  <c r="AA27"/>
  <c r="AD27" s="1"/>
  <c r="AB26"/>
  <c r="AE26" s="1"/>
  <c r="AA26"/>
  <c r="AD26" s="1"/>
  <c r="AB25"/>
  <c r="AE25" s="1"/>
  <c r="AA25"/>
  <c r="AD25" s="1"/>
  <c r="AB19"/>
  <c r="AE19" s="1"/>
  <c r="AA19"/>
  <c r="AD19" s="1"/>
  <c r="AB18"/>
  <c r="AA18"/>
  <c r="AB35"/>
  <c r="AE35" s="1"/>
  <c r="AA35"/>
  <c r="AD35" s="1"/>
  <c r="AB31"/>
  <c r="AE31" s="1"/>
  <c r="AA31"/>
  <c r="AD31" s="1"/>
  <c r="AD17"/>
  <c r="AB16"/>
  <c r="AA16"/>
  <c r="AE12"/>
  <c r="AD12"/>
  <c r="AE45"/>
  <c r="AC37"/>
  <c r="AB37"/>
  <c r="AA37"/>
  <c r="P45"/>
  <c r="Q45"/>
  <c r="P12"/>
  <c r="P15"/>
  <c r="O31"/>
  <c r="Q31"/>
  <c r="AQ24"/>
  <c r="EI24" s="1"/>
  <c r="EO24" s="1"/>
  <c r="Q24"/>
  <c r="O25"/>
  <c r="P26"/>
  <c r="O30"/>
  <c r="Q46"/>
  <c r="O32"/>
  <c r="P33"/>
  <c r="O34"/>
  <c r="O47"/>
  <c r="O36"/>
  <c r="Q39"/>
  <c r="O48"/>
  <c r="P49"/>
  <c r="O41"/>
  <c r="O50"/>
  <c r="O42"/>
  <c r="M37"/>
  <c r="N37"/>
  <c r="O37"/>
  <c r="CO4" i="1"/>
  <c r="AG51" i="5" l="1"/>
  <c r="C14" i="10" s="1"/>
  <c r="C44" s="1"/>
  <c r="AC51" i="5"/>
  <c r="AF51" s="1"/>
  <c r="AD16"/>
  <c r="AA51"/>
  <c r="AK51"/>
  <c r="AN51"/>
  <c r="M51"/>
  <c r="P51" s="1"/>
  <c r="AI51"/>
  <c r="E14" i="10" s="1"/>
  <c r="E44" s="1"/>
  <c r="AH51" i="5"/>
  <c r="D14" i="10" s="1"/>
  <c r="D44" s="1"/>
  <c r="N51" i="5"/>
  <c r="Q51" s="1"/>
  <c r="AE16"/>
  <c r="AB51"/>
  <c r="AE51" s="1"/>
  <c r="AJ51"/>
  <c r="AM51"/>
  <c r="FA51"/>
  <c r="FF26"/>
  <c r="EZ51"/>
  <c r="EQ51"/>
  <c r="L14" i="10"/>
  <c r="L44" s="1"/>
  <c r="ER51" i="5"/>
  <c r="EX51" s="1"/>
  <c r="AD18"/>
  <c r="AP18"/>
  <c r="EH18" s="1"/>
  <c r="EN18" s="1"/>
  <c r="M44" i="10"/>
  <c r="AE18" i="5"/>
  <c r="AQ18"/>
  <c r="FB37"/>
  <c r="CL51"/>
  <c r="CM51"/>
  <c r="EF51"/>
  <c r="S14" i="10"/>
  <c r="S44" s="1"/>
  <c r="EG51" i="5"/>
  <c r="T14" i="10"/>
  <c r="T44" s="1"/>
  <c r="EE51" i="5"/>
  <c r="R14" i="10"/>
  <c r="R44" s="1"/>
  <c r="AD37" i="5"/>
  <c r="AD51"/>
  <c r="CB37"/>
  <c r="AD42"/>
  <c r="FG42"/>
  <c r="AP35"/>
  <c r="EH35" s="1"/>
  <c r="EN35" s="1"/>
  <c r="FF42"/>
  <c r="AE42"/>
  <c r="AQ28"/>
  <c r="EI28" s="1"/>
  <c r="EW42"/>
  <c r="EX42"/>
  <c r="AQ17"/>
  <c r="EI17" s="1"/>
  <c r="O45"/>
  <c r="AF37"/>
  <c r="EW37"/>
  <c r="FF37"/>
  <c r="AE37"/>
  <c r="FG37"/>
  <c r="EX37"/>
  <c r="EG37"/>
  <c r="AP27"/>
  <c r="EH27" s="1"/>
  <c r="EN27" s="1"/>
  <c r="FH24"/>
  <c r="AP42"/>
  <c r="EG50"/>
  <c r="AP40"/>
  <c r="AS40" s="1"/>
  <c r="EP48"/>
  <c r="AQ39"/>
  <c r="EI39" s="1"/>
  <c r="EO39" s="1"/>
  <c r="AP38"/>
  <c r="EH38" s="1"/>
  <c r="EN38" s="1"/>
  <c r="EP36"/>
  <c r="AQ47"/>
  <c r="EI47" s="1"/>
  <c r="EO47" s="1"/>
  <c r="AP29"/>
  <c r="AS29" s="1"/>
  <c r="EP50"/>
  <c r="EP20"/>
  <c r="EP41"/>
  <c r="AP49"/>
  <c r="AS49" s="1"/>
  <c r="AQ38"/>
  <c r="EI38" s="1"/>
  <c r="EO38" s="1"/>
  <c r="EP47"/>
  <c r="AP33"/>
  <c r="AS33" s="1"/>
  <c r="AQ29"/>
  <c r="EI29" s="1"/>
  <c r="EO29" s="1"/>
  <c r="AP26"/>
  <c r="AS26" s="1"/>
  <c r="AQ42"/>
  <c r="EG49"/>
  <c r="EP30"/>
  <c r="EP23"/>
  <c r="EP25"/>
  <c r="FH18"/>
  <c r="EG18"/>
  <c r="FH33"/>
  <c r="EG33"/>
  <c r="EG16"/>
  <c r="FH16"/>
  <c r="EG35"/>
  <c r="FH35"/>
  <c r="EG29"/>
  <c r="FH29"/>
  <c r="EG38"/>
  <c r="FH38"/>
  <c r="FH26"/>
  <c r="EG26"/>
  <c r="EG48"/>
  <c r="FH48"/>
  <c r="EG31"/>
  <c r="FH31"/>
  <c r="EG27"/>
  <c r="FH27"/>
  <c r="EG15"/>
  <c r="FH15"/>
  <c r="EG20"/>
  <c r="FH20"/>
  <c r="EG14"/>
  <c r="FH14"/>
  <c r="EG32"/>
  <c r="FH32"/>
  <c r="EG43"/>
  <c r="FH43"/>
  <c r="EG12"/>
  <c r="EG34"/>
  <c r="EG40"/>
  <c r="FH40"/>
  <c r="AT24"/>
  <c r="EG42"/>
  <c r="FH42"/>
  <c r="BG37"/>
  <c r="BG51" s="1"/>
  <c r="CE37"/>
  <c r="CE51" s="1"/>
  <c r="EP43"/>
  <c r="AQ48"/>
  <c r="EI48" s="1"/>
  <c r="EO48" s="1"/>
  <c r="AR37"/>
  <c r="AR51" s="1"/>
  <c r="AQ44"/>
  <c r="EI44" s="1"/>
  <c r="EP34"/>
  <c r="AP16"/>
  <c r="EH16" s="1"/>
  <c r="AP43"/>
  <c r="EH43" s="1"/>
  <c r="EN43" s="1"/>
  <c r="EP42"/>
  <c r="EP38"/>
  <c r="EP29"/>
  <c r="AQ35"/>
  <c r="EI35" s="1"/>
  <c r="AQ50"/>
  <c r="EI50" s="1"/>
  <c r="EO50" s="1"/>
  <c r="AP39"/>
  <c r="EH39" s="1"/>
  <c r="EN39" s="1"/>
  <c r="EP33"/>
  <c r="AP46"/>
  <c r="EH46" s="1"/>
  <c r="AQ30"/>
  <c r="EI30" s="1"/>
  <c r="EO30" s="1"/>
  <c r="EP26"/>
  <c r="EP49"/>
  <c r="AQ40"/>
  <c r="EI40" s="1"/>
  <c r="EO40" s="1"/>
  <c r="EP27"/>
  <c r="EP19"/>
  <c r="AP20"/>
  <c r="EH20" s="1"/>
  <c r="EN20" s="1"/>
  <c r="AP15"/>
  <c r="EH15" s="1"/>
  <c r="AQ25"/>
  <c r="EI25" s="1"/>
  <c r="EO25" s="1"/>
  <c r="AQ20"/>
  <c r="EI20" s="1"/>
  <c r="EO20" s="1"/>
  <c r="AP17"/>
  <c r="EH17" s="1"/>
  <c r="AP44"/>
  <c r="EH44" s="1"/>
  <c r="AQ34"/>
  <c r="EI34" s="1"/>
  <c r="EO34" s="1"/>
  <c r="AQ27"/>
  <c r="EI27" s="1"/>
  <c r="EO27" s="1"/>
  <c r="AQ19"/>
  <c r="EI19" s="1"/>
  <c r="EO19" s="1"/>
  <c r="AQ16"/>
  <c r="EI16" s="1"/>
  <c r="AP12"/>
  <c r="EI18"/>
  <c r="EO18" s="1"/>
  <c r="AP23"/>
  <c r="EH23" s="1"/>
  <c r="AQ37"/>
  <c r="AP24"/>
  <c r="EH24" s="1"/>
  <c r="EN24" s="1"/>
  <c r="EP18"/>
  <c r="AQ23"/>
  <c r="EI23" s="1"/>
  <c r="EP40"/>
  <c r="AQ43"/>
  <c r="EI43" s="1"/>
  <c r="EO43" s="1"/>
  <c r="AQ32"/>
  <c r="EI32" s="1"/>
  <c r="EO32" s="1"/>
  <c r="O15"/>
  <c r="P35"/>
  <c r="AQ14"/>
  <c r="EI14" s="1"/>
  <c r="Q49"/>
  <c r="AQ36"/>
  <c r="EI36" s="1"/>
  <c r="EO36" s="1"/>
  <c r="O40"/>
  <c r="Q47"/>
  <c r="P30"/>
  <c r="Q35"/>
  <c r="AP32"/>
  <c r="EH32" s="1"/>
  <c r="EN32" s="1"/>
  <c r="AP34"/>
  <c r="EH34" s="1"/>
  <c r="EN34" s="1"/>
  <c r="AQ46"/>
  <c r="EI46" s="1"/>
  <c r="AP19"/>
  <c r="EH19" s="1"/>
  <c r="Q41"/>
  <c r="P36"/>
  <c r="Q30"/>
  <c r="P50"/>
  <c r="Q36"/>
  <c r="P29"/>
  <c r="O24"/>
  <c r="Q16"/>
  <c r="AQ12"/>
  <c r="AQ31"/>
  <c r="EI31" s="1"/>
  <c r="Q50"/>
  <c r="P38"/>
  <c r="O46"/>
  <c r="P24"/>
  <c r="O23"/>
  <c r="AP48"/>
  <c r="EH48" s="1"/>
  <c r="EN48" s="1"/>
  <c r="AP30"/>
  <c r="EH30" s="1"/>
  <c r="EN30" s="1"/>
  <c r="AP28"/>
  <c r="EH28" s="1"/>
  <c r="P42"/>
  <c r="O39"/>
  <c r="P46"/>
  <c r="O26"/>
  <c r="O18"/>
  <c r="Q23"/>
  <c r="Q28"/>
  <c r="AQ41"/>
  <c r="EI41" s="1"/>
  <c r="EO41" s="1"/>
  <c r="AP14"/>
  <c r="EH14" s="1"/>
  <c r="P37"/>
  <c r="P39"/>
  <c r="O33"/>
  <c r="Q26"/>
  <c r="P18"/>
  <c r="P31"/>
  <c r="P14"/>
  <c r="AP36"/>
  <c r="EH36" s="1"/>
  <c r="EN36" s="1"/>
  <c r="Q37"/>
  <c r="O49"/>
  <c r="Q33"/>
  <c r="O27"/>
  <c r="Q14"/>
  <c r="P40"/>
  <c r="O44"/>
  <c r="P34"/>
  <c r="P27"/>
  <c r="Q12"/>
  <c r="P43"/>
  <c r="Q40"/>
  <c r="P44"/>
  <c r="Q34"/>
  <c r="Q27"/>
  <c r="Q18"/>
  <c r="P23"/>
  <c r="Q15"/>
  <c r="O14"/>
  <c r="AP37"/>
  <c r="Q43"/>
  <c r="Q44"/>
  <c r="P32"/>
  <c r="O28"/>
  <c r="AP45"/>
  <c r="EH45" s="1"/>
  <c r="EN45" s="1"/>
  <c r="AP41"/>
  <c r="EH41" s="1"/>
  <c r="EN41" s="1"/>
  <c r="AP47"/>
  <c r="EH47" s="1"/>
  <c r="EN47" s="1"/>
  <c r="AP31"/>
  <c r="EH31" s="1"/>
  <c r="P48"/>
  <c r="P25"/>
  <c r="P41"/>
  <c r="Q48"/>
  <c r="O38"/>
  <c r="P47"/>
  <c r="Q32"/>
  <c r="O29"/>
  <c r="P28"/>
  <c r="Q25"/>
  <c r="AQ45"/>
  <c r="EI45" s="1"/>
  <c r="EO45" s="1"/>
  <c r="AQ49"/>
  <c r="EI49" s="1"/>
  <c r="EO49" s="1"/>
  <c r="AQ33"/>
  <c r="EI33" s="1"/>
  <c r="EO33" s="1"/>
  <c r="AQ26"/>
  <c r="EI26" s="1"/>
  <c r="EO26" s="1"/>
  <c r="EP39"/>
  <c r="EP24"/>
  <c r="Q42"/>
  <c r="Q38"/>
  <c r="Q29"/>
  <c r="O16"/>
  <c r="P16"/>
  <c r="O12"/>
  <c r="AP50"/>
  <c r="EH50" s="1"/>
  <c r="EN50" s="1"/>
  <c r="AP25"/>
  <c r="EH25" s="1"/>
  <c r="EN25" s="1"/>
  <c r="AQ15"/>
  <c r="EI15" s="1"/>
  <c r="EH12" l="1"/>
  <c r="AP51"/>
  <c r="CB51"/>
  <c r="K14" i="10" s="1"/>
  <c r="K44" s="1"/>
  <c r="FB51" i="5"/>
  <c r="FH51" s="1"/>
  <c r="EI12"/>
  <c r="AQ51"/>
  <c r="FF51"/>
  <c r="EW51"/>
  <c r="FH37"/>
  <c r="AS35"/>
  <c r="BJ51"/>
  <c r="FG51"/>
  <c r="AU51"/>
  <c r="H14" i="10"/>
  <c r="H44" s="1"/>
  <c r="AT28" i="5"/>
  <c r="AT47"/>
  <c r="AS42"/>
  <c r="EI42"/>
  <c r="EJ37"/>
  <c r="EH37"/>
  <c r="EN37" s="1"/>
  <c r="EI37"/>
  <c r="AS27"/>
  <c r="EH40"/>
  <c r="EN40" s="1"/>
  <c r="EP32"/>
  <c r="AT42"/>
  <c r="EH49"/>
  <c r="EN49" s="1"/>
  <c r="EH29"/>
  <c r="EN29" s="1"/>
  <c r="AT38"/>
  <c r="EH42"/>
  <c r="AS38"/>
  <c r="AT29"/>
  <c r="EH33"/>
  <c r="EN33" s="1"/>
  <c r="AT39"/>
  <c r="EH26"/>
  <c r="EN26" s="1"/>
  <c r="AT46"/>
  <c r="AT27"/>
  <c r="AS25"/>
  <c r="AS37"/>
  <c r="AT25"/>
  <c r="AS16"/>
  <c r="EN16"/>
  <c r="AT15"/>
  <c r="EO15"/>
  <c r="AS31"/>
  <c r="EN31"/>
  <c r="AT41"/>
  <c r="AS28"/>
  <c r="AT37"/>
  <c r="AT16"/>
  <c r="EO16"/>
  <c r="AT23"/>
  <c r="EO23"/>
  <c r="AS48"/>
  <c r="AT50"/>
  <c r="AT45"/>
  <c r="EP15"/>
  <c r="AS24"/>
  <c r="AS12"/>
  <c r="AT20"/>
  <c r="AS20"/>
  <c r="AS46"/>
  <c r="AU37"/>
  <c r="EP31"/>
  <c r="AT49"/>
  <c r="AS36"/>
  <c r="AS14"/>
  <c r="EN14"/>
  <c r="AS17"/>
  <c r="EN17"/>
  <c r="EP16"/>
  <c r="AT30"/>
  <c r="AS18"/>
  <c r="AT44"/>
  <c r="AT35"/>
  <c r="EO35"/>
  <c r="AT33"/>
  <c r="AS32"/>
  <c r="AT14"/>
  <c r="EO14"/>
  <c r="AT43"/>
  <c r="AT18"/>
  <c r="AS44"/>
  <c r="AS15"/>
  <c r="EN15"/>
  <c r="AT26"/>
  <c r="AS34"/>
  <c r="EP35"/>
  <c r="AT34"/>
  <c r="EP17"/>
  <c r="AT32"/>
  <c r="AT40"/>
  <c r="AS50"/>
  <c r="AT36"/>
  <c r="AS45"/>
  <c r="AS23"/>
  <c r="EN23"/>
  <c r="AS41"/>
  <c r="AT12"/>
  <c r="AS47"/>
  <c r="AS30"/>
  <c r="AT31"/>
  <c r="EO31"/>
  <c r="AS19"/>
  <c r="EP14"/>
  <c r="AT19"/>
  <c r="AS39"/>
  <c r="AS43"/>
  <c r="AT48"/>
  <c r="BJ46"/>
  <c r="BJ35"/>
  <c r="BJ42"/>
  <c r="BJ23"/>
  <c r="BJ50"/>
  <c r="BJ16"/>
  <c r="BJ40"/>
  <c r="BJ33"/>
  <c r="BJ24"/>
  <c r="BJ14"/>
  <c r="BJ38"/>
  <c r="BJ45"/>
  <c r="BJ36"/>
  <c r="BJ41"/>
  <c r="BJ34"/>
  <c r="BJ26"/>
  <c r="BJ20"/>
  <c r="BJ37"/>
  <c r="CK37"/>
  <c r="CK51" s="1"/>
  <c r="BJ29"/>
  <c r="BJ31"/>
  <c r="BJ43"/>
  <c r="BJ30"/>
  <c r="BJ47"/>
  <c r="BJ27"/>
  <c r="BJ18"/>
  <c r="BJ15"/>
  <c r="BJ48"/>
  <c r="BJ39"/>
  <c r="BJ12"/>
  <c r="BJ28"/>
  <c r="BJ49"/>
  <c r="BJ32"/>
  <c r="EJ51" l="1"/>
  <c r="EP51" s="1"/>
  <c r="EN12"/>
  <c r="EH51"/>
  <c r="EN51" s="1"/>
  <c r="EO12"/>
  <c r="EI51"/>
  <c r="EO51" s="1"/>
  <c r="EP37"/>
  <c r="CN51"/>
  <c r="N14" i="10"/>
  <c r="N44" s="1"/>
  <c r="AT51" i="5"/>
  <c r="G14" i="10"/>
  <c r="G44" s="1"/>
  <c r="AS51" i="5"/>
  <c r="F14" i="10"/>
  <c r="F44" s="1"/>
  <c r="EN42" i="5"/>
  <c r="EO42"/>
  <c r="EO37"/>
  <c r="CN29"/>
  <c r="CN14"/>
  <c r="CN49"/>
  <c r="CN39"/>
  <c r="CN18"/>
  <c r="CN28"/>
  <c r="CN34"/>
  <c r="CN16"/>
  <c r="CN32"/>
  <c r="CN15"/>
  <c r="CN30"/>
  <c r="CN37"/>
  <c r="ES37"/>
  <c r="CN45"/>
  <c r="CN24"/>
  <c r="CN12"/>
  <c r="CN47"/>
  <c r="CN40"/>
  <c r="CN26"/>
  <c r="CN31"/>
  <c r="CN33"/>
  <c r="CN36"/>
  <c r="CN23"/>
  <c r="CN27"/>
  <c r="CN20"/>
  <c r="CN35"/>
  <c r="CN38"/>
  <c r="CN50"/>
  <c r="CN43"/>
  <c r="CN41"/>
  <c r="CN42"/>
  <c r="CN48"/>
  <c r="CN46"/>
  <c r="CD21" i="1"/>
  <c r="DJ50"/>
  <c r="DJ49"/>
  <c r="DJ48"/>
  <c r="DJ42"/>
  <c r="DJ32"/>
  <c r="DJ9"/>
  <c r="DJ39"/>
  <c r="DJ34"/>
  <c r="AZ42"/>
  <c r="S42"/>
  <c r="O42"/>
  <c r="K42"/>
  <c r="AB42" s="1"/>
  <c r="AE32"/>
  <c r="AH32"/>
  <c r="AK32"/>
  <c r="AN32"/>
  <c r="AQ32"/>
  <c r="AT32"/>
  <c r="AW32"/>
  <c r="AZ32"/>
  <c r="BC32"/>
  <c r="BF32"/>
  <c r="BI32"/>
  <c r="BL32"/>
  <c r="BM32"/>
  <c r="BN32"/>
  <c r="BP32"/>
  <c r="BQ32"/>
  <c r="BS32"/>
  <c r="BT32"/>
  <c r="BX32"/>
  <c r="CA32"/>
  <c r="CD32"/>
  <c r="CG32"/>
  <c r="CJ32"/>
  <c r="CM32"/>
  <c r="CP32"/>
  <c r="CS32"/>
  <c r="CV32"/>
  <c r="CY32"/>
  <c r="DB32"/>
  <c r="DE32"/>
  <c r="DF32"/>
  <c r="DG32"/>
  <c r="DI32"/>
  <c r="DL32"/>
  <c r="DM32"/>
  <c r="DQ32"/>
  <c r="DT32"/>
  <c r="DW32"/>
  <c r="DZ32"/>
  <c r="EC32"/>
  <c r="EF32"/>
  <c r="AE42"/>
  <c r="AH42"/>
  <c r="AK42"/>
  <c r="AN42"/>
  <c r="AQ42"/>
  <c r="AT42"/>
  <c r="AW42"/>
  <c r="BC42"/>
  <c r="BF42"/>
  <c r="BI42"/>
  <c r="BL42"/>
  <c r="BU42" s="1"/>
  <c r="BM42"/>
  <c r="BN42"/>
  <c r="BP42"/>
  <c r="BQ42"/>
  <c r="BS42"/>
  <c r="BT42"/>
  <c r="BX42"/>
  <c r="CA42"/>
  <c r="CD42"/>
  <c r="CG42"/>
  <c r="CJ42"/>
  <c r="CM42"/>
  <c r="CP42"/>
  <c r="CS42"/>
  <c r="CV42"/>
  <c r="CY42"/>
  <c r="DB42"/>
  <c r="DE42"/>
  <c r="DF42"/>
  <c r="DG42"/>
  <c r="DI42"/>
  <c r="DL42"/>
  <c r="DM42"/>
  <c r="DQ42"/>
  <c r="DT42"/>
  <c r="DW42"/>
  <c r="DZ42"/>
  <c r="EC42"/>
  <c r="EF42"/>
  <c r="T48"/>
  <c r="AB48"/>
  <c r="AE48"/>
  <c r="AH48"/>
  <c r="AK48"/>
  <c r="AN48"/>
  <c r="AQ48"/>
  <c r="AT48"/>
  <c r="AW48"/>
  <c r="AZ48"/>
  <c r="BC48"/>
  <c r="BF48"/>
  <c r="BI48"/>
  <c r="BL48"/>
  <c r="BM48"/>
  <c r="BN48"/>
  <c r="BP48"/>
  <c r="BQ48"/>
  <c r="BS48"/>
  <c r="BT48"/>
  <c r="BX48"/>
  <c r="CA48"/>
  <c r="CD48"/>
  <c r="CG48"/>
  <c r="CJ48"/>
  <c r="CM48"/>
  <c r="CP48"/>
  <c r="CS48"/>
  <c r="CV48"/>
  <c r="CY48"/>
  <c r="DB48"/>
  <c r="DE48"/>
  <c r="DF48"/>
  <c r="DG48"/>
  <c r="DI48"/>
  <c r="DL48"/>
  <c r="DM48"/>
  <c r="DQ48"/>
  <c r="DT48"/>
  <c r="DW48"/>
  <c r="DZ48"/>
  <c r="EC48"/>
  <c r="EF48"/>
  <c r="T49"/>
  <c r="AB49"/>
  <c r="AE49"/>
  <c r="AH49"/>
  <c r="AK49"/>
  <c r="AN49"/>
  <c r="AQ49"/>
  <c r="AT49"/>
  <c r="AW49"/>
  <c r="AZ49"/>
  <c r="BC49"/>
  <c r="BF49"/>
  <c r="BI49"/>
  <c r="BL49"/>
  <c r="BM49"/>
  <c r="BN49"/>
  <c r="BP49"/>
  <c r="BQ49"/>
  <c r="BS49"/>
  <c r="BT49"/>
  <c r="BX49"/>
  <c r="CA49"/>
  <c r="CD49"/>
  <c r="CG49"/>
  <c r="CJ49"/>
  <c r="CM49"/>
  <c r="CP49"/>
  <c r="CS49"/>
  <c r="CV49"/>
  <c r="CY49"/>
  <c r="DB49"/>
  <c r="DE49"/>
  <c r="DF49"/>
  <c r="DG49"/>
  <c r="DI49"/>
  <c r="DL49"/>
  <c r="DM49"/>
  <c r="DQ49"/>
  <c r="DT49"/>
  <c r="DW49"/>
  <c r="DZ49"/>
  <c r="EC49"/>
  <c r="EF49"/>
  <c r="T50"/>
  <c r="AB50"/>
  <c r="AE50"/>
  <c r="AH50"/>
  <c r="AK50"/>
  <c r="AN50"/>
  <c r="AQ50"/>
  <c r="AT50"/>
  <c r="AW50"/>
  <c r="AZ50"/>
  <c r="BC50"/>
  <c r="BF50"/>
  <c r="BI50"/>
  <c r="BL50"/>
  <c r="BM50"/>
  <c r="BN50"/>
  <c r="BP50"/>
  <c r="BQ50"/>
  <c r="BS50"/>
  <c r="BT50"/>
  <c r="BX50"/>
  <c r="CA50"/>
  <c r="CD50"/>
  <c r="CG50"/>
  <c r="CJ50"/>
  <c r="CM50"/>
  <c r="CP50"/>
  <c r="CS50"/>
  <c r="CV50"/>
  <c r="CY50"/>
  <c r="DB50"/>
  <c r="DE50"/>
  <c r="DF50"/>
  <c r="DG50"/>
  <c r="DI50"/>
  <c r="DL50"/>
  <c r="DM50"/>
  <c r="DQ50"/>
  <c r="DT50"/>
  <c r="DW50"/>
  <c r="DZ50"/>
  <c r="EC50"/>
  <c r="EF50"/>
  <c r="S32"/>
  <c r="O32"/>
  <c r="K32"/>
  <c r="AB32" s="1"/>
  <c r="K9"/>
  <c r="AB9" s="1"/>
  <c r="K39"/>
  <c r="DE9"/>
  <c r="DE39"/>
  <c r="DB9"/>
  <c r="DB39"/>
  <c r="CY9"/>
  <c r="CY39"/>
  <c r="CV9"/>
  <c r="CV39"/>
  <c r="CV34"/>
  <c r="CS9"/>
  <c r="CS39"/>
  <c r="CS34"/>
  <c r="CP9"/>
  <c r="CP39"/>
  <c r="CP34"/>
  <c r="EF9"/>
  <c r="EC9"/>
  <c r="DZ9"/>
  <c r="DW9"/>
  <c r="DT9"/>
  <c r="DQ9"/>
  <c r="DM9"/>
  <c r="DL9"/>
  <c r="DI9"/>
  <c r="DG9"/>
  <c r="DF9"/>
  <c r="CM9"/>
  <c r="CJ9"/>
  <c r="CG9"/>
  <c r="CD9"/>
  <c r="CA9"/>
  <c r="BX9"/>
  <c r="BL9"/>
  <c r="BL39"/>
  <c r="BI9"/>
  <c r="BI39"/>
  <c r="BF9"/>
  <c r="BF39"/>
  <c r="BC9"/>
  <c r="BC39"/>
  <c r="AZ9"/>
  <c r="AZ39"/>
  <c r="AW9"/>
  <c r="AW39"/>
  <c r="AT9"/>
  <c r="AQ9"/>
  <c r="AN9"/>
  <c r="AK9"/>
  <c r="BT9"/>
  <c r="BS9"/>
  <c r="AH9"/>
  <c r="BQ9"/>
  <c r="BP9"/>
  <c r="AE9"/>
  <c r="BN9"/>
  <c r="BM9"/>
  <c r="S9"/>
  <c r="O9"/>
  <c r="S39"/>
  <c r="O39"/>
  <c r="EF39"/>
  <c r="EC39"/>
  <c r="DZ39"/>
  <c r="DW39"/>
  <c r="DT39"/>
  <c r="DQ39"/>
  <c r="DM39"/>
  <c r="DL39"/>
  <c r="DI39"/>
  <c r="DG39"/>
  <c r="DF39"/>
  <c r="CM39"/>
  <c r="CJ39"/>
  <c r="CG39"/>
  <c r="CD39"/>
  <c r="CA39"/>
  <c r="DH48" l="1"/>
  <c r="DH32"/>
  <c r="EI48"/>
  <c r="BR48"/>
  <c r="ES51" i="5"/>
  <c r="EY51" s="1"/>
  <c r="EG50" i="1"/>
  <c r="T32"/>
  <c r="EG48"/>
  <c r="DK49"/>
  <c r="EI39"/>
  <c r="BR49"/>
  <c r="EK48"/>
  <c r="EI50"/>
  <c r="T42"/>
  <c r="BR50"/>
  <c r="BU9"/>
  <c r="DN9"/>
  <c r="DH50"/>
  <c r="BU48"/>
  <c r="EK49"/>
  <c r="DK39"/>
  <c r="DN42"/>
  <c r="EY37" i="5"/>
  <c r="EK39" i="1"/>
  <c r="EG32"/>
  <c r="EJ50"/>
  <c r="EI49"/>
  <c r="EH49"/>
  <c r="DK32"/>
  <c r="DN32"/>
  <c r="DK9"/>
  <c r="DH49"/>
  <c r="DK48"/>
  <c r="EJ39"/>
  <c r="T9"/>
  <c r="BO9"/>
  <c r="DN39"/>
  <c r="EK50"/>
  <c r="EH50"/>
  <c r="BR32"/>
  <c r="EG9"/>
  <c r="EJ49"/>
  <c r="BO48"/>
  <c r="BU50"/>
  <c r="EJ48"/>
  <c r="EK9"/>
  <c r="DK50"/>
  <c r="DN50"/>
  <c r="EG49"/>
  <c r="BU49"/>
  <c r="EH32"/>
  <c r="EH9"/>
  <c r="BR9"/>
  <c r="DN49"/>
  <c r="EH48"/>
  <c r="DN48"/>
  <c r="T39"/>
  <c r="DH42"/>
  <c r="DK42"/>
  <c r="EI42"/>
  <c r="EK42"/>
  <c r="EJ42"/>
  <c r="BR42"/>
  <c r="BO42"/>
  <c r="EG42"/>
  <c r="EK32"/>
  <c r="EJ32"/>
  <c r="BU32"/>
  <c r="EI32"/>
  <c r="BO50"/>
  <c r="EH42"/>
  <c r="BO32"/>
  <c r="BO49"/>
  <c r="EJ9"/>
  <c r="EI9"/>
  <c r="EH39"/>
  <c r="DH9"/>
  <c r="BX39"/>
  <c r="DH39" s="1"/>
  <c r="BT39"/>
  <c r="BS39"/>
  <c r="BQ39"/>
  <c r="BP39"/>
  <c r="BN39"/>
  <c r="BM39"/>
  <c r="AT39"/>
  <c r="AQ39"/>
  <c r="AN39"/>
  <c r="AK39"/>
  <c r="BU39" s="1"/>
  <c r="AH39"/>
  <c r="BR39" s="1"/>
  <c r="AE39"/>
  <c r="BO39" s="1"/>
  <c r="AB39"/>
  <c r="EF34"/>
  <c r="EC34"/>
  <c r="DZ34"/>
  <c r="DW34"/>
  <c r="DT34"/>
  <c r="DQ34"/>
  <c r="DM34"/>
  <c r="DL34"/>
  <c r="DI34"/>
  <c r="DG34"/>
  <c r="DF34"/>
  <c r="DE34"/>
  <c r="DB34"/>
  <c r="CY34"/>
  <c r="CM34"/>
  <c r="CJ34"/>
  <c r="CG34"/>
  <c r="CD34"/>
  <c r="CA34"/>
  <c r="BX34"/>
  <c r="BC34"/>
  <c r="BK34"/>
  <c r="BT34" s="1"/>
  <c r="BJ34"/>
  <c r="BS34" s="1"/>
  <c r="AZ34"/>
  <c r="BH34"/>
  <c r="BQ34" s="1"/>
  <c r="BG34"/>
  <c r="BP34" s="1"/>
  <c r="AW34"/>
  <c r="BE34"/>
  <c r="BN34" s="1"/>
  <c r="BD34"/>
  <c r="BM34" s="1"/>
  <c r="AT34"/>
  <c r="AQ34"/>
  <c r="AN34"/>
  <c r="AK34"/>
  <c r="AH34"/>
  <c r="AE34"/>
  <c r="S34"/>
  <c r="O34"/>
  <c r="K34"/>
  <c r="AB34" s="1"/>
  <c r="AZ26"/>
  <c r="DO25"/>
  <c r="DP25"/>
  <c r="DX25"/>
  <c r="DY25"/>
  <c r="CJ12"/>
  <c r="DO14"/>
  <c r="EF13"/>
  <c r="EC13"/>
  <c r="DZ13"/>
  <c r="DW13"/>
  <c r="DT13"/>
  <c r="DQ13"/>
  <c r="CV13"/>
  <c r="DD13"/>
  <c r="DM13" s="1"/>
  <c r="DC13"/>
  <c r="DL13" s="1"/>
  <c r="CS13"/>
  <c r="DA13"/>
  <c r="DJ13" s="1"/>
  <c r="CZ13"/>
  <c r="DI13" s="1"/>
  <c r="CP13"/>
  <c r="CX13"/>
  <c r="DG13" s="1"/>
  <c r="CW13"/>
  <c r="DF13" s="1"/>
  <c r="CM13"/>
  <c r="CJ13"/>
  <c r="CG13"/>
  <c r="CD13"/>
  <c r="CA13"/>
  <c r="BX13"/>
  <c r="BC13"/>
  <c r="BK13"/>
  <c r="BT13" s="1"/>
  <c r="BJ13"/>
  <c r="BS13" s="1"/>
  <c r="AZ13"/>
  <c r="BH13"/>
  <c r="BQ13" s="1"/>
  <c r="BG13"/>
  <c r="BP13" s="1"/>
  <c r="AW13"/>
  <c r="BE13"/>
  <c r="BN13" s="1"/>
  <c r="BD13"/>
  <c r="BM13" s="1"/>
  <c r="AT13"/>
  <c r="AQ13"/>
  <c r="AN13"/>
  <c r="AK13"/>
  <c r="AH13"/>
  <c r="AE13"/>
  <c r="S13"/>
  <c r="O13"/>
  <c r="K13"/>
  <c r="AB13" s="1"/>
  <c r="CZ28"/>
  <c r="DA28"/>
  <c r="CW28"/>
  <c r="CX28"/>
  <c r="K10"/>
  <c r="T34" l="1"/>
  <c r="DN34"/>
  <c r="CY28"/>
  <c r="T13"/>
  <c r="DK34"/>
  <c r="EG34"/>
  <c r="EG13"/>
  <c r="DH34"/>
  <c r="DB28"/>
  <c r="EG39"/>
  <c r="BL34"/>
  <c r="BU34" s="1"/>
  <c r="BI34"/>
  <c r="BR34" s="1"/>
  <c r="BF34"/>
  <c r="BO34" s="1"/>
  <c r="DE13"/>
  <c r="DN13" s="1"/>
  <c r="DB13"/>
  <c r="DK13" s="1"/>
  <c r="CY13"/>
  <c r="BL13"/>
  <c r="BU13" s="1"/>
  <c r="BI13"/>
  <c r="BR13" s="1"/>
  <c r="BF13"/>
  <c r="BO13" s="1"/>
  <c r="EJ34" l="1"/>
  <c r="EI13"/>
  <c r="EI34"/>
  <c r="EK13"/>
  <c r="EK34"/>
  <c r="EJ13"/>
  <c r="EH34"/>
  <c r="EH13"/>
  <c r="DH13"/>
  <c r="EF6" l="1"/>
  <c r="EC6"/>
  <c r="DZ6"/>
  <c r="DW6"/>
  <c r="DT6"/>
  <c r="DQ6"/>
  <c r="CV6"/>
  <c r="DD6"/>
  <c r="DM6" s="1"/>
  <c r="DC6"/>
  <c r="DL6" s="1"/>
  <c r="CS6"/>
  <c r="DA6"/>
  <c r="DJ6" s="1"/>
  <c r="CZ6"/>
  <c r="DI6" s="1"/>
  <c r="CP6"/>
  <c r="CX6"/>
  <c r="DG6" s="1"/>
  <c r="CW6"/>
  <c r="DF6" s="1"/>
  <c r="CM6"/>
  <c r="CJ6"/>
  <c r="CG6"/>
  <c r="CD6"/>
  <c r="CA6"/>
  <c r="BX6"/>
  <c r="BC6"/>
  <c r="BK6"/>
  <c r="BT6" s="1"/>
  <c r="BJ6"/>
  <c r="BS6" s="1"/>
  <c r="AZ6"/>
  <c r="BH6"/>
  <c r="BQ6" s="1"/>
  <c r="BG6"/>
  <c r="BP6" s="1"/>
  <c r="AW6"/>
  <c r="BE6"/>
  <c r="BN6" s="1"/>
  <c r="BD6"/>
  <c r="BM6" s="1"/>
  <c r="AT6"/>
  <c r="AQ6"/>
  <c r="AN6"/>
  <c r="AK6"/>
  <c r="AH6"/>
  <c r="AE6"/>
  <c r="S6"/>
  <c r="O6"/>
  <c r="K6"/>
  <c r="AB6" s="1"/>
  <c r="EF3"/>
  <c r="EC3"/>
  <c r="DZ3"/>
  <c r="DW3"/>
  <c r="DT3"/>
  <c r="DQ3"/>
  <c r="CW3"/>
  <c r="DF3" s="1"/>
  <c r="CX3"/>
  <c r="DG3" s="1"/>
  <c r="CZ3"/>
  <c r="DA3"/>
  <c r="DJ3" s="1"/>
  <c r="DC3"/>
  <c r="DD3"/>
  <c r="DM3" s="1"/>
  <c r="CP3"/>
  <c r="CS3"/>
  <c r="CV3"/>
  <c r="CM3"/>
  <c r="CJ3"/>
  <c r="CG3"/>
  <c r="CD3"/>
  <c r="CA3"/>
  <c r="BX3"/>
  <c r="BK3"/>
  <c r="BT3" s="1"/>
  <c r="BJ3"/>
  <c r="BH3"/>
  <c r="BQ3" s="1"/>
  <c r="BG3"/>
  <c r="BE3"/>
  <c r="BN3" s="1"/>
  <c r="BD3"/>
  <c r="BM3" s="1"/>
  <c r="BC3"/>
  <c r="AZ3"/>
  <c r="AW3"/>
  <c r="AT3"/>
  <c r="AQ3"/>
  <c r="AN3"/>
  <c r="AK3"/>
  <c r="AH3"/>
  <c r="AE3"/>
  <c r="S3"/>
  <c r="O3"/>
  <c r="K3"/>
  <c r="AB3" s="1"/>
  <c r="EF17"/>
  <c r="EC17"/>
  <c r="DZ17"/>
  <c r="DW17"/>
  <c r="DT17"/>
  <c r="DQ17"/>
  <c r="CZ17"/>
  <c r="DI17" s="1"/>
  <c r="DA17"/>
  <c r="DC17"/>
  <c r="DD17"/>
  <c r="DM17" s="1"/>
  <c r="CS17"/>
  <c r="CV17"/>
  <c r="CP17"/>
  <c r="CX17"/>
  <c r="DG17" s="1"/>
  <c r="CW17"/>
  <c r="DF17" s="1"/>
  <c r="CM17"/>
  <c r="CJ17"/>
  <c r="CG17"/>
  <c r="CD17"/>
  <c r="CA17"/>
  <c r="BX17"/>
  <c r="BC17"/>
  <c r="BK17"/>
  <c r="BT17" s="1"/>
  <c r="BJ17"/>
  <c r="BS17" s="1"/>
  <c r="AZ17"/>
  <c r="BH17"/>
  <c r="BQ17" s="1"/>
  <c r="BG17"/>
  <c r="BP17" s="1"/>
  <c r="AW17"/>
  <c r="BE17"/>
  <c r="BN17" s="1"/>
  <c r="BD17"/>
  <c r="BM17" s="1"/>
  <c r="AT28"/>
  <c r="AT46"/>
  <c r="AT27"/>
  <c r="AT11"/>
  <c r="AT17"/>
  <c r="AQ17"/>
  <c r="AN17"/>
  <c r="AK17"/>
  <c r="AH17"/>
  <c r="AE17"/>
  <c r="S17"/>
  <c r="O17"/>
  <c r="K17"/>
  <c r="AB17" s="1"/>
  <c r="EF11"/>
  <c r="EC11"/>
  <c r="DZ11"/>
  <c r="DW11"/>
  <c r="DT11"/>
  <c r="DQ11"/>
  <c r="CV11"/>
  <c r="DD11"/>
  <c r="DM11" s="1"/>
  <c r="DC11"/>
  <c r="DL11" s="1"/>
  <c r="CS11"/>
  <c r="DA11"/>
  <c r="DJ11" s="1"/>
  <c r="CZ11"/>
  <c r="DI11" s="1"/>
  <c r="CP11"/>
  <c r="CX11"/>
  <c r="DG11" s="1"/>
  <c r="CW11"/>
  <c r="DF11" s="1"/>
  <c r="CM11"/>
  <c r="CJ11"/>
  <c r="CG11"/>
  <c r="CD11"/>
  <c r="CA11"/>
  <c r="BX11"/>
  <c r="BC11"/>
  <c r="BK11"/>
  <c r="BT11" s="1"/>
  <c r="BJ11"/>
  <c r="BS11" s="1"/>
  <c r="AZ11"/>
  <c r="BH11"/>
  <c r="BQ11" s="1"/>
  <c r="BG11"/>
  <c r="BP11" s="1"/>
  <c r="AW11"/>
  <c r="BE11"/>
  <c r="BN11" s="1"/>
  <c r="BD11"/>
  <c r="BM11" s="1"/>
  <c r="AQ11"/>
  <c r="AN11"/>
  <c r="AK11"/>
  <c r="AH11"/>
  <c r="AE11"/>
  <c r="S11"/>
  <c r="O11"/>
  <c r="K11"/>
  <c r="AB11" s="1"/>
  <c r="EF27"/>
  <c r="EC27"/>
  <c r="DZ27"/>
  <c r="DQ27"/>
  <c r="DW27"/>
  <c r="DT27"/>
  <c r="CZ25"/>
  <c r="DA25"/>
  <c r="DC25"/>
  <c r="DD25"/>
  <c r="CW4"/>
  <c r="CX4"/>
  <c r="CZ4"/>
  <c r="DA4"/>
  <c r="DC4"/>
  <c r="DD4"/>
  <c r="CW21"/>
  <c r="CX21"/>
  <c r="CZ21"/>
  <c r="DA21"/>
  <c r="DC21"/>
  <c r="DD21"/>
  <c r="CW19"/>
  <c r="CX19"/>
  <c r="CZ19"/>
  <c r="DA19"/>
  <c r="DC19"/>
  <c r="DD19"/>
  <c r="CW26"/>
  <c r="CX26"/>
  <c r="CZ26"/>
  <c r="DA26"/>
  <c r="DC26"/>
  <c r="DD26"/>
  <c r="CW25"/>
  <c r="CX25"/>
  <c r="CW20"/>
  <c r="CX20"/>
  <c r="CZ20"/>
  <c r="DA20"/>
  <c r="DC20"/>
  <c r="DD20"/>
  <c r="CW40"/>
  <c r="CX40"/>
  <c r="CZ40"/>
  <c r="DA40"/>
  <c r="DC40"/>
  <c r="DD40"/>
  <c r="CW47"/>
  <c r="CX47"/>
  <c r="CZ47"/>
  <c r="DA47"/>
  <c r="DC47"/>
  <c r="DD47"/>
  <c r="CW33"/>
  <c r="CX33"/>
  <c r="CZ33"/>
  <c r="DA33"/>
  <c r="DC33"/>
  <c r="DD33"/>
  <c r="CW5"/>
  <c r="CX5"/>
  <c r="CZ5"/>
  <c r="DA5"/>
  <c r="DC5"/>
  <c r="DD5"/>
  <c r="CW31"/>
  <c r="DF31" s="1"/>
  <c r="CX31"/>
  <c r="DG31" s="1"/>
  <c r="CZ31"/>
  <c r="DI31" s="1"/>
  <c r="DA31"/>
  <c r="DJ31" s="1"/>
  <c r="DC31"/>
  <c r="DL31" s="1"/>
  <c r="DD31"/>
  <c r="DM31" s="1"/>
  <c r="DJ28"/>
  <c r="DC28"/>
  <c r="DD28"/>
  <c r="DM28" s="1"/>
  <c r="CW46"/>
  <c r="DF46" s="1"/>
  <c r="CX46"/>
  <c r="CZ46"/>
  <c r="DI46" s="1"/>
  <c r="DA46"/>
  <c r="DC46"/>
  <c r="DD46"/>
  <c r="DM46" s="1"/>
  <c r="CW27"/>
  <c r="CX27"/>
  <c r="DG27" s="1"/>
  <c r="CZ27"/>
  <c r="DI27" s="1"/>
  <c r="DA27"/>
  <c r="DJ27" s="1"/>
  <c r="DC27"/>
  <c r="DD27"/>
  <c r="DM27" s="1"/>
  <c r="CV27"/>
  <c r="CS27"/>
  <c r="CP27"/>
  <c r="CM27"/>
  <c r="CJ27"/>
  <c r="CG27"/>
  <c r="CD27"/>
  <c r="CA27"/>
  <c r="BX27"/>
  <c r="BG31"/>
  <c r="BP31" s="1"/>
  <c r="BH31"/>
  <c r="BQ31" s="1"/>
  <c r="BJ31"/>
  <c r="BK31"/>
  <c r="BT31" s="1"/>
  <c r="BG28"/>
  <c r="BP28" s="1"/>
  <c r="BH28"/>
  <c r="BJ28"/>
  <c r="BK28"/>
  <c r="BT28" s="1"/>
  <c r="BG46"/>
  <c r="BP46" s="1"/>
  <c r="BH46"/>
  <c r="BQ46" s="1"/>
  <c r="BJ46"/>
  <c r="BS46" s="1"/>
  <c r="BK46"/>
  <c r="BG27"/>
  <c r="BP27" s="1"/>
  <c r="BH27"/>
  <c r="BQ27" s="1"/>
  <c r="BJ27"/>
  <c r="BS27" s="1"/>
  <c r="BK27"/>
  <c r="BT27" s="1"/>
  <c r="BE31"/>
  <c r="BN31" s="1"/>
  <c r="BE28"/>
  <c r="BN28" s="1"/>
  <c r="BE46"/>
  <c r="BN46" s="1"/>
  <c r="BE27"/>
  <c r="BN27" s="1"/>
  <c r="BD31"/>
  <c r="BD28"/>
  <c r="BM28" s="1"/>
  <c r="BD46"/>
  <c r="BD27"/>
  <c r="BM27" s="1"/>
  <c r="BC27"/>
  <c r="AZ27"/>
  <c r="AW27"/>
  <c r="AQ27"/>
  <c r="AN27"/>
  <c r="AK27"/>
  <c r="AH27"/>
  <c r="AE27"/>
  <c r="S27"/>
  <c r="O27"/>
  <c r="K27"/>
  <c r="AB27" s="1"/>
  <c r="EF5"/>
  <c r="EF46"/>
  <c r="EC46"/>
  <c r="DZ46"/>
  <c r="DW46"/>
  <c r="DT46"/>
  <c r="DQ46"/>
  <c r="DG28"/>
  <c r="DI28"/>
  <c r="CV46"/>
  <c r="CS46"/>
  <c r="CP46"/>
  <c r="CM28"/>
  <c r="CM46"/>
  <c r="CJ28"/>
  <c r="CJ46"/>
  <c r="CG46"/>
  <c r="CD28"/>
  <c r="CD46"/>
  <c r="CA28"/>
  <c r="CA46"/>
  <c r="BX46"/>
  <c r="BC46"/>
  <c r="AZ46"/>
  <c r="AW46"/>
  <c r="AQ46"/>
  <c r="AN46"/>
  <c r="AK46"/>
  <c r="AH46"/>
  <c r="AE46"/>
  <c r="O46"/>
  <c r="K46"/>
  <c r="AB46" s="1"/>
  <c r="CM31"/>
  <c r="CV28"/>
  <c r="CS28"/>
  <c r="CP28"/>
  <c r="CG28"/>
  <c r="BX28"/>
  <c r="BC28"/>
  <c r="AZ28"/>
  <c r="AW28"/>
  <c r="AQ28"/>
  <c r="AN28"/>
  <c r="AK28"/>
  <c r="AH28"/>
  <c r="AE28"/>
  <c r="S28"/>
  <c r="S46"/>
  <c r="O28"/>
  <c r="K28"/>
  <c r="AB28" s="1"/>
  <c r="EF31"/>
  <c r="EC31"/>
  <c r="DZ31"/>
  <c r="DW31"/>
  <c r="DT31"/>
  <c r="DQ31"/>
  <c r="CP31"/>
  <c r="CS31"/>
  <c r="CV31"/>
  <c r="CJ31"/>
  <c r="CG31"/>
  <c r="CD31"/>
  <c r="CA31"/>
  <c r="BX31"/>
  <c r="BC31"/>
  <c r="AZ31"/>
  <c r="AW31"/>
  <c r="AT31"/>
  <c r="AQ31"/>
  <c r="AN31"/>
  <c r="AK31"/>
  <c r="AH31"/>
  <c r="AE31"/>
  <c r="S31"/>
  <c r="K31"/>
  <c r="AB31" s="1"/>
  <c r="O31"/>
  <c r="BF31" l="1"/>
  <c r="EG31"/>
  <c r="EG28"/>
  <c r="BO31"/>
  <c r="DB5"/>
  <c r="DE40"/>
  <c r="DE19"/>
  <c r="DB21"/>
  <c r="CY4"/>
  <c r="DB25"/>
  <c r="BI3"/>
  <c r="CY27"/>
  <c r="DH27" s="1"/>
  <c r="CY47"/>
  <c r="BL3"/>
  <c r="BU3" s="1"/>
  <c r="EG3"/>
  <c r="DE46"/>
  <c r="DN46" s="1"/>
  <c r="EG17"/>
  <c r="EG11"/>
  <c r="BR3"/>
  <c r="DE27"/>
  <c r="DN27" s="1"/>
  <c r="T17"/>
  <c r="T28"/>
  <c r="BL46"/>
  <c r="BU46" s="1"/>
  <c r="BM31"/>
  <c r="T27"/>
  <c r="DB3"/>
  <c r="DK3" s="1"/>
  <c r="EG6"/>
  <c r="DE3"/>
  <c r="DN3" s="1"/>
  <c r="BL31"/>
  <c r="BU31" s="1"/>
  <c r="DB46"/>
  <c r="DK46" s="1"/>
  <c r="CY31"/>
  <c r="EI31" s="1"/>
  <c r="DE33"/>
  <c r="DB47"/>
  <c r="CY40"/>
  <c r="T11"/>
  <c r="EG27"/>
  <c r="DF27"/>
  <c r="BI27"/>
  <c r="BR27" s="1"/>
  <c r="BI31"/>
  <c r="BR31" s="1"/>
  <c r="CY46"/>
  <c r="DH46" s="1"/>
  <c r="DB31"/>
  <c r="DE5"/>
  <c r="CY5"/>
  <c r="DB33"/>
  <c r="DE47"/>
  <c r="DB40"/>
  <c r="DE20"/>
  <c r="CY20"/>
  <c r="DE26"/>
  <c r="DE17"/>
  <c r="DN17" s="1"/>
  <c r="T6"/>
  <c r="DI3"/>
  <c r="T31"/>
  <c r="DL46"/>
  <c r="DB26"/>
  <c r="CY19"/>
  <c r="DE4"/>
  <c r="T3"/>
  <c r="BP3"/>
  <c r="BL27"/>
  <c r="BU27" s="1"/>
  <c r="BS31"/>
  <c r="DB20"/>
  <c r="DB19"/>
  <c r="CY21"/>
  <c r="DE25"/>
  <c r="DB17"/>
  <c r="DK17" s="1"/>
  <c r="BF3"/>
  <c r="BO3" s="1"/>
  <c r="DL3"/>
  <c r="BT46"/>
  <c r="BS3"/>
  <c r="BF27"/>
  <c r="BO27" s="1"/>
  <c r="DB27"/>
  <c r="DK27" s="1"/>
  <c r="CY33"/>
  <c r="DJ17"/>
  <c r="DL27"/>
  <c r="EK3"/>
  <c r="DJ46"/>
  <c r="DE31"/>
  <c r="CY25"/>
  <c r="CY26"/>
  <c r="DE21"/>
  <c r="DB4"/>
  <c r="DL17"/>
  <c r="CY3"/>
  <c r="DH3" s="1"/>
  <c r="DB6"/>
  <c r="DK6" s="1"/>
  <c r="BI46"/>
  <c r="BR46" s="1"/>
  <c r="BF46"/>
  <c r="BM46"/>
  <c r="EG46"/>
  <c r="T46"/>
  <c r="DE28"/>
  <c r="DN28" s="1"/>
  <c r="DL28"/>
  <c r="DK28"/>
  <c r="BI28"/>
  <c r="BL28"/>
  <c r="BU28" s="1"/>
  <c r="BS28"/>
  <c r="BQ28"/>
  <c r="BF28"/>
  <c r="EI28" s="1"/>
  <c r="DE6"/>
  <c r="DN6" s="1"/>
  <c r="CY6"/>
  <c r="BL6"/>
  <c r="BU6" s="1"/>
  <c r="BI6"/>
  <c r="BR6" s="1"/>
  <c r="BF6"/>
  <c r="BO6" s="1"/>
  <c r="CY17"/>
  <c r="BL17"/>
  <c r="BU17" s="1"/>
  <c r="BI17"/>
  <c r="BR17" s="1"/>
  <c r="BF17"/>
  <c r="BO17" s="1"/>
  <c r="DE11"/>
  <c r="DN11" s="1"/>
  <c r="DB11"/>
  <c r="DK11" s="1"/>
  <c r="CY11"/>
  <c r="DH11" s="1"/>
  <c r="BL11"/>
  <c r="BU11" s="1"/>
  <c r="BI11"/>
  <c r="BR11" s="1"/>
  <c r="BF11"/>
  <c r="BO11" s="1"/>
  <c r="DH28"/>
  <c r="DF28"/>
  <c r="DG46"/>
  <c r="EK31" l="1"/>
  <c r="EK27"/>
  <c r="EH31"/>
  <c r="EK46"/>
  <c r="EI46"/>
  <c r="EJ31"/>
  <c r="EJ11"/>
  <c r="DH31"/>
  <c r="EI6"/>
  <c r="EJ3"/>
  <c r="EJ17"/>
  <c r="EK6"/>
  <c r="EK11"/>
  <c r="EH46"/>
  <c r="EI27"/>
  <c r="EI11"/>
  <c r="EK17"/>
  <c r="EJ6"/>
  <c r="EH11"/>
  <c r="EI17"/>
  <c r="EJ27"/>
  <c r="EI3"/>
  <c r="EH3"/>
  <c r="EH27"/>
  <c r="EJ46"/>
  <c r="BO46"/>
  <c r="EJ28"/>
  <c r="EK28"/>
  <c r="BR28"/>
  <c r="EH28"/>
  <c r="BO28"/>
  <c r="EH6"/>
  <c r="DH6"/>
  <c r="EH17"/>
  <c r="DH17"/>
  <c r="DN31"/>
  <c r="DK31"/>
  <c r="EC5" l="1"/>
  <c r="DZ5"/>
  <c r="DW5"/>
  <c r="DT5"/>
  <c r="DQ5"/>
  <c r="CP5"/>
  <c r="CS5"/>
  <c r="CV5"/>
  <c r="DJ5"/>
  <c r="DL5"/>
  <c r="DF5"/>
  <c r="DG5"/>
  <c r="DI5"/>
  <c r="DM5"/>
  <c r="CM5"/>
  <c r="CJ5"/>
  <c r="CG5"/>
  <c r="CD5"/>
  <c r="DN5" s="1"/>
  <c r="CA5"/>
  <c r="DK5" s="1"/>
  <c r="BX5"/>
  <c r="DH5" s="1"/>
  <c r="AW5"/>
  <c r="AZ5"/>
  <c r="BC5"/>
  <c r="BD5"/>
  <c r="BE5"/>
  <c r="BN5" s="1"/>
  <c r="BG5"/>
  <c r="BP5" s="1"/>
  <c r="BH5"/>
  <c r="BJ5"/>
  <c r="BS5" s="1"/>
  <c r="BK5"/>
  <c r="AT5"/>
  <c r="AQ5"/>
  <c r="AN5"/>
  <c r="AK5"/>
  <c r="AH5"/>
  <c r="AE5"/>
  <c r="S5"/>
  <c r="O5"/>
  <c r="K5"/>
  <c r="AB5" s="1"/>
  <c r="BL5" l="1"/>
  <c r="BU5" s="1"/>
  <c r="EG5"/>
  <c r="BT5"/>
  <c r="BF5"/>
  <c r="BO5" s="1"/>
  <c r="T5"/>
  <c r="BI5"/>
  <c r="BR5" s="1"/>
  <c r="BQ5"/>
  <c r="BM5"/>
  <c r="EK5" l="1"/>
  <c r="EJ5"/>
  <c r="EH5"/>
  <c r="EI5"/>
  <c r="EF33"/>
  <c r="EC33"/>
  <c r="DZ33"/>
  <c r="DW33"/>
  <c r="DT33"/>
  <c r="DQ33"/>
  <c r="DF33"/>
  <c r="DG33"/>
  <c r="DI33"/>
  <c r="DJ33"/>
  <c r="DL33"/>
  <c r="DM33"/>
  <c r="CP33"/>
  <c r="CS33"/>
  <c r="CV33"/>
  <c r="CM33"/>
  <c r="CJ33"/>
  <c r="CG33"/>
  <c r="CD33"/>
  <c r="DN33" s="1"/>
  <c r="CA33"/>
  <c r="DK33" s="1"/>
  <c r="BX33"/>
  <c r="DH33" s="1"/>
  <c r="BD33"/>
  <c r="BM33" s="1"/>
  <c r="BE33"/>
  <c r="BN33" s="1"/>
  <c r="BG33"/>
  <c r="BP33" s="1"/>
  <c r="BH33"/>
  <c r="BJ33"/>
  <c r="BK33"/>
  <c r="BT33" s="1"/>
  <c r="AW33"/>
  <c r="AZ33"/>
  <c r="BC33"/>
  <c r="AT33"/>
  <c r="AQ33"/>
  <c r="AN33"/>
  <c r="AK33"/>
  <c r="AH33"/>
  <c r="AE33"/>
  <c r="S33"/>
  <c r="O33"/>
  <c r="K33"/>
  <c r="AB33" s="1"/>
  <c r="EF47"/>
  <c r="EC47"/>
  <c r="DZ47"/>
  <c r="DW47"/>
  <c r="DT47"/>
  <c r="DQ47"/>
  <c r="DF47"/>
  <c r="DG47"/>
  <c r="CV47"/>
  <c r="DM47"/>
  <c r="DL47"/>
  <c r="CS47"/>
  <c r="DJ47"/>
  <c r="DI47"/>
  <c r="CP47"/>
  <c r="CM47"/>
  <c r="CJ47"/>
  <c r="CG47"/>
  <c r="CD47"/>
  <c r="CA47"/>
  <c r="DK47" s="1"/>
  <c r="BX47"/>
  <c r="BC47"/>
  <c r="BK47"/>
  <c r="BT47" s="1"/>
  <c r="BJ47"/>
  <c r="BS47" s="1"/>
  <c r="AZ47"/>
  <c r="BH47"/>
  <c r="BQ47" s="1"/>
  <c r="BG47"/>
  <c r="BP47" s="1"/>
  <c r="AW47"/>
  <c r="BE47"/>
  <c r="BN47" s="1"/>
  <c r="BD47"/>
  <c r="BM47" s="1"/>
  <c r="AT47"/>
  <c r="AQ47"/>
  <c r="AN47"/>
  <c r="AK47"/>
  <c r="AH47"/>
  <c r="AE47"/>
  <c r="S47"/>
  <c r="O47"/>
  <c r="K47"/>
  <c r="AB47" s="1"/>
  <c r="T47" l="1"/>
  <c r="BL33"/>
  <c r="EK33" s="1"/>
  <c r="BI33"/>
  <c r="BR33" s="1"/>
  <c r="BL47"/>
  <c r="BU47" s="1"/>
  <c r="T33"/>
  <c r="BS33"/>
  <c r="BQ33"/>
  <c r="EG33"/>
  <c r="BF47"/>
  <c r="BO47" s="1"/>
  <c r="BF33"/>
  <c r="EG47"/>
  <c r="DH47"/>
  <c r="DN47"/>
  <c r="BI47"/>
  <c r="BR47" s="1"/>
  <c r="BU33" l="1"/>
  <c r="EK47"/>
  <c r="EJ33"/>
  <c r="EH47"/>
  <c r="EI47"/>
  <c r="EJ47"/>
  <c r="EI33"/>
  <c r="BO33"/>
  <c r="EH33"/>
  <c r="EF40"/>
  <c r="EC40"/>
  <c r="DZ40"/>
  <c r="DW40"/>
  <c r="DT40"/>
  <c r="DQ40"/>
  <c r="DJ40"/>
  <c r="DL40"/>
  <c r="DM40"/>
  <c r="DF40"/>
  <c r="DG40"/>
  <c r="DI40"/>
  <c r="CP40"/>
  <c r="CS40"/>
  <c r="CV40"/>
  <c r="CM40"/>
  <c r="CJ40"/>
  <c r="CG40"/>
  <c r="CD40"/>
  <c r="DN40" s="1"/>
  <c r="CA40"/>
  <c r="DK40" s="1"/>
  <c r="BX40"/>
  <c r="DH40" s="1"/>
  <c r="BD40"/>
  <c r="BM40" s="1"/>
  <c r="BE40"/>
  <c r="BG40"/>
  <c r="BH40"/>
  <c r="BQ40" s="1"/>
  <c r="BJ40"/>
  <c r="BK40"/>
  <c r="BT40" s="1"/>
  <c r="BC40"/>
  <c r="AW40"/>
  <c r="AZ40"/>
  <c r="AT40"/>
  <c r="AQ40"/>
  <c r="AN40"/>
  <c r="AK40"/>
  <c r="AH40"/>
  <c r="AE40"/>
  <c r="S40"/>
  <c r="O40"/>
  <c r="K40"/>
  <c r="AB40" s="1"/>
  <c r="BF40" l="1"/>
  <c r="EI40" s="1"/>
  <c r="T40"/>
  <c r="BI40"/>
  <c r="BR40" s="1"/>
  <c r="BL40"/>
  <c r="BU40" s="1"/>
  <c r="BP40"/>
  <c r="EG40"/>
  <c r="BS40"/>
  <c r="BN40"/>
  <c r="AW10"/>
  <c r="AZ10"/>
  <c r="CA30"/>
  <c r="CD30"/>
  <c r="CG30"/>
  <c r="CJ30"/>
  <c r="CM30"/>
  <c r="CA8"/>
  <c r="CD8"/>
  <c r="CG8"/>
  <c r="CJ8"/>
  <c r="CM8"/>
  <c r="CP8"/>
  <c r="CS8"/>
  <c r="CP10"/>
  <c r="CS10"/>
  <c r="EF20"/>
  <c r="EC20"/>
  <c r="DZ20"/>
  <c r="DW20"/>
  <c r="DT20"/>
  <c r="DQ20"/>
  <c r="DF20"/>
  <c r="DG20"/>
  <c r="DI20"/>
  <c r="DJ20"/>
  <c r="DL20"/>
  <c r="DM20"/>
  <c r="CP20"/>
  <c r="CS20"/>
  <c r="CV20"/>
  <c r="CM20"/>
  <c r="CJ20"/>
  <c r="CG20"/>
  <c r="CD20"/>
  <c r="DN20" s="1"/>
  <c r="CA20"/>
  <c r="DK20" s="1"/>
  <c r="BX20"/>
  <c r="DH20" s="1"/>
  <c r="BJ19"/>
  <c r="BK19"/>
  <c r="BJ26"/>
  <c r="BS26" s="1"/>
  <c r="BK26"/>
  <c r="BT26" s="1"/>
  <c r="BJ25"/>
  <c r="BS25" s="1"/>
  <c r="BK25"/>
  <c r="BT25" s="1"/>
  <c r="BJ20"/>
  <c r="BS20" s="1"/>
  <c r="BK20"/>
  <c r="BT20" s="1"/>
  <c r="BC20"/>
  <c r="AZ20"/>
  <c r="BH20"/>
  <c r="BQ20" s="1"/>
  <c r="BG20"/>
  <c r="BP20" s="1"/>
  <c r="AW20"/>
  <c r="BE20"/>
  <c r="BN20" s="1"/>
  <c r="BD20"/>
  <c r="BM20" s="1"/>
  <c r="AT20"/>
  <c r="AQ20"/>
  <c r="AN20"/>
  <c r="AK20"/>
  <c r="AH20"/>
  <c r="AE20"/>
  <c r="S20"/>
  <c r="O20"/>
  <c r="K20"/>
  <c r="AB20" s="1"/>
  <c r="EF25"/>
  <c r="EC25"/>
  <c r="DZ25"/>
  <c r="DW25"/>
  <c r="DT25"/>
  <c r="DQ25"/>
  <c r="DI25"/>
  <c r="DJ25"/>
  <c r="DL25"/>
  <c r="DM25"/>
  <c r="DL26"/>
  <c r="DM26"/>
  <c r="DF26"/>
  <c r="DG26"/>
  <c r="DF25"/>
  <c r="DG25"/>
  <c r="DJ26"/>
  <c r="CV25"/>
  <c r="CV26"/>
  <c r="CS25"/>
  <c r="CP25"/>
  <c r="CS26"/>
  <c r="DI26"/>
  <c r="CP26"/>
  <c r="CM25"/>
  <c r="CJ25"/>
  <c r="CG25"/>
  <c r="CD25"/>
  <c r="DN25" s="1"/>
  <c r="CA25"/>
  <c r="DK25" s="1"/>
  <c r="BX25"/>
  <c r="DH25" s="1"/>
  <c r="BD25"/>
  <c r="BM25" s="1"/>
  <c r="BE25"/>
  <c r="BN25" s="1"/>
  <c r="BG26"/>
  <c r="BH26"/>
  <c r="BQ26" s="1"/>
  <c r="BG25"/>
  <c r="BP25" s="1"/>
  <c r="BH25"/>
  <c r="BQ25" s="1"/>
  <c r="BC26"/>
  <c r="AZ25"/>
  <c r="BC25"/>
  <c r="AW25"/>
  <c r="AW26"/>
  <c r="BE26"/>
  <c r="BN26" s="1"/>
  <c r="BD26"/>
  <c r="BM26" s="1"/>
  <c r="AT25"/>
  <c r="AQ25"/>
  <c r="AN25"/>
  <c r="AK25"/>
  <c r="AH25"/>
  <c r="AE25"/>
  <c r="K25"/>
  <c r="AB25" s="1"/>
  <c r="O25"/>
  <c r="S25"/>
  <c r="BO40" l="1"/>
  <c r="EJ40"/>
  <c r="EH40"/>
  <c r="EK40"/>
  <c r="BL19"/>
  <c r="EG20"/>
  <c r="EG25"/>
  <c r="BF25"/>
  <c r="BO25" s="1"/>
  <c r="BL20"/>
  <c r="BU20" s="1"/>
  <c r="T20"/>
  <c r="T25"/>
  <c r="BI25"/>
  <c r="BR25" s="1"/>
  <c r="BL26"/>
  <c r="BI26"/>
  <c r="BP26"/>
  <c r="EI25"/>
  <c r="BL25"/>
  <c r="BI20"/>
  <c r="BR20" s="1"/>
  <c r="BF20"/>
  <c r="BO20" s="1"/>
  <c r="BF26"/>
  <c r="EH25" l="1"/>
  <c r="EJ20"/>
  <c r="EH20"/>
  <c r="EI20"/>
  <c r="EJ25"/>
  <c r="EK20"/>
  <c r="BU25"/>
  <c r="EK25"/>
  <c r="EF26" l="1"/>
  <c r="EC26"/>
  <c r="DZ26"/>
  <c r="DW26"/>
  <c r="DT26"/>
  <c r="DQ26"/>
  <c r="CM26"/>
  <c r="CJ26"/>
  <c r="CG26"/>
  <c r="CD26"/>
  <c r="DN26" s="1"/>
  <c r="CA26"/>
  <c r="DK26" s="1"/>
  <c r="BX26"/>
  <c r="DH26" s="1"/>
  <c r="AT26"/>
  <c r="AQ26"/>
  <c r="AN26"/>
  <c r="AK26"/>
  <c r="BU26" s="1"/>
  <c r="AH26"/>
  <c r="BR26" s="1"/>
  <c r="AE26"/>
  <c r="BO26" s="1"/>
  <c r="S26"/>
  <c r="EH26" s="1"/>
  <c r="O26"/>
  <c r="K26"/>
  <c r="AB26" s="1"/>
  <c r="EF19"/>
  <c r="EC19"/>
  <c r="DZ19"/>
  <c r="DW19"/>
  <c r="DT19"/>
  <c r="DQ19"/>
  <c r="DG19"/>
  <c r="DF19"/>
  <c r="CV19"/>
  <c r="DM19"/>
  <c r="DL19"/>
  <c r="CS19"/>
  <c r="DJ19"/>
  <c r="DI19"/>
  <c r="CP19"/>
  <c r="CM19"/>
  <c r="CJ19"/>
  <c r="CG19"/>
  <c r="CD19"/>
  <c r="CA19"/>
  <c r="BX19"/>
  <c r="DH19" s="1"/>
  <c r="BS19"/>
  <c r="BT19"/>
  <c r="BC19"/>
  <c r="AZ19"/>
  <c r="BH19"/>
  <c r="BQ19" s="1"/>
  <c r="BG19"/>
  <c r="BP19" s="1"/>
  <c r="AW19"/>
  <c r="BE19"/>
  <c r="BN19" s="1"/>
  <c r="BD19"/>
  <c r="BM19" s="1"/>
  <c r="AT19"/>
  <c r="AQ19"/>
  <c r="AN19"/>
  <c r="AK19"/>
  <c r="BU19" s="1"/>
  <c r="AH19"/>
  <c r="AE19"/>
  <c r="S19"/>
  <c r="O19"/>
  <c r="K19"/>
  <c r="AB19" s="1"/>
  <c r="S21"/>
  <c r="DM21"/>
  <c r="DL21"/>
  <c r="DG21"/>
  <c r="DF21"/>
  <c r="K21"/>
  <c r="AB21" s="1"/>
  <c r="EF21"/>
  <c r="EC21"/>
  <c r="DZ21"/>
  <c r="DW21"/>
  <c r="DT21"/>
  <c r="DQ21"/>
  <c r="CV21"/>
  <c r="CS21"/>
  <c r="DJ21"/>
  <c r="DI21"/>
  <c r="CP21"/>
  <c r="CM21"/>
  <c r="CJ21"/>
  <c r="CG21"/>
  <c r="DN21"/>
  <c r="CA21"/>
  <c r="BX21"/>
  <c r="DH21" s="1"/>
  <c r="BC21"/>
  <c r="BK21"/>
  <c r="BT21" s="1"/>
  <c r="BJ21"/>
  <c r="BS21" s="1"/>
  <c r="AZ21"/>
  <c r="BH21"/>
  <c r="BQ21" s="1"/>
  <c r="BG21"/>
  <c r="BP21" s="1"/>
  <c r="AW21"/>
  <c r="BE21"/>
  <c r="BN21" s="1"/>
  <c r="BD21"/>
  <c r="BM21" s="1"/>
  <c r="AT21"/>
  <c r="AQ21"/>
  <c r="AN21"/>
  <c r="AK21"/>
  <c r="AH21"/>
  <c r="AE21"/>
  <c r="O21"/>
  <c r="EF4"/>
  <c r="EC4"/>
  <c r="DZ4"/>
  <c r="DW4"/>
  <c r="DT4"/>
  <c r="DQ4"/>
  <c r="DJ4"/>
  <c r="DM4"/>
  <c r="DF4"/>
  <c r="DL4"/>
  <c r="CV4"/>
  <c r="CS4"/>
  <c r="CP4"/>
  <c r="CM4"/>
  <c r="CJ4"/>
  <c r="CG4"/>
  <c r="CD4"/>
  <c r="DN4" s="1"/>
  <c r="CA4"/>
  <c r="DK4" s="1"/>
  <c r="BX4"/>
  <c r="BC4"/>
  <c r="BK4"/>
  <c r="BT4" s="1"/>
  <c r="BJ4"/>
  <c r="BS4" s="1"/>
  <c r="AZ4"/>
  <c r="BH4"/>
  <c r="BQ4" s="1"/>
  <c r="BG4"/>
  <c r="BP4" s="1"/>
  <c r="AW4"/>
  <c r="BE4"/>
  <c r="BN4" s="1"/>
  <c r="BD4"/>
  <c r="BM4" s="1"/>
  <c r="AT4"/>
  <c r="AQ4"/>
  <c r="AN4"/>
  <c r="AK4"/>
  <c r="AH4"/>
  <c r="AE4"/>
  <c r="S4"/>
  <c r="O4"/>
  <c r="K4"/>
  <c r="AB4" s="1"/>
  <c r="T4" l="1"/>
  <c r="EG19"/>
  <c r="BI19"/>
  <c r="BR19" s="1"/>
  <c r="T19"/>
  <c r="EG26"/>
  <c r="EK26"/>
  <c r="EK19"/>
  <c r="DH4"/>
  <c r="EG4"/>
  <c r="EG21"/>
  <c r="EJ26"/>
  <c r="EI26"/>
  <c r="T26"/>
  <c r="DN19"/>
  <c r="BF19"/>
  <c r="EH19" s="1"/>
  <c r="BL21"/>
  <c r="BU21" s="1"/>
  <c r="BI21"/>
  <c r="BR21" s="1"/>
  <c r="BF21"/>
  <c r="T21"/>
  <c r="DK21"/>
  <c r="DG4"/>
  <c r="DI4"/>
  <c r="BL4"/>
  <c r="BU4" s="1"/>
  <c r="BI4"/>
  <c r="BR4" s="1"/>
  <c r="BF4"/>
  <c r="BO4" s="1"/>
  <c r="EK4" l="1"/>
  <c r="EI4"/>
  <c r="EH4"/>
  <c r="BO19"/>
  <c r="EI19"/>
  <c r="EJ4"/>
  <c r="DK19"/>
  <c r="EJ19"/>
  <c r="EK21"/>
  <c r="EJ21"/>
  <c r="BO21"/>
  <c r="EI21"/>
  <c r="EH21"/>
  <c r="K7"/>
  <c r="AB7" s="1"/>
  <c r="O7"/>
  <c r="S7"/>
  <c r="AE7"/>
  <c r="AH7"/>
  <c r="AK7"/>
  <c r="AN7"/>
  <c r="AQ7"/>
  <c r="AT7"/>
  <c r="AW7"/>
  <c r="AZ7"/>
  <c r="BC7"/>
  <c r="BD7"/>
  <c r="BE7"/>
  <c r="BN7" s="1"/>
  <c r="BG7"/>
  <c r="BP7" s="1"/>
  <c r="BH7"/>
  <c r="BJ7"/>
  <c r="BS7" s="1"/>
  <c r="BK7"/>
  <c r="BT7" s="1"/>
  <c r="BX7"/>
  <c r="CA7"/>
  <c r="CD7"/>
  <c r="CG7"/>
  <c r="CJ7"/>
  <c r="CM7"/>
  <c r="CP7"/>
  <c r="CS7"/>
  <c r="CV7"/>
  <c r="CW7"/>
  <c r="DF7" s="1"/>
  <c r="CX7"/>
  <c r="CZ7"/>
  <c r="DI7" s="1"/>
  <c r="DA7"/>
  <c r="DJ7" s="1"/>
  <c r="DC7"/>
  <c r="DL7" s="1"/>
  <c r="DD7"/>
  <c r="DM7" s="1"/>
  <c r="DQ7"/>
  <c r="DT7"/>
  <c r="DW7"/>
  <c r="DZ7"/>
  <c r="EC7"/>
  <c r="EF7"/>
  <c r="DE7" l="1"/>
  <c r="DN7" s="1"/>
  <c r="BI7"/>
  <c r="BR7" s="1"/>
  <c r="CY7"/>
  <c r="DH7" s="1"/>
  <c r="DB7"/>
  <c r="DK7" s="1"/>
  <c r="BL7"/>
  <c r="BQ7"/>
  <c r="BF7"/>
  <c r="BM7"/>
  <c r="T7"/>
  <c r="EG7"/>
  <c r="DG7"/>
  <c r="EK7" l="1"/>
  <c r="EJ7"/>
  <c r="EH7"/>
  <c r="BU7"/>
  <c r="EI7"/>
  <c r="BO7"/>
  <c r="EF29" l="1"/>
  <c r="EC29"/>
  <c r="DZ29"/>
  <c r="DW29"/>
  <c r="DT29"/>
  <c r="DQ30"/>
  <c r="DQ29"/>
  <c r="CW29"/>
  <c r="DF29" s="1"/>
  <c r="CX29"/>
  <c r="DG29" s="1"/>
  <c r="CZ29"/>
  <c r="DI29" s="1"/>
  <c r="DA29"/>
  <c r="DC29"/>
  <c r="DD29"/>
  <c r="DM29" s="1"/>
  <c r="CV29"/>
  <c r="CS29"/>
  <c r="CS14"/>
  <c r="CS37"/>
  <c r="CS41"/>
  <c r="CS45"/>
  <c r="CS44"/>
  <c r="CS38"/>
  <c r="CS15"/>
  <c r="CS35"/>
  <c r="CP29"/>
  <c r="CM29"/>
  <c r="CJ29"/>
  <c r="CG29"/>
  <c r="CD29"/>
  <c r="CA29"/>
  <c r="BX29"/>
  <c r="BC29"/>
  <c r="BK29"/>
  <c r="BT29" s="1"/>
  <c r="BJ29"/>
  <c r="BS29" s="1"/>
  <c r="AZ29"/>
  <c r="BH29"/>
  <c r="BQ29" s="1"/>
  <c r="BG29"/>
  <c r="BP29" s="1"/>
  <c r="AW29"/>
  <c r="BE29"/>
  <c r="BN29" s="1"/>
  <c r="BD29"/>
  <c r="BM29" s="1"/>
  <c r="AT29"/>
  <c r="AQ29"/>
  <c r="AN29"/>
  <c r="AK29"/>
  <c r="AH29"/>
  <c r="AE29"/>
  <c r="S29"/>
  <c r="O29"/>
  <c r="K29"/>
  <c r="AB29" s="1"/>
  <c r="EG29" l="1"/>
  <c r="DB29"/>
  <c r="DK29" s="1"/>
  <c r="DE29"/>
  <c r="DN29" s="1"/>
  <c r="T29"/>
  <c r="DL29"/>
  <c r="BI29"/>
  <c r="BR29" s="1"/>
  <c r="CY29"/>
  <c r="DH29" s="1"/>
  <c r="DJ29"/>
  <c r="BL29"/>
  <c r="BU29" s="1"/>
  <c r="BF29"/>
  <c r="BO29" s="1"/>
  <c r="EH29" l="1"/>
  <c r="EK29"/>
  <c r="EJ29"/>
  <c r="EF35"/>
  <c r="EC35"/>
  <c r="DZ35"/>
  <c r="DW35"/>
  <c r="DT35"/>
  <c r="DQ35"/>
  <c r="CW35"/>
  <c r="DF35" s="1"/>
  <c r="CX35"/>
  <c r="CZ35"/>
  <c r="DI35" s="1"/>
  <c r="DA35"/>
  <c r="DJ35" s="1"/>
  <c r="CV35"/>
  <c r="DD35"/>
  <c r="DM35" s="1"/>
  <c r="DC35"/>
  <c r="DL35" s="1"/>
  <c r="CP35"/>
  <c r="CM35"/>
  <c r="CJ35"/>
  <c r="CG35"/>
  <c r="CD35"/>
  <c r="CA35"/>
  <c r="BX35"/>
  <c r="BG35"/>
  <c r="BP35" s="1"/>
  <c r="BH35"/>
  <c r="BC35"/>
  <c r="BK35"/>
  <c r="BT35" s="1"/>
  <c r="BJ35"/>
  <c r="BS35" s="1"/>
  <c r="AZ35"/>
  <c r="AW35"/>
  <c r="BE35"/>
  <c r="BN35" s="1"/>
  <c r="BD35"/>
  <c r="BM35" s="1"/>
  <c r="AT35"/>
  <c r="AQ35"/>
  <c r="AN35"/>
  <c r="AK35"/>
  <c r="AH35"/>
  <c r="AE35"/>
  <c r="S35"/>
  <c r="O35"/>
  <c r="K35"/>
  <c r="AB35" s="1"/>
  <c r="EF15"/>
  <c r="EC15"/>
  <c r="DZ15"/>
  <c r="DW15"/>
  <c r="DT15"/>
  <c r="DQ15"/>
  <c r="CW15"/>
  <c r="DF15" s="1"/>
  <c r="CX15"/>
  <c r="CZ15"/>
  <c r="DI15" s="1"/>
  <c r="DA15"/>
  <c r="DJ15" s="1"/>
  <c r="DC15"/>
  <c r="DD15"/>
  <c r="DM15" s="1"/>
  <c r="CV15"/>
  <c r="CP15"/>
  <c r="CM15"/>
  <c r="CJ15"/>
  <c r="CG15"/>
  <c r="CD15"/>
  <c r="CA15"/>
  <c r="BX15"/>
  <c r="BG15"/>
  <c r="BP15" s="1"/>
  <c r="BH15"/>
  <c r="BQ15" s="1"/>
  <c r="BC15"/>
  <c r="BK15"/>
  <c r="BT15" s="1"/>
  <c r="BJ15"/>
  <c r="BS15" s="1"/>
  <c r="AZ15"/>
  <c r="AW15"/>
  <c r="BE15"/>
  <c r="BN15" s="1"/>
  <c r="BD15"/>
  <c r="BM15" s="1"/>
  <c r="AT15"/>
  <c r="AQ15"/>
  <c r="AN15"/>
  <c r="AH15"/>
  <c r="AE15"/>
  <c r="S15"/>
  <c r="O15"/>
  <c r="K15"/>
  <c r="AB15" s="1"/>
  <c r="DW38"/>
  <c r="DT38"/>
  <c r="DQ38"/>
  <c r="CZ38"/>
  <c r="DI38" s="1"/>
  <c r="DA38"/>
  <c r="DJ38" s="1"/>
  <c r="DC38"/>
  <c r="DL38" s="1"/>
  <c r="DD38"/>
  <c r="DM38" s="1"/>
  <c r="CV38"/>
  <c r="CP38"/>
  <c r="CM38"/>
  <c r="CJ38"/>
  <c r="CG38"/>
  <c r="CX38"/>
  <c r="DG38" s="1"/>
  <c r="CW38"/>
  <c r="DF38" s="1"/>
  <c r="CD38"/>
  <c r="CA38"/>
  <c r="BX38"/>
  <c r="BC38"/>
  <c r="BK38"/>
  <c r="BT38" s="1"/>
  <c r="BJ38"/>
  <c r="BS38" s="1"/>
  <c r="AZ38"/>
  <c r="AW38"/>
  <c r="BE38"/>
  <c r="BN38" s="1"/>
  <c r="BD38"/>
  <c r="BM38" s="1"/>
  <c r="AT38"/>
  <c r="AQ38"/>
  <c r="BH38"/>
  <c r="BQ38" s="1"/>
  <c r="BG38"/>
  <c r="AN38"/>
  <c r="AH38"/>
  <c r="AE38"/>
  <c r="S38"/>
  <c r="O38"/>
  <c r="K38"/>
  <c r="AB38" s="1"/>
  <c r="EF38"/>
  <c r="EC38"/>
  <c r="DZ38"/>
  <c r="DE15" l="1"/>
  <c r="DN15" s="1"/>
  <c r="DB38"/>
  <c r="DK38" s="1"/>
  <c r="DB15"/>
  <c r="DK15" s="1"/>
  <c r="T38"/>
  <c r="EG38"/>
  <c r="CY15"/>
  <c r="DH15" s="1"/>
  <c r="BI35"/>
  <c r="BR35" s="1"/>
  <c r="CY35"/>
  <c r="DH35" s="1"/>
  <c r="EG35"/>
  <c r="DB35"/>
  <c r="DK35" s="1"/>
  <c r="DE38"/>
  <c r="DN38" s="1"/>
  <c r="T15"/>
  <c r="BI15"/>
  <c r="BR15" s="1"/>
  <c r="T35"/>
  <c r="DL15"/>
  <c r="BQ35"/>
  <c r="EG15"/>
  <c r="DG35"/>
  <c r="DG15"/>
  <c r="DE35"/>
  <c r="DN35" s="1"/>
  <c r="BL35"/>
  <c r="BU35" s="1"/>
  <c r="BF35"/>
  <c r="BO35" s="1"/>
  <c r="BL15"/>
  <c r="BF15"/>
  <c r="BO15" s="1"/>
  <c r="CY38"/>
  <c r="BL38"/>
  <c r="BI38"/>
  <c r="BR38" s="1"/>
  <c r="BP38"/>
  <c r="BF38"/>
  <c r="BO38" s="1"/>
  <c r="EK15" l="1"/>
  <c r="EJ35"/>
  <c r="EI38"/>
  <c r="EK35"/>
  <c r="EJ38"/>
  <c r="EH38"/>
  <c r="EK38"/>
  <c r="EH15"/>
  <c r="EI15"/>
  <c r="EJ15"/>
  <c r="EI35"/>
  <c r="EH35"/>
  <c r="DH38"/>
  <c r="EF44" l="1"/>
  <c r="EF45"/>
  <c r="EF41"/>
  <c r="EF37"/>
  <c r="EF30"/>
  <c r="EF24"/>
  <c r="EF12"/>
  <c r="EF23"/>
  <c r="EF22"/>
  <c r="EF16"/>
  <c r="EF18"/>
  <c r="EF10"/>
  <c r="EF8"/>
  <c r="EF36"/>
  <c r="EC44"/>
  <c r="EC45"/>
  <c r="EC41"/>
  <c r="EC37"/>
  <c r="EC30"/>
  <c r="EC24"/>
  <c r="EC12"/>
  <c r="EC23"/>
  <c r="EC22"/>
  <c r="EC16"/>
  <c r="EC18"/>
  <c r="EC10"/>
  <c r="EC8"/>
  <c r="EC36"/>
  <c r="DZ44"/>
  <c r="DZ45"/>
  <c r="DZ41"/>
  <c r="DZ37"/>
  <c r="DZ30"/>
  <c r="DZ24"/>
  <c r="DZ12"/>
  <c r="DZ23"/>
  <c r="DZ22"/>
  <c r="DZ16"/>
  <c r="DZ18"/>
  <c r="DZ10"/>
  <c r="DZ8"/>
  <c r="DZ36"/>
  <c r="DW44"/>
  <c r="DW45"/>
  <c r="DW41"/>
  <c r="DW37"/>
  <c r="DW30"/>
  <c r="DW24"/>
  <c r="DW12"/>
  <c r="DW23"/>
  <c r="DW22"/>
  <c r="DW16"/>
  <c r="DW18"/>
  <c r="DW10"/>
  <c r="DW8"/>
  <c r="DW36"/>
  <c r="DT44"/>
  <c r="DT45"/>
  <c r="DT41"/>
  <c r="DT37"/>
  <c r="DT30"/>
  <c r="DT24"/>
  <c r="DT12"/>
  <c r="DT23"/>
  <c r="DT22"/>
  <c r="DT16"/>
  <c r="DT18"/>
  <c r="DT10"/>
  <c r="DT8"/>
  <c r="DT36"/>
  <c r="DQ44"/>
  <c r="DQ45"/>
  <c r="DQ41"/>
  <c r="DQ37"/>
  <c r="DQ24"/>
  <c r="DQ12"/>
  <c r="DQ23"/>
  <c r="DQ22"/>
  <c r="DQ16"/>
  <c r="DQ18"/>
  <c r="DQ10"/>
  <c r="DQ8"/>
  <c r="DQ36"/>
  <c r="CV44"/>
  <c r="CV45"/>
  <c r="CV41"/>
  <c r="CV37"/>
  <c r="CV14"/>
  <c r="CV30"/>
  <c r="CV24"/>
  <c r="CV12"/>
  <c r="CV23"/>
  <c r="CV22"/>
  <c r="CV16"/>
  <c r="CV18"/>
  <c r="CV10"/>
  <c r="CV8"/>
  <c r="CV36"/>
  <c r="CS30"/>
  <c r="CS24"/>
  <c r="CS12"/>
  <c r="CS23"/>
  <c r="CS22"/>
  <c r="CS16"/>
  <c r="CS18"/>
  <c r="CS36"/>
  <c r="CP44"/>
  <c r="CP45"/>
  <c r="CP41"/>
  <c r="CP37"/>
  <c r="CP14"/>
  <c r="CP30"/>
  <c r="CP24"/>
  <c r="CP12"/>
  <c r="CP23"/>
  <c r="CP22"/>
  <c r="CP16"/>
  <c r="CP18"/>
  <c r="CP36"/>
  <c r="CM44"/>
  <c r="CM45"/>
  <c r="CM41"/>
  <c r="CM37"/>
  <c r="CM14"/>
  <c r="CM24"/>
  <c r="CM12"/>
  <c r="CM23"/>
  <c r="CM22"/>
  <c r="CM16"/>
  <c r="CM18"/>
  <c r="CM10"/>
  <c r="CM36"/>
  <c r="CJ44"/>
  <c r="CJ45"/>
  <c r="CJ41"/>
  <c r="CJ37"/>
  <c r="CJ14"/>
  <c r="CJ24"/>
  <c r="CJ23"/>
  <c r="CJ22"/>
  <c r="CJ16"/>
  <c r="CJ18"/>
  <c r="CJ10"/>
  <c r="CJ36"/>
  <c r="CG44"/>
  <c r="CG45"/>
  <c r="CG41"/>
  <c r="CG37"/>
  <c r="CG14"/>
  <c r="CG24"/>
  <c r="CG23"/>
  <c r="CG22"/>
  <c r="CG16"/>
  <c r="CG18"/>
  <c r="CG10"/>
  <c r="CG36"/>
  <c r="CD44"/>
  <c r="CD45"/>
  <c r="CD41"/>
  <c r="CD37"/>
  <c r="CD14"/>
  <c r="CD24"/>
  <c r="CD12"/>
  <c r="CD23"/>
  <c r="CD22"/>
  <c r="CD16"/>
  <c r="CD18"/>
  <c r="CD10"/>
  <c r="CD36"/>
  <c r="CA36"/>
  <c r="CA10"/>
  <c r="CA18"/>
  <c r="CA16"/>
  <c r="CA22"/>
  <c r="CA23"/>
  <c r="CA24"/>
  <c r="CA14"/>
  <c r="CA37"/>
  <c r="CA41"/>
  <c r="CA45"/>
  <c r="CA44"/>
  <c r="BX36"/>
  <c r="BX8"/>
  <c r="BX10"/>
  <c r="BX18"/>
  <c r="BX16"/>
  <c r="BX22"/>
  <c r="BX23"/>
  <c r="BX12"/>
  <c r="BX24"/>
  <c r="BX30"/>
  <c r="BX14"/>
  <c r="BX37"/>
  <c r="BX41"/>
  <c r="BX45"/>
  <c r="BX44"/>
  <c r="BC36"/>
  <c r="BC8"/>
  <c r="BC10"/>
  <c r="BC18"/>
  <c r="BC16"/>
  <c r="BC22"/>
  <c r="BC23"/>
  <c r="BC12"/>
  <c r="BC24"/>
  <c r="BC30"/>
  <c r="BC14"/>
  <c r="BC37"/>
  <c r="BC41"/>
  <c r="BC45"/>
  <c r="BC44"/>
  <c r="AZ36"/>
  <c r="AZ8"/>
  <c r="AZ18"/>
  <c r="AZ16"/>
  <c r="AZ22"/>
  <c r="AZ23"/>
  <c r="AZ12"/>
  <c r="AZ24"/>
  <c r="AZ30"/>
  <c r="AZ14"/>
  <c r="AZ37"/>
  <c r="AZ41"/>
  <c r="AZ45"/>
  <c r="AZ44"/>
  <c r="AW36"/>
  <c r="AW8"/>
  <c r="AW18"/>
  <c r="AW16"/>
  <c r="AW22"/>
  <c r="AW23"/>
  <c r="AW12"/>
  <c r="AW24"/>
  <c r="AW30"/>
  <c r="AW14"/>
  <c r="AW37"/>
  <c r="AW41"/>
  <c r="AW45"/>
  <c r="AW44"/>
  <c r="AT36"/>
  <c r="AT8"/>
  <c r="AT10"/>
  <c r="AT18"/>
  <c r="AT16"/>
  <c r="AT22"/>
  <c r="AT23"/>
  <c r="AT12"/>
  <c r="AT24"/>
  <c r="AT30"/>
  <c r="AT14"/>
  <c r="AT37"/>
  <c r="AT41"/>
  <c r="AT45"/>
  <c r="AT44"/>
  <c r="AQ36"/>
  <c r="AQ8"/>
  <c r="AQ10"/>
  <c r="AQ18"/>
  <c r="AQ16"/>
  <c r="AQ22"/>
  <c r="AQ23"/>
  <c r="AQ12"/>
  <c r="AQ24"/>
  <c r="AQ30"/>
  <c r="AQ14"/>
  <c r="AQ37"/>
  <c r="AQ41"/>
  <c r="AQ45"/>
  <c r="AQ44"/>
  <c r="AN36"/>
  <c r="AN8"/>
  <c r="AN10"/>
  <c r="AN18"/>
  <c r="AN16"/>
  <c r="AN22"/>
  <c r="AN23"/>
  <c r="AN12"/>
  <c r="AN24"/>
  <c r="AN30"/>
  <c r="AN14"/>
  <c r="AN37"/>
  <c r="AN41"/>
  <c r="AN45"/>
  <c r="AN44"/>
  <c r="AK36"/>
  <c r="AK8"/>
  <c r="AK10"/>
  <c r="AK18"/>
  <c r="AK16"/>
  <c r="AK22"/>
  <c r="AK23"/>
  <c r="AK12"/>
  <c r="AK24"/>
  <c r="AK30"/>
  <c r="AK14"/>
  <c r="AK37"/>
  <c r="AK41"/>
  <c r="AK45"/>
  <c r="AK44"/>
  <c r="AK38"/>
  <c r="BU38" s="1"/>
  <c r="AK15"/>
  <c r="BU15" s="1"/>
  <c r="AH36"/>
  <c r="AH8"/>
  <c r="AH10"/>
  <c r="AH18"/>
  <c r="AH16"/>
  <c r="AH22"/>
  <c r="AH23"/>
  <c r="AH12"/>
  <c r="AH24"/>
  <c r="AH30"/>
  <c r="AH14"/>
  <c r="AH37"/>
  <c r="AH41"/>
  <c r="AH45"/>
  <c r="AH44"/>
  <c r="AE36"/>
  <c r="AE8"/>
  <c r="AE10"/>
  <c r="AE18"/>
  <c r="AE16"/>
  <c r="AE22"/>
  <c r="AE23"/>
  <c r="AE12"/>
  <c r="AE24"/>
  <c r="AE30"/>
  <c r="AE14"/>
  <c r="AE37"/>
  <c r="AE41"/>
  <c r="AE45"/>
  <c r="AE44"/>
  <c r="O36"/>
  <c r="O8"/>
  <c r="O10"/>
  <c r="O18"/>
  <c r="O16"/>
  <c r="O22"/>
  <c r="O23"/>
  <c r="O12"/>
  <c r="O24"/>
  <c r="O30"/>
  <c r="O14"/>
  <c r="O37"/>
  <c r="O41"/>
  <c r="O45"/>
  <c r="O44"/>
  <c r="S12"/>
  <c r="S24"/>
  <c r="S30"/>
  <c r="S14"/>
  <c r="S37"/>
  <c r="S41"/>
  <c r="S45"/>
  <c r="S44"/>
  <c r="S18"/>
  <c r="S16"/>
  <c r="S22"/>
  <c r="T22" s="1"/>
  <c r="S23"/>
  <c r="S36"/>
  <c r="S8"/>
  <c r="S10"/>
  <c r="K44"/>
  <c r="AB44" s="1"/>
  <c r="K41"/>
  <c r="AB41" s="1"/>
  <c r="K45"/>
  <c r="AB45" s="1"/>
  <c r="K30"/>
  <c r="AB30" s="1"/>
  <c r="K14"/>
  <c r="AB14" s="1"/>
  <c r="K37"/>
  <c r="AB37" s="1"/>
  <c r="K23"/>
  <c r="AB23" s="1"/>
  <c r="K12"/>
  <c r="K24"/>
  <c r="AB24" s="1"/>
  <c r="K22"/>
  <c r="AB22" s="1"/>
  <c r="K16"/>
  <c r="AB16" s="1"/>
  <c r="K18"/>
  <c r="AB18" s="1"/>
  <c r="K36"/>
  <c r="AB36" s="1"/>
  <c r="K8"/>
  <c r="AB8" s="1"/>
  <c r="DY14"/>
  <c r="DX14"/>
  <c r="DP14"/>
  <c r="CW36"/>
  <c r="CX36"/>
  <c r="DG36" s="1"/>
  <c r="CZ36"/>
  <c r="DA36"/>
  <c r="DJ36" s="1"/>
  <c r="DC36"/>
  <c r="DL36" s="1"/>
  <c r="DD36"/>
  <c r="DM36" s="1"/>
  <c r="CW8"/>
  <c r="CX8"/>
  <c r="DG8" s="1"/>
  <c r="CZ8"/>
  <c r="DI8" s="1"/>
  <c r="DA8"/>
  <c r="DJ8" s="1"/>
  <c r="DC8"/>
  <c r="DD8"/>
  <c r="DM8" s="1"/>
  <c r="CW10"/>
  <c r="DF10" s="1"/>
  <c r="CX10"/>
  <c r="DG10" s="1"/>
  <c r="CZ10"/>
  <c r="DI10" s="1"/>
  <c r="DA10"/>
  <c r="DC10"/>
  <c r="DD10"/>
  <c r="DM10" s="1"/>
  <c r="CW18"/>
  <c r="DF18" s="1"/>
  <c r="CX18"/>
  <c r="DG18" s="1"/>
  <c r="CZ18"/>
  <c r="DA18"/>
  <c r="DJ18" s="1"/>
  <c r="DC18"/>
  <c r="DL18" s="1"/>
  <c r="DD18"/>
  <c r="DM18" s="1"/>
  <c r="CW16"/>
  <c r="CX16"/>
  <c r="DG16" s="1"/>
  <c r="CZ16"/>
  <c r="DI16" s="1"/>
  <c r="DA16"/>
  <c r="DJ16" s="1"/>
  <c r="DC16"/>
  <c r="DL16" s="1"/>
  <c r="DD16"/>
  <c r="DM16" s="1"/>
  <c r="CW22"/>
  <c r="CX22"/>
  <c r="DG22" s="1"/>
  <c r="CZ22"/>
  <c r="DA22"/>
  <c r="DJ22" s="1"/>
  <c r="DC22"/>
  <c r="DD22"/>
  <c r="DM22" s="1"/>
  <c r="CW23"/>
  <c r="CX23"/>
  <c r="CZ23"/>
  <c r="DI23" s="1"/>
  <c r="DA23"/>
  <c r="DC23"/>
  <c r="DD23"/>
  <c r="DM23" s="1"/>
  <c r="CW12"/>
  <c r="DF12" s="1"/>
  <c r="CX12"/>
  <c r="DG12" s="1"/>
  <c r="CZ12"/>
  <c r="DA12"/>
  <c r="DJ12" s="1"/>
  <c r="DC12"/>
  <c r="DL12" s="1"/>
  <c r="DD12"/>
  <c r="DM12" s="1"/>
  <c r="CW24"/>
  <c r="CX24"/>
  <c r="DG24" s="1"/>
  <c r="CZ24"/>
  <c r="DI24" s="1"/>
  <c r="DA24"/>
  <c r="DJ24" s="1"/>
  <c r="DC24"/>
  <c r="DL24" s="1"/>
  <c r="DD24"/>
  <c r="DM24" s="1"/>
  <c r="CW30"/>
  <c r="DF30" s="1"/>
  <c r="CX30"/>
  <c r="CZ30"/>
  <c r="DA30"/>
  <c r="DJ30" s="1"/>
  <c r="DC30"/>
  <c r="DD30"/>
  <c r="DM30" s="1"/>
  <c r="CW14"/>
  <c r="DF14" s="1"/>
  <c r="CX14"/>
  <c r="DG14" s="1"/>
  <c r="CZ14"/>
  <c r="DI14" s="1"/>
  <c r="DA14"/>
  <c r="DC14"/>
  <c r="DL14" s="1"/>
  <c r="DD14"/>
  <c r="DM14" s="1"/>
  <c r="CW37"/>
  <c r="DF37" s="1"/>
  <c r="CX37"/>
  <c r="DG37" s="1"/>
  <c r="CZ37"/>
  <c r="DA37"/>
  <c r="DJ37" s="1"/>
  <c r="DC37"/>
  <c r="DL37" s="1"/>
  <c r="DD37"/>
  <c r="DM37" s="1"/>
  <c r="CW41"/>
  <c r="DF41" s="1"/>
  <c r="CX41"/>
  <c r="DG41" s="1"/>
  <c r="CZ41"/>
  <c r="DA41"/>
  <c r="DJ41" s="1"/>
  <c r="DC41"/>
  <c r="DD41"/>
  <c r="DM41" s="1"/>
  <c r="CW45"/>
  <c r="DF45" s="1"/>
  <c r="CX45"/>
  <c r="DG45" s="1"/>
  <c r="CZ45"/>
  <c r="DI45" s="1"/>
  <c r="DA45"/>
  <c r="DC45"/>
  <c r="DL45" s="1"/>
  <c r="DD45"/>
  <c r="DM45" s="1"/>
  <c r="CW44"/>
  <c r="DF44" s="1"/>
  <c r="CX44"/>
  <c r="DG44" s="1"/>
  <c r="CZ44"/>
  <c r="DA44"/>
  <c r="DJ44" s="1"/>
  <c r="DC44"/>
  <c r="DD44"/>
  <c r="DM44" s="1"/>
  <c r="BG36"/>
  <c r="BP36" s="1"/>
  <c r="BH36"/>
  <c r="BJ36"/>
  <c r="BK36"/>
  <c r="BT36" s="1"/>
  <c r="BG8"/>
  <c r="BH8"/>
  <c r="BQ8" s="1"/>
  <c r="BJ8"/>
  <c r="BK8"/>
  <c r="BT8" s="1"/>
  <c r="BG10"/>
  <c r="BP10" s="1"/>
  <c r="BH10"/>
  <c r="BQ10" s="1"/>
  <c r="BJ10"/>
  <c r="BK10"/>
  <c r="BT10" s="1"/>
  <c r="BG18"/>
  <c r="BP18" s="1"/>
  <c r="BH18"/>
  <c r="BQ18" s="1"/>
  <c r="BJ18"/>
  <c r="BK18"/>
  <c r="BT18" s="1"/>
  <c r="BG16"/>
  <c r="BP16" s="1"/>
  <c r="BH16"/>
  <c r="BJ16"/>
  <c r="BS16" s="1"/>
  <c r="BK16"/>
  <c r="BT16" s="1"/>
  <c r="BG22"/>
  <c r="BH22"/>
  <c r="BQ22" s="1"/>
  <c r="BJ22"/>
  <c r="BK22"/>
  <c r="BT22" s="1"/>
  <c r="BG23"/>
  <c r="BP23" s="1"/>
  <c r="BH23"/>
  <c r="BQ23" s="1"/>
  <c r="BJ23"/>
  <c r="BS23" s="1"/>
  <c r="BK23"/>
  <c r="BT23" s="1"/>
  <c r="BG12"/>
  <c r="BP12" s="1"/>
  <c r="BH12"/>
  <c r="BQ12" s="1"/>
  <c r="BJ12"/>
  <c r="BS12" s="1"/>
  <c r="BK12"/>
  <c r="BT12" s="1"/>
  <c r="BG24"/>
  <c r="BP24" s="1"/>
  <c r="BH24"/>
  <c r="BJ24"/>
  <c r="BK24"/>
  <c r="BT24" s="1"/>
  <c r="BG30"/>
  <c r="BP30" s="1"/>
  <c r="BH30"/>
  <c r="BQ30" s="1"/>
  <c r="BJ30"/>
  <c r="BS30" s="1"/>
  <c r="BK30"/>
  <c r="BG14"/>
  <c r="BP14" s="1"/>
  <c r="BH14"/>
  <c r="BJ14"/>
  <c r="BS14" s="1"/>
  <c r="BK14"/>
  <c r="BT14" s="1"/>
  <c r="BG37"/>
  <c r="BP37" s="1"/>
  <c r="BH37"/>
  <c r="BQ37" s="1"/>
  <c r="BJ37"/>
  <c r="BK37"/>
  <c r="BT37" s="1"/>
  <c r="BG41"/>
  <c r="BH41"/>
  <c r="BQ41" s="1"/>
  <c r="BJ41"/>
  <c r="BK41"/>
  <c r="BT41" s="1"/>
  <c r="BG45"/>
  <c r="BP45" s="1"/>
  <c r="BH45"/>
  <c r="BQ45" s="1"/>
  <c r="BJ45"/>
  <c r="BS45" s="1"/>
  <c r="BK45"/>
  <c r="BT45" s="1"/>
  <c r="BG44"/>
  <c r="BH44"/>
  <c r="BQ44" s="1"/>
  <c r="BJ44"/>
  <c r="BK44"/>
  <c r="BT44" s="1"/>
  <c r="BE36"/>
  <c r="BN36" s="1"/>
  <c r="BE8"/>
  <c r="BN8" s="1"/>
  <c r="BE10"/>
  <c r="BN10" s="1"/>
  <c r="BE18"/>
  <c r="BN18" s="1"/>
  <c r="BE16"/>
  <c r="BN16" s="1"/>
  <c r="BE22"/>
  <c r="BN22" s="1"/>
  <c r="BE23"/>
  <c r="BN23" s="1"/>
  <c r="BE12"/>
  <c r="BN12" s="1"/>
  <c r="BE24"/>
  <c r="BN24" s="1"/>
  <c r="BE30"/>
  <c r="BN30" s="1"/>
  <c r="BE14"/>
  <c r="BN14" s="1"/>
  <c r="BE37"/>
  <c r="BN37" s="1"/>
  <c r="BE41"/>
  <c r="BN41" s="1"/>
  <c r="BE45"/>
  <c r="BN45" s="1"/>
  <c r="BE44"/>
  <c r="BN44" s="1"/>
  <c r="BD36"/>
  <c r="BD8"/>
  <c r="BM8" s="1"/>
  <c r="BD10"/>
  <c r="BD18"/>
  <c r="BM18" s="1"/>
  <c r="BD16"/>
  <c r="BM16" s="1"/>
  <c r="BD22"/>
  <c r="BM22" s="1"/>
  <c r="BD23"/>
  <c r="BM12"/>
  <c r="BD24"/>
  <c r="BD30"/>
  <c r="BM30" s="1"/>
  <c r="BD14"/>
  <c r="BD37"/>
  <c r="BM37" s="1"/>
  <c r="BD41"/>
  <c r="BM41" s="1"/>
  <c r="BD45"/>
  <c r="BM45" s="1"/>
  <c r="BD44"/>
  <c r="BM44" s="1"/>
  <c r="AB10"/>
  <c r="AB12"/>
  <c r="EE14"/>
  <c r="ED14"/>
  <c r="DV14"/>
  <c r="DU14"/>
  <c r="EB14"/>
  <c r="EA14"/>
  <c r="DS14"/>
  <c r="DR14"/>
  <c r="EF43"/>
  <c r="EC43"/>
  <c r="DZ43"/>
  <c r="DW43"/>
  <c r="DT43"/>
  <c r="DQ43"/>
  <c r="DL43"/>
  <c r="DG43"/>
  <c r="BT43"/>
  <c r="BN43"/>
  <c r="CV43"/>
  <c r="CS43"/>
  <c r="CP43"/>
  <c r="CM43"/>
  <c r="CJ43"/>
  <c r="CG43"/>
  <c r="CD43"/>
  <c r="CA43"/>
  <c r="BX43"/>
  <c r="BC43"/>
  <c r="AZ43"/>
  <c r="AW43"/>
  <c r="AT43"/>
  <c r="AQ43"/>
  <c r="AN43"/>
  <c r="AK43"/>
  <c r="AH43"/>
  <c r="AE43"/>
  <c r="S43"/>
  <c r="O43"/>
  <c r="K43"/>
  <c r="AB43" s="1"/>
  <c r="T41" l="1"/>
  <c r="T14"/>
  <c r="T16"/>
  <c r="EG30"/>
  <c r="EG8"/>
  <c r="EG23"/>
  <c r="EG45"/>
  <c r="EG22"/>
  <c r="EG14"/>
  <c r="EG37"/>
  <c r="EG18"/>
  <c r="BF24"/>
  <c r="BO24" s="1"/>
  <c r="T37"/>
  <c r="T10"/>
  <c r="BF36"/>
  <c r="BO36" s="1"/>
  <c r="EG41"/>
  <c r="EG16"/>
  <c r="EG12"/>
  <c r="EG24"/>
  <c r="EG36"/>
  <c r="EG10"/>
  <c r="T44"/>
  <c r="CY22"/>
  <c r="DH22" s="1"/>
  <c r="EG44"/>
  <c r="DE10"/>
  <c r="DN10" s="1"/>
  <c r="CY24"/>
  <c r="DE22"/>
  <c r="BI22"/>
  <c r="BR22" s="1"/>
  <c r="BI8"/>
  <c r="BR8" s="1"/>
  <c r="DB44"/>
  <c r="DK44" s="1"/>
  <c r="DB30"/>
  <c r="DB12"/>
  <c r="DK12" s="1"/>
  <c r="CY23"/>
  <c r="DH23" s="1"/>
  <c r="BL37"/>
  <c r="BU37" s="1"/>
  <c r="BL18"/>
  <c r="BU18" s="1"/>
  <c r="BI44"/>
  <c r="BR44" s="1"/>
  <c r="BI41"/>
  <c r="BR41" s="1"/>
  <c r="DB41"/>
  <c r="DK41" s="1"/>
  <c r="DQ14"/>
  <c r="T18"/>
  <c r="DW14"/>
  <c r="BF23"/>
  <c r="DE12"/>
  <c r="DN12" s="1"/>
  <c r="CY16"/>
  <c r="DH16" s="1"/>
  <c r="DE8"/>
  <c r="DN8" s="1"/>
  <c r="BL44"/>
  <c r="BU44" s="1"/>
  <c r="BL41"/>
  <c r="BU41" s="1"/>
  <c r="BL24"/>
  <c r="BU24" s="1"/>
  <c r="BL10"/>
  <c r="BL36"/>
  <c r="BU36" s="1"/>
  <c r="DE30"/>
  <c r="DN30" s="1"/>
  <c r="DI30"/>
  <c r="DF23"/>
  <c r="DZ14"/>
  <c r="EC14"/>
  <c r="DT14"/>
  <c r="BF14"/>
  <c r="DE44"/>
  <c r="CY14"/>
  <c r="DH14" s="1"/>
  <c r="CY8"/>
  <c r="EF14"/>
  <c r="BS10"/>
  <c r="BP22"/>
  <c r="BS36"/>
  <c r="BF41"/>
  <c r="BO41" s="1"/>
  <c r="BF16"/>
  <c r="BI37"/>
  <c r="BR37" s="1"/>
  <c r="BI18"/>
  <c r="BR18" s="1"/>
  <c r="BL14"/>
  <c r="BU14" s="1"/>
  <c r="CY44"/>
  <c r="DH44" s="1"/>
  <c r="DE36"/>
  <c r="DN36" s="1"/>
  <c r="DE24"/>
  <c r="EK24" s="1"/>
  <c r="BP41"/>
  <c r="BM23"/>
  <c r="BF45"/>
  <c r="BF22"/>
  <c r="BO22" s="1"/>
  <c r="BI16"/>
  <c r="BR16" s="1"/>
  <c r="CY45"/>
  <c r="DH45" s="1"/>
  <c r="DB23"/>
  <c r="BF44"/>
  <c r="BI45"/>
  <c r="BR45" s="1"/>
  <c r="BL16"/>
  <c r="CY41"/>
  <c r="DB22"/>
  <c r="DK22" s="1"/>
  <c r="DB45"/>
  <c r="DE23"/>
  <c r="DN23" s="1"/>
  <c r="BM24"/>
  <c r="T12"/>
  <c r="BF12"/>
  <c r="BO12" s="1"/>
  <c r="BI23"/>
  <c r="BL45"/>
  <c r="BU45" s="1"/>
  <c r="BL22"/>
  <c r="BU22" s="1"/>
  <c r="CY18"/>
  <c r="DH18" s="1"/>
  <c r="CY37"/>
  <c r="DB16"/>
  <c r="DE45"/>
  <c r="BS24"/>
  <c r="DN44"/>
  <c r="T24"/>
  <c r="BI12"/>
  <c r="BL23"/>
  <c r="BU23" s="1"/>
  <c r="CY10"/>
  <c r="DH10" s="1"/>
  <c r="DB18"/>
  <c r="DK18" s="1"/>
  <c r="DB37"/>
  <c r="DE16"/>
  <c r="EK16" s="1"/>
  <c r="DE41"/>
  <c r="DN41" s="1"/>
  <c r="BO23"/>
  <c r="BT30"/>
  <c r="T30"/>
  <c r="BF30"/>
  <c r="BO30" s="1"/>
  <c r="BF8"/>
  <c r="BO8" s="1"/>
  <c r="BI24"/>
  <c r="BR24" s="1"/>
  <c r="BI36"/>
  <c r="BL12"/>
  <c r="CY30"/>
  <c r="DH30" s="1"/>
  <c r="DB10"/>
  <c r="DK10" s="1"/>
  <c r="DB14"/>
  <c r="DK14" s="1"/>
  <c r="DE18"/>
  <c r="DN18" s="1"/>
  <c r="DE37"/>
  <c r="DN37" s="1"/>
  <c r="BQ14"/>
  <c r="BQ16"/>
  <c r="BF10"/>
  <c r="BO10" s="1"/>
  <c r="BI30"/>
  <c r="BR30" s="1"/>
  <c r="CY36"/>
  <c r="DH36" s="1"/>
  <c r="DB8"/>
  <c r="DE14"/>
  <c r="DN14" s="1"/>
  <c r="BM36"/>
  <c r="BF37"/>
  <c r="BF18"/>
  <c r="BO18" s="1"/>
  <c r="BI14"/>
  <c r="BI10"/>
  <c r="BL30"/>
  <c r="BU30" s="1"/>
  <c r="BL8"/>
  <c r="BU8" s="1"/>
  <c r="CY12"/>
  <c r="DH12" s="1"/>
  <c r="DB36"/>
  <c r="DK36" s="1"/>
  <c r="DB24"/>
  <c r="T36"/>
  <c r="T23"/>
  <c r="T8"/>
  <c r="T45"/>
  <c r="BP44"/>
  <c r="BM14"/>
  <c r="BM10"/>
  <c r="DI22"/>
  <c r="BO16"/>
  <c r="BR23"/>
  <c r="BU16"/>
  <c r="BS41"/>
  <c r="BS22"/>
  <c r="DL44"/>
  <c r="DG23"/>
  <c r="BQ24"/>
  <c r="BP8"/>
  <c r="BQ36"/>
  <c r="DI41"/>
  <c r="DG30"/>
  <c r="BS44"/>
  <c r="BS8"/>
  <c r="BS37"/>
  <c r="BS18"/>
  <c r="DJ45"/>
  <c r="DL41"/>
  <c r="DJ14"/>
  <c r="DL30"/>
  <c r="DF24"/>
  <c r="DJ23"/>
  <c r="DL22"/>
  <c r="DF16"/>
  <c r="DJ10"/>
  <c r="DL8"/>
  <c r="DF36"/>
  <c r="DI44"/>
  <c r="DI37"/>
  <c r="DI12"/>
  <c r="DI18"/>
  <c r="DL23"/>
  <c r="DF22"/>
  <c r="DL10"/>
  <c r="DF8"/>
  <c r="DI36"/>
  <c r="EG43"/>
  <c r="BS43"/>
  <c r="CY43"/>
  <c r="DH43" s="1"/>
  <c r="DM43"/>
  <c r="BP43"/>
  <c r="BQ43"/>
  <c r="BI43"/>
  <c r="DE43"/>
  <c r="DN43" s="1"/>
  <c r="DJ43"/>
  <c r="BF43"/>
  <c r="DB43"/>
  <c r="DK43" s="1"/>
  <c r="DI43"/>
  <c r="BM43"/>
  <c r="DF43"/>
  <c r="BL43"/>
  <c r="T43"/>
  <c r="DN16" l="1"/>
  <c r="EJ37"/>
  <c r="EJ24"/>
  <c r="DK37"/>
  <c r="EH16"/>
  <c r="EI44"/>
  <c r="EH37"/>
  <c r="BR10"/>
  <c r="EK44"/>
  <c r="EJ16"/>
  <c r="EI41"/>
  <c r="EJ23"/>
  <c r="EI37"/>
  <c r="DK16"/>
  <c r="EJ8"/>
  <c r="EK37"/>
  <c r="DK23"/>
  <c r="EI8"/>
  <c r="BU12"/>
  <c r="BR12"/>
  <c r="EK10"/>
  <c r="BR36"/>
  <c r="DN24"/>
  <c r="DH8"/>
  <c r="DK8"/>
  <c r="DK24"/>
  <c r="DH24"/>
  <c r="EJ45"/>
  <c r="DK45"/>
  <c r="DH41"/>
  <c r="EH45"/>
  <c r="EK30"/>
  <c r="EH22"/>
  <c r="EI16"/>
  <c r="EI22"/>
  <c r="EI18"/>
  <c r="EK8"/>
  <c r="EK22"/>
  <c r="BO37"/>
  <c r="EJ10"/>
  <c r="EI45"/>
  <c r="EJ41"/>
  <c r="EJ44"/>
  <c r="EJ30"/>
  <c r="EH30"/>
  <c r="EI10"/>
  <c r="EK45"/>
  <c r="EH44"/>
  <c r="EJ12"/>
  <c r="EH8"/>
  <c r="EJ18"/>
  <c r="BO45"/>
  <c r="EH12"/>
  <c r="EH41"/>
  <c r="EH14"/>
  <c r="EI23"/>
  <c r="DN45"/>
  <c r="BO14"/>
  <c r="DK30"/>
  <c r="EI12"/>
  <c r="EI24"/>
  <c r="EH36"/>
  <c r="EK36"/>
  <c r="BR14"/>
  <c r="EJ43"/>
  <c r="DH37"/>
  <c r="DN22"/>
  <c r="EJ22"/>
  <c r="EK18"/>
  <c r="EH23"/>
  <c r="EI29"/>
  <c r="EI14"/>
  <c r="EH24"/>
  <c r="EK41"/>
  <c r="BU10"/>
  <c r="EJ14"/>
  <c r="EH18"/>
  <c r="EK14"/>
  <c r="EH10"/>
  <c r="EK43"/>
  <c r="EK23"/>
  <c r="EK12"/>
  <c r="EJ36"/>
  <c r="EI36"/>
  <c r="EI30"/>
  <c r="BO44"/>
  <c r="EH43"/>
  <c r="BR43"/>
  <c r="BU43"/>
  <c r="EI43"/>
  <c r="BO43"/>
  <c r="Q11" i="10" l="1"/>
  <c r="T11"/>
  <c r="G11"/>
  <c r="M11"/>
  <c r="R11"/>
  <c r="H11"/>
  <c r="K11"/>
  <c r="F11"/>
  <c r="N11"/>
  <c r="J11"/>
  <c r="D11"/>
  <c r="L11"/>
  <c r="I11"/>
  <c r="E11"/>
  <c r="P11"/>
  <c r="S11"/>
  <c r="O11"/>
  <c r="N12"/>
  <c r="G12"/>
  <c r="T12"/>
  <c r="H12"/>
  <c r="I12"/>
  <c r="F12"/>
  <c r="J12"/>
  <c r="K12"/>
  <c r="L12"/>
  <c r="C12"/>
  <c r="M12"/>
  <c r="D12"/>
  <c r="S12"/>
  <c r="O12"/>
  <c r="Q12"/>
  <c r="R12"/>
  <c r="E12"/>
  <c r="P12"/>
  <c r="K10"/>
  <c r="G10"/>
  <c r="N10"/>
  <c r="F10"/>
  <c r="T10"/>
  <c r="R10"/>
  <c r="I10"/>
  <c r="C10"/>
  <c r="J10"/>
  <c r="S10"/>
  <c r="M10"/>
  <c r="E10"/>
  <c r="O10"/>
  <c r="P10"/>
  <c r="H10"/>
  <c r="Q10"/>
  <c r="L10"/>
  <c r="D10"/>
  <c r="C39"/>
  <c r="W28" i="21"/>
  <c r="W52" s="1"/>
</calcChain>
</file>

<file path=xl/sharedStrings.xml><?xml version="1.0" encoding="utf-8"?>
<sst xmlns="http://schemas.openxmlformats.org/spreadsheetml/2006/main" count="3494" uniqueCount="452">
  <si>
    <t>Government</t>
  </si>
  <si>
    <t>Government Aided</t>
  </si>
  <si>
    <t>Government Unaided</t>
  </si>
  <si>
    <t>Total</t>
  </si>
  <si>
    <t>Schools</t>
  </si>
  <si>
    <t>Appeared</t>
  </si>
  <si>
    <t>Passed</t>
  </si>
  <si>
    <t>Pass %</t>
  </si>
  <si>
    <t>100%-90%</t>
  </si>
  <si>
    <t>90%-80%</t>
  </si>
  <si>
    <t>80%-70%</t>
  </si>
  <si>
    <t>70%-60%</t>
  </si>
  <si>
    <t>60%-50%</t>
  </si>
  <si>
    <t>Total Differ</t>
  </si>
  <si>
    <t>Board Name</t>
  </si>
  <si>
    <t>Sr No.</t>
  </si>
  <si>
    <t>All Boys</t>
  </si>
  <si>
    <t>All girls</t>
  </si>
  <si>
    <t xml:space="preserve">All </t>
  </si>
  <si>
    <t xml:space="preserve">SC Boys </t>
  </si>
  <si>
    <t>SC Girls</t>
  </si>
  <si>
    <t>SC all</t>
  </si>
  <si>
    <t xml:space="preserve">ST Boys </t>
  </si>
  <si>
    <t>ST girls</t>
  </si>
  <si>
    <t>ST All</t>
  </si>
  <si>
    <t>Regular Appeared</t>
  </si>
  <si>
    <t>Regular Passed</t>
  </si>
  <si>
    <t>Regular Supplementary Passed</t>
  </si>
  <si>
    <t>Regular Total Passed</t>
  </si>
  <si>
    <t>Private Appeared</t>
  </si>
  <si>
    <t>Private Passed</t>
  </si>
  <si>
    <t>Private Supplementary Passed</t>
  </si>
  <si>
    <t>Private Total Passed</t>
  </si>
  <si>
    <t>Passed with percentage(60% &amp; Above)</t>
  </si>
  <si>
    <t>Passed with percentage(Below 60% )</t>
  </si>
  <si>
    <t>Total Passed</t>
  </si>
  <si>
    <t>All</t>
  </si>
  <si>
    <t>SC</t>
  </si>
  <si>
    <t>ST</t>
  </si>
  <si>
    <t>Regular Student Pass %</t>
  </si>
  <si>
    <t>Private Student Pass %</t>
  </si>
  <si>
    <t xml:space="preserve"> (Schoolwise Vs Reg+Private)</t>
  </si>
  <si>
    <t>Name of the Board</t>
  </si>
  <si>
    <t>Boys</t>
  </si>
  <si>
    <t>Girls</t>
  </si>
  <si>
    <t>Name of Examination</t>
  </si>
  <si>
    <t>Date of Annual Exam</t>
  </si>
  <si>
    <t>Date of Supplementry Exam</t>
  </si>
  <si>
    <t>Commencement</t>
  </si>
  <si>
    <t>Completion</t>
  </si>
  <si>
    <r>
      <rPr>
        <b/>
        <sz val="11"/>
        <rFont val="Cambria"/>
        <family val="1"/>
      </rPr>
      <t xml:space="preserve">New Delhi </t>
    </r>
    <r>
      <rPr>
        <sz val="11"/>
        <rFont val="Cambria"/>
        <family val="1"/>
      </rPr>
      <t>Rashtriya Sanskrit Sansthan</t>
    </r>
  </si>
  <si>
    <t>Annual</t>
  </si>
  <si>
    <r>
      <rPr>
        <b/>
        <sz val="11"/>
        <rFont val="Cambria"/>
        <family val="1"/>
      </rPr>
      <t>Banasthali Vidyapith</t>
    </r>
    <r>
      <rPr>
        <sz val="11"/>
        <rFont val="Cambria"/>
        <family val="1"/>
      </rPr>
      <t xml:space="preserve"> , </t>
    </r>
    <r>
      <rPr>
        <b/>
        <sz val="11"/>
        <rFont val="Cambria"/>
        <family val="1"/>
      </rPr>
      <t>Rajasthan</t>
    </r>
  </si>
  <si>
    <t>Secondary School Certificate (Class - X)</t>
  </si>
  <si>
    <r>
      <t>Bihar</t>
    </r>
    <r>
      <rPr>
        <sz val="11"/>
        <rFont val="Cambria"/>
        <family val="1"/>
      </rPr>
      <t xml:space="preserve"> School Education Board</t>
    </r>
  </si>
  <si>
    <t>Secondary School Examination 2017 (Annual)</t>
  </si>
  <si>
    <r>
      <t>Chhattisgarh</t>
    </r>
    <r>
      <rPr>
        <sz val="11"/>
        <rFont val="Cambria"/>
        <family val="1"/>
      </rPr>
      <t xml:space="preserve"> Board of Secondary Education</t>
    </r>
  </si>
  <si>
    <t>High School Certificate Examination</t>
  </si>
  <si>
    <r>
      <t xml:space="preserve">Chhatisgarh </t>
    </r>
    <r>
      <rPr>
        <sz val="11"/>
        <rFont val="Cambria"/>
        <family val="1"/>
      </rPr>
      <t>Sanskriti Vidya Mandalam</t>
    </r>
  </si>
  <si>
    <t>Purva Madhyama class (X)</t>
  </si>
  <si>
    <r>
      <t>Goa</t>
    </r>
    <r>
      <rPr>
        <sz val="11"/>
        <rFont val="Cambria"/>
        <family val="1"/>
      </rPr>
      <t xml:space="preserve"> Board of Secondary &amp; Higher Secondary Education</t>
    </r>
  </si>
  <si>
    <t>Secondary School Certificate Examination</t>
  </si>
  <si>
    <r>
      <t>Gujarat</t>
    </r>
    <r>
      <rPr>
        <sz val="11"/>
        <rFont val="Cambria"/>
        <family val="1"/>
      </rPr>
      <t xml:space="preserve"> Secondary &amp; Higher Secondary Education Board</t>
    </r>
  </si>
  <si>
    <t>SSC Examination - 2017</t>
  </si>
  <si>
    <r>
      <t xml:space="preserve">Board of School Education </t>
    </r>
    <r>
      <rPr>
        <b/>
        <sz val="11"/>
        <rFont val="Cambria"/>
        <family val="1"/>
      </rPr>
      <t>Haryana</t>
    </r>
  </si>
  <si>
    <r>
      <t>H.P.</t>
    </r>
    <r>
      <rPr>
        <sz val="11"/>
        <rFont val="Cambria"/>
        <family val="1"/>
      </rPr>
      <t xml:space="preserve"> Board of School Education</t>
    </r>
  </si>
  <si>
    <t>HPBOSE</t>
  </si>
  <si>
    <r>
      <rPr>
        <b/>
        <sz val="11"/>
        <rFont val="Cambria"/>
        <family val="1"/>
      </rPr>
      <t>Madhya Pradesh</t>
    </r>
    <r>
      <rPr>
        <sz val="11"/>
        <rFont val="Cambria"/>
        <family val="1"/>
      </rPr>
      <t xml:space="preserve"> Maharshi Patanjali Sanskrit Sansthan</t>
    </r>
  </si>
  <si>
    <t>Poorv Madhyama (X)</t>
  </si>
  <si>
    <t>Annual High School Certificate Examination</t>
  </si>
  <si>
    <r>
      <t>Punjab</t>
    </r>
    <r>
      <rPr>
        <sz val="11"/>
        <rFont val="Cambria"/>
        <family val="1"/>
      </rPr>
      <t xml:space="preserve"> School Education Board</t>
    </r>
  </si>
  <si>
    <t>Matric Examination</t>
  </si>
  <si>
    <t>Purva Madhyma</t>
  </si>
  <si>
    <r>
      <t xml:space="preserve">U.P. </t>
    </r>
    <r>
      <rPr>
        <sz val="11"/>
        <rFont val="Cambria"/>
        <family val="1"/>
      </rPr>
      <t>Dayalbag Education Institute</t>
    </r>
  </si>
  <si>
    <t xml:space="preserve">High School   </t>
  </si>
  <si>
    <t>Nil</t>
  </si>
  <si>
    <r>
      <t xml:space="preserve">Uttarakhand </t>
    </r>
    <r>
      <rPr>
        <sz val="11"/>
        <rFont val="Cambria"/>
        <family val="1"/>
      </rPr>
      <t>Sanskriti Shiksha   Parishad</t>
    </r>
  </si>
  <si>
    <t>Porva Madhayama(High School)Exam-2017</t>
  </si>
  <si>
    <r>
      <t xml:space="preserve">Uttarakhand </t>
    </r>
    <r>
      <rPr>
        <sz val="11"/>
        <rFont val="Cambria"/>
        <family val="1"/>
      </rPr>
      <t>Board of School Education</t>
    </r>
  </si>
  <si>
    <r>
      <t xml:space="preserve">State Madrassa Education Board, </t>
    </r>
    <r>
      <rPr>
        <b/>
        <sz val="11"/>
        <rFont val="Cambria"/>
        <family val="1"/>
      </rPr>
      <t>Assam</t>
    </r>
  </si>
  <si>
    <t>Fadilul Ma arif(F.M.) Examination</t>
  </si>
  <si>
    <r>
      <rPr>
        <b/>
        <sz val="11"/>
        <rFont val="Cambria"/>
        <family val="1"/>
      </rPr>
      <t>Nagaland</t>
    </r>
    <r>
      <rPr>
        <sz val="11"/>
        <rFont val="Cambria"/>
        <family val="1"/>
      </rPr>
      <t xml:space="preserve"> Board of School Education</t>
    </r>
  </si>
  <si>
    <t>Secondary School Examination (Class-X)</t>
  </si>
  <si>
    <t>High School Leaving Certificate Examination</t>
  </si>
  <si>
    <r>
      <t>Madhya Pradesh</t>
    </r>
    <r>
      <rPr>
        <sz val="11"/>
        <rFont val="Cambria"/>
        <family val="1"/>
      </rPr>
      <t xml:space="preserve"> Board of Secondary Education </t>
    </r>
  </si>
  <si>
    <r>
      <rPr>
        <b/>
        <sz val="11"/>
        <color theme="1"/>
        <rFont val="Calibri"/>
        <family val="2"/>
        <scheme val="minor"/>
      </rPr>
      <t xml:space="preserve">UP </t>
    </r>
    <r>
      <rPr>
        <sz val="11"/>
        <color theme="1"/>
        <rFont val="Calibri"/>
        <family val="2"/>
        <scheme val="minor"/>
      </rPr>
      <t>Madhyamik Shiksha Parishad</t>
    </r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</si>
  <si>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Sanskrit Board</t>
    </r>
  </si>
  <si>
    <t xml:space="preserve">Secondary School Examination (Class X) </t>
  </si>
  <si>
    <r>
      <rPr>
        <b/>
        <sz val="11"/>
        <rFont val="Cambria"/>
        <family val="1"/>
      </rPr>
      <t>Aligarh Muslim University</t>
    </r>
    <r>
      <rPr>
        <sz val="11"/>
        <rFont val="Cambria"/>
        <family val="1"/>
      </rPr>
      <t xml:space="preserve"> Board of Secondary &amp; Sr.Secondary Education</t>
    </r>
  </si>
  <si>
    <t>Secondary School Certificate Examination (Part-II)</t>
  </si>
  <si>
    <r>
      <t xml:space="preserve">Central Board of Secondary Education, </t>
    </r>
    <r>
      <rPr>
        <b/>
        <sz val="11"/>
        <rFont val="Cambria"/>
        <family val="1"/>
      </rPr>
      <t>New Delhi</t>
    </r>
  </si>
  <si>
    <r>
      <rPr>
        <sz val="11"/>
        <rFont val="Cambria"/>
        <family val="1"/>
      </rPr>
      <t>Director of Government Examination</t>
    </r>
    <r>
      <rPr>
        <b/>
        <sz val="11"/>
        <rFont val="Cambria"/>
        <family val="1"/>
      </rPr>
      <t xml:space="preserve"> Telangana</t>
    </r>
  </si>
  <si>
    <t>Secondary School Certificate Public Examination</t>
  </si>
  <si>
    <t>Chhattisgarh Madarsa Board</t>
  </si>
  <si>
    <t>High School Correspondence Course Examination</t>
  </si>
  <si>
    <r>
      <t>Jharkhand</t>
    </r>
    <r>
      <rPr>
        <sz val="11"/>
        <rFont val="Cambria"/>
        <family val="1"/>
      </rPr>
      <t xml:space="preserve"> Academic Council, Ranchi</t>
    </r>
  </si>
  <si>
    <t>Board of Academic Council -2017</t>
  </si>
  <si>
    <r>
      <t xml:space="preserve">J.K </t>
    </r>
    <r>
      <rPr>
        <sz val="11"/>
        <rFont val="Cambria"/>
        <family val="1"/>
      </rPr>
      <t>State Board of School Education</t>
    </r>
  </si>
  <si>
    <t>Jammu and Kashmir board Class - X</t>
  </si>
  <si>
    <r>
      <t xml:space="preserve">Council for the Indian School Certificate Examinations,                     </t>
    </r>
    <r>
      <rPr>
        <b/>
        <sz val="11"/>
        <rFont val="Cambria"/>
        <family val="1"/>
      </rPr>
      <t>New Delhi</t>
    </r>
  </si>
  <si>
    <t>Indian Certificate of Secondary Education</t>
  </si>
  <si>
    <t>N.A</t>
  </si>
  <si>
    <r>
      <t xml:space="preserve">Tripura </t>
    </r>
    <r>
      <rPr>
        <sz val="11"/>
        <rFont val="Cambria"/>
        <family val="1"/>
      </rPr>
      <t>Board of Secondary Education</t>
    </r>
  </si>
  <si>
    <t>Madhyamik Pariksha(Secondary Examination)</t>
  </si>
  <si>
    <r>
      <t>West Bengal</t>
    </r>
    <r>
      <rPr>
        <sz val="11"/>
        <rFont val="Cambria"/>
        <family val="1"/>
      </rPr>
      <t xml:space="preserve"> Board of Secondary Education</t>
    </r>
  </si>
  <si>
    <t>Board of Secondary education</t>
  </si>
  <si>
    <r>
      <t>Meghalaya</t>
    </r>
    <r>
      <rPr>
        <sz val="11"/>
        <color indexed="8"/>
        <rFont val="Cambria"/>
        <family val="1"/>
      </rPr>
      <t xml:space="preserve"> Board of School Education</t>
    </r>
  </si>
  <si>
    <r>
      <rPr>
        <b/>
        <sz val="11"/>
        <rFont val="Cambria"/>
        <family val="1"/>
      </rPr>
      <t>Maharashtra</t>
    </r>
    <r>
      <rPr>
        <sz val="11"/>
        <rFont val="Cambria"/>
        <family val="1"/>
      </rPr>
      <t xml:space="preserve"> State Board of Secondary Education</t>
    </r>
  </si>
  <si>
    <r>
      <rPr>
        <b/>
        <sz val="11"/>
        <rFont val="Cambria"/>
        <family val="1"/>
      </rPr>
      <t>Andhra Pradesh</t>
    </r>
    <r>
      <rPr>
        <sz val="11"/>
        <rFont val="Cambria"/>
        <family val="1"/>
      </rPr>
      <t xml:space="preserve">, Board of Secondary Education </t>
    </r>
  </si>
  <si>
    <t>Maharashtra State Board of Secondary Education</t>
  </si>
  <si>
    <r>
      <rPr>
        <b/>
        <sz val="11"/>
        <rFont val="Cambria"/>
        <family val="1"/>
      </rPr>
      <t>Kerala</t>
    </r>
    <r>
      <rPr>
        <sz val="11"/>
        <rFont val="Cambria"/>
        <family val="1"/>
      </rPr>
      <t xml:space="preserve"> Board of Public Examination (Secondary Wing)</t>
    </r>
  </si>
  <si>
    <r>
      <rPr>
        <b/>
        <sz val="11"/>
        <color theme="1"/>
        <rFont val="Calibri"/>
        <family val="2"/>
        <scheme val="minor"/>
      </rPr>
      <t>West Bengal</t>
    </r>
    <r>
      <rPr>
        <sz val="11"/>
        <color theme="1"/>
        <rFont val="Calibri"/>
        <family val="2"/>
        <scheme val="minor"/>
      </rPr>
      <t xml:space="preserve"> Board of Madrasah Education </t>
    </r>
  </si>
  <si>
    <t>High Madrasah Examination</t>
  </si>
  <si>
    <r>
      <t xml:space="preserve">Karnataka, </t>
    </r>
    <r>
      <rPr>
        <sz val="11"/>
        <rFont val="Cambria"/>
        <family val="1"/>
      </rPr>
      <t>Secondary Education Examination Board</t>
    </r>
  </si>
  <si>
    <t>Secondary School Leaving Certificate</t>
  </si>
  <si>
    <r>
      <rPr>
        <b/>
        <sz val="11"/>
        <color theme="1"/>
        <rFont val="Calibri"/>
        <family val="2"/>
        <scheme val="minor"/>
      </rPr>
      <t xml:space="preserve">Bihar </t>
    </r>
    <r>
      <rPr>
        <sz val="11"/>
        <color theme="1"/>
        <rFont val="Calibri"/>
        <family val="2"/>
        <scheme val="minor"/>
      </rPr>
      <t>State Madrasa Education Board, Vidyapati Marg, Patna</t>
    </r>
  </si>
  <si>
    <r>
      <t xml:space="preserve"> Board of Secondary Education,</t>
    </r>
    <r>
      <rPr>
        <b/>
        <sz val="11"/>
        <rFont val="Cambria"/>
        <family val="1"/>
      </rPr>
      <t xml:space="preserve"> Rajasthan</t>
    </r>
  </si>
  <si>
    <t>Board of Secondary education (Class X)</t>
  </si>
  <si>
    <t>10-013-2017</t>
  </si>
  <si>
    <t>High School Leaving Certificate Examination(HSLC)</t>
  </si>
  <si>
    <r>
      <rPr>
        <b/>
        <sz val="11"/>
        <rFont val="Cambria"/>
        <family val="1"/>
      </rPr>
      <t>Assam</t>
    </r>
    <r>
      <rPr>
        <sz val="11"/>
        <rFont val="Cambria"/>
        <family val="1"/>
      </rPr>
      <t xml:space="preserve"> Board of Secondary Education </t>
    </r>
    <r>
      <rPr>
        <b/>
        <sz val="11"/>
        <rFont val="Cambria"/>
        <family val="1"/>
      </rPr>
      <t xml:space="preserve"> </t>
    </r>
  </si>
  <si>
    <r>
      <t xml:space="preserve">Board of Secondary Education, </t>
    </r>
    <r>
      <rPr>
        <b/>
        <sz val="11"/>
        <rFont val="Cambria"/>
        <family val="1"/>
      </rPr>
      <t>Manipur</t>
    </r>
  </si>
  <si>
    <r>
      <t xml:space="preserve">Board of Secondary Education, </t>
    </r>
    <r>
      <rPr>
        <b/>
        <sz val="11"/>
        <rFont val="Cambria"/>
        <family val="1"/>
      </rPr>
      <t>Odisha</t>
    </r>
  </si>
  <si>
    <t>Secondary examination</t>
  </si>
  <si>
    <r>
      <rPr>
        <b/>
        <sz val="11"/>
        <color theme="1"/>
        <rFont val="Calibri"/>
        <family val="2"/>
        <scheme val="minor"/>
      </rPr>
      <t>Mizoram</t>
    </r>
    <r>
      <rPr>
        <sz val="11"/>
        <color theme="1"/>
        <rFont val="Calibri"/>
        <family val="2"/>
        <scheme val="minor"/>
      </rPr>
      <t xml:space="preserve"> Board of School Education</t>
    </r>
  </si>
  <si>
    <r>
      <rPr>
        <b/>
        <sz val="11"/>
        <color theme="1"/>
        <rFont val="Calibri"/>
        <family val="2"/>
        <scheme val="minor"/>
      </rPr>
      <t>Tamilnadu</t>
    </r>
    <r>
      <rPr>
        <sz val="11"/>
        <color theme="1"/>
        <rFont val="Calibri"/>
        <family val="2"/>
        <scheme val="minor"/>
      </rPr>
      <t xml:space="preserve"> board of Secondary Education</t>
    </r>
  </si>
  <si>
    <r>
      <rPr>
        <b/>
        <sz val="11"/>
        <color theme="1"/>
        <rFont val="Calibri"/>
        <family val="2"/>
        <scheme val="minor"/>
      </rPr>
      <t xml:space="preserve">Bihar </t>
    </r>
    <r>
      <rPr>
        <sz val="11"/>
        <color theme="1"/>
        <rFont val="Calibri"/>
        <family val="2"/>
        <scheme val="minor"/>
      </rPr>
      <t>Sanskrit Board of Education</t>
    </r>
  </si>
  <si>
    <t>High School</t>
  </si>
  <si>
    <r>
      <t>Maharshi Patanjali Sanskrit Sansthan,Bhopal(</t>
    </r>
    <r>
      <rPr>
        <b/>
        <sz val="11"/>
        <color theme="1"/>
        <rFont val="Calibri"/>
        <family val="2"/>
        <scheme val="minor"/>
      </rPr>
      <t>Madhya Pradesh)</t>
    </r>
  </si>
  <si>
    <r>
      <rPr>
        <b/>
        <sz val="11"/>
        <color theme="1"/>
        <rFont val="Calibri"/>
        <family val="2"/>
        <scheme val="minor"/>
      </rPr>
      <t xml:space="preserve">UP </t>
    </r>
    <r>
      <rPr>
        <sz val="11"/>
        <color theme="1"/>
        <rFont val="Calibri"/>
        <family val="2"/>
        <scheme val="minor"/>
      </rPr>
      <t>Madhyamik Sanskrit Shiksha Parishad</t>
    </r>
  </si>
  <si>
    <t>Row Labels</t>
  </si>
  <si>
    <t xml:space="preserve"> Board of Secondary Education, Rajasthan</t>
  </si>
  <si>
    <t>Aligarh Muslim University Board of Secondary &amp; Sr.Secondary Education</t>
  </si>
  <si>
    <t xml:space="preserve">Andhra Pradesh, Board of Secondary Education </t>
  </si>
  <si>
    <t xml:space="preserve">Assam Board of Secondary Education  </t>
  </si>
  <si>
    <t>Assam Sanskrit Board</t>
  </si>
  <si>
    <t>Banasthali Vidyapith , Rajasthan</t>
  </si>
  <si>
    <t>Bihar Sanskrit Board of Education</t>
  </si>
  <si>
    <t>Bihar School Education Board</t>
  </si>
  <si>
    <t>Bihar State Madrasa Education Board, Vidyapati Marg, Patna</t>
  </si>
  <si>
    <t>Board of School Education Haryana</t>
  </si>
  <si>
    <t>Board of Secondary Education, Manipur</t>
  </si>
  <si>
    <t>Board of Secondary Education, Odisha</t>
  </si>
  <si>
    <t>Central Board of Secondary Education, New Delhi</t>
  </si>
  <si>
    <t>Chhatisgarh Sanskriti Vidya Mandalam</t>
  </si>
  <si>
    <t>Chhattisgarh Board of Secondary Education</t>
  </si>
  <si>
    <t>Council for the Indian School Certificate Examinations,                     New Delhi</t>
  </si>
  <si>
    <t>Director of Government Examination Telangana</t>
  </si>
  <si>
    <t>Goa Board of Secondary &amp; Higher Secondary Education</t>
  </si>
  <si>
    <t>Gujarat Secondary &amp; Higher Secondary Education Board</t>
  </si>
  <si>
    <t>H.P. Board of School Education</t>
  </si>
  <si>
    <t>J.K State Board of School Education</t>
  </si>
  <si>
    <t>Jharkhand Academic Council, Ranchi</t>
  </si>
  <si>
    <t>Karnataka, Secondary Education Examination Board</t>
  </si>
  <si>
    <t>Kerala Board of Public Examination (Secondary Wing)</t>
  </si>
  <si>
    <t xml:space="preserve">Madhya Pradesh Board of Secondary Education </t>
  </si>
  <si>
    <t>Madhya Pradesh Maharshi Patanjali Sanskrit Sansthan</t>
  </si>
  <si>
    <t>Maharshi Patanjali Sanskrit Sansthan,Bhopal(Madhya Pradesh)</t>
  </si>
  <si>
    <t>Meghalaya Board of School Education</t>
  </si>
  <si>
    <t>Mizoram Board of School Education</t>
  </si>
  <si>
    <t>Nagaland Board of School Education</t>
  </si>
  <si>
    <t>New Delhi Rashtriya Sanskrit Sansthan</t>
  </si>
  <si>
    <t>Punjab School Education Board</t>
  </si>
  <si>
    <t>State Madrassa Education Board, Assam</t>
  </si>
  <si>
    <t>Tamilnadu board of Secondary Education</t>
  </si>
  <si>
    <t>Tripura Board of Secondary Education</t>
  </si>
  <si>
    <t>U.P. Dayalbag Education Institute</t>
  </si>
  <si>
    <t>UP Madhyamik Sanskrit Shiksha Parishad</t>
  </si>
  <si>
    <t>UP Madhyamik Shiksha Parishad</t>
  </si>
  <si>
    <t>Uttarakhand Board of School Education</t>
  </si>
  <si>
    <t>Uttarakhand Sanskriti Shiksha   Parishad</t>
  </si>
  <si>
    <t xml:space="preserve">West Bengal Board of Madrasah Education </t>
  </si>
  <si>
    <t>West Bengal Board of Secondary Education</t>
  </si>
  <si>
    <t>Grand Total</t>
  </si>
  <si>
    <t>P_All Boys</t>
  </si>
  <si>
    <t>PP_All Boys</t>
  </si>
  <si>
    <t>PPS_All Boys</t>
  </si>
  <si>
    <t>(blank)</t>
  </si>
  <si>
    <t>Values</t>
  </si>
  <si>
    <t>Table 1- Annual and Supplementary Examination Results - Regular Students - All Categories</t>
  </si>
  <si>
    <t>Table 2 -Annual and Supplementary Examination Results - Private Students - All Categories</t>
  </si>
  <si>
    <t>Table 3 -Annual and Supplementary Examination Results - Regular and Private Students - All Categories</t>
  </si>
  <si>
    <t>Table 4 -Annual and Supplementary Examination Results - Regular SC Students</t>
  </si>
  <si>
    <t>Table 5 -Annual and Supplementary Examination Results - Private SC Students</t>
  </si>
  <si>
    <t>Table 6 -Annual and Supplementary Examination Results - Regular and Private SC Students</t>
  </si>
  <si>
    <t>Table 7 -Annual and Supplementary Examination Results - Regular ST Students</t>
  </si>
  <si>
    <t>Table 8 -Annual and Supplementary Examination Results - Private ST Students</t>
  </si>
  <si>
    <t>Table 9 -Annual and Supplementary Examination Results - Regular and Private ST Students</t>
  </si>
  <si>
    <t>Number of Students</t>
  </si>
  <si>
    <t>Pass %age</t>
  </si>
  <si>
    <t>Supplementary</t>
  </si>
  <si>
    <t>Annual &amp; Supplementary</t>
  </si>
  <si>
    <t>Sl. No.</t>
  </si>
  <si>
    <t>Total Number of Students Passed</t>
  </si>
  <si>
    <t>Out of the Total, Number of Students passed with marks</t>
  </si>
  <si>
    <t>Percentage of Students passed with marks</t>
  </si>
  <si>
    <t>60% &amp; above</t>
  </si>
  <si>
    <t>pas All Boys</t>
  </si>
  <si>
    <t>Pas All girls</t>
  </si>
  <si>
    <t>Sum of All 11</t>
  </si>
  <si>
    <t>Sum of SC all11</t>
  </si>
  <si>
    <t>Sum of ST All11</t>
  </si>
  <si>
    <t>Sum of pas All Boys</t>
  </si>
  <si>
    <t>Sum of Pas All girls</t>
  </si>
  <si>
    <t>Sum of SC Boys 11</t>
  </si>
  <si>
    <t>Sum of SC Girls11</t>
  </si>
  <si>
    <t>Sum of ST Boys 11</t>
  </si>
  <si>
    <t>Sum of ST girls11</t>
  </si>
  <si>
    <t>RESULTS OF SECONDARY EXAMINATION- 2017</t>
  </si>
  <si>
    <t>Table 10 -Annual and Supplementary Examination Results - Percentage-wise-All Categories</t>
  </si>
  <si>
    <t>Table 11 -Annual and Supplementary Examination Results - Percentage-wise-SC Students</t>
  </si>
  <si>
    <t>Table 12 -Annual and Supplementary Examination Results - Percentage-wise-ST Students</t>
  </si>
  <si>
    <t>Board of Secondary Education, Rajasthan</t>
  </si>
  <si>
    <t>Board of Secondary Education, Telangana</t>
  </si>
  <si>
    <t>Uttarakhand Sanskriti Shiksha Parishad</t>
  </si>
  <si>
    <t>Council for the Indian School Certificate Examinations,New Delhi</t>
  </si>
  <si>
    <t>Central Boards</t>
  </si>
  <si>
    <t>State Boards</t>
  </si>
  <si>
    <t>Year</t>
  </si>
  <si>
    <t>All Categories</t>
  </si>
  <si>
    <t>Scheduled Caste</t>
  </si>
  <si>
    <t>Scheduled Tribe</t>
  </si>
  <si>
    <t>Telangana Open School Society, Hyderabad</t>
  </si>
  <si>
    <t>Chhattisgarh State Open School</t>
  </si>
  <si>
    <t>Rajasthan State Open School</t>
  </si>
  <si>
    <t>MP State Open School Education board, Bhopal</t>
  </si>
  <si>
    <t xml:space="preserve">National Institute of Open Schooling </t>
  </si>
  <si>
    <t xml:space="preserve">Note: In Open Schooling System, candidates are not classified as 'Regular' or 'Private". </t>
  </si>
  <si>
    <t>Black cell indicates that either system does not exist or information is not available.</t>
  </si>
  <si>
    <t>75% &amp; above</t>
  </si>
  <si>
    <t>60% to below 75%</t>
  </si>
  <si>
    <t>Council for the Indian School Certificate Examinations, New Delhi</t>
  </si>
  <si>
    <r>
      <t xml:space="preserve">Board of Secondary Education, </t>
    </r>
    <r>
      <rPr>
        <b/>
        <sz val="11"/>
        <rFont val="Cambria"/>
        <family val="1"/>
      </rPr>
      <t>Andhra Pradesh</t>
    </r>
  </si>
  <si>
    <r>
      <t xml:space="preserve">Board of Secondary Education </t>
    </r>
    <r>
      <rPr>
        <b/>
        <sz val="11"/>
        <rFont val="Cambria"/>
        <family val="1"/>
      </rPr>
      <t>Assam</t>
    </r>
  </si>
  <si>
    <r>
      <t xml:space="preserve">Banasthali Vidyapith,  </t>
    </r>
    <r>
      <rPr>
        <b/>
        <sz val="11"/>
        <rFont val="Cambria"/>
        <family val="1"/>
      </rPr>
      <t>Rajasthan #</t>
    </r>
  </si>
  <si>
    <r>
      <t>Bihar</t>
    </r>
    <r>
      <rPr>
        <sz val="11"/>
        <rFont val="Cambria"/>
        <family val="1"/>
      </rPr>
      <t xml:space="preserve"> State Madrasa Education Board</t>
    </r>
  </si>
  <si>
    <r>
      <t>Karnataka</t>
    </r>
    <r>
      <rPr>
        <sz val="11"/>
        <rFont val="Cambria"/>
        <family val="1"/>
      </rPr>
      <t xml:space="preserve"> Secondary Education Examination Board</t>
    </r>
  </si>
  <si>
    <r>
      <t xml:space="preserve">Kerala </t>
    </r>
    <r>
      <rPr>
        <sz val="11"/>
        <rFont val="Cambria"/>
        <family val="1"/>
      </rPr>
      <t>Board of Public Examination</t>
    </r>
  </si>
  <si>
    <r>
      <t>Maharasthra</t>
    </r>
    <r>
      <rPr>
        <sz val="11"/>
        <rFont val="Cambria"/>
        <family val="1"/>
      </rPr>
      <t xml:space="preserve"> State Board of Secondary &amp; Higher Secondary Education</t>
    </r>
  </si>
  <si>
    <r>
      <t xml:space="preserve">Board of Secondary Education, </t>
    </r>
    <r>
      <rPr>
        <b/>
        <sz val="11"/>
        <rFont val="Cambria"/>
        <family val="1"/>
      </rPr>
      <t>Madhya Pradesh</t>
    </r>
  </si>
  <si>
    <r>
      <t>Mizoram</t>
    </r>
    <r>
      <rPr>
        <sz val="11"/>
        <rFont val="Cambria"/>
        <family val="1"/>
      </rPr>
      <t xml:space="preserve"> Board of School Education</t>
    </r>
  </si>
  <si>
    <r>
      <t>Nagaland</t>
    </r>
    <r>
      <rPr>
        <sz val="11"/>
        <rFont val="Cambria"/>
        <family val="1"/>
      </rPr>
      <t xml:space="preserve"> Board of School Education</t>
    </r>
  </si>
  <si>
    <r>
      <t xml:space="preserve">Board of Secondary Education, </t>
    </r>
    <r>
      <rPr>
        <b/>
        <sz val="11"/>
        <rFont val="Cambria"/>
        <family val="1"/>
      </rPr>
      <t>Orissa</t>
    </r>
  </si>
  <si>
    <r>
      <t xml:space="preserve">Board of Secondary Education, </t>
    </r>
    <r>
      <rPr>
        <b/>
        <sz val="11"/>
        <rFont val="Cambria"/>
        <family val="1"/>
      </rPr>
      <t>Rajasthan</t>
    </r>
  </si>
  <si>
    <r>
      <t>Tamil Nadu</t>
    </r>
    <r>
      <rPr>
        <sz val="11"/>
        <rFont val="Cambria"/>
        <family val="1"/>
      </rPr>
      <t xml:space="preserve"> State Board of School Examination</t>
    </r>
  </si>
  <si>
    <r>
      <t xml:space="preserve">UP </t>
    </r>
    <r>
      <rPr>
        <sz val="11"/>
        <rFont val="Cambria"/>
        <family val="1"/>
      </rPr>
      <t>Board of High School &amp; Intermediate Education</t>
    </r>
  </si>
  <si>
    <r>
      <t>U.P.</t>
    </r>
    <r>
      <rPr>
        <sz val="11"/>
        <rFont val="Cambria"/>
        <family val="1"/>
      </rPr>
      <t>Madhymik Shiksha Parisad, Sanskriti Shiksha Parishad</t>
    </r>
  </si>
  <si>
    <r>
      <t>Uttranchal</t>
    </r>
    <r>
      <rPr>
        <sz val="11"/>
        <rFont val="Cambria"/>
        <family val="1"/>
      </rPr>
      <t xml:space="preserve"> Shiksha Evm Pariksha Parishad</t>
    </r>
  </si>
  <si>
    <t># The Institute is mainly meant for Women, Boys enrolment pertains to wards of the staff.</t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</si>
  <si>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</si>
  <si>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A.P</t>
    </r>
    <r>
      <rPr>
        <sz val="11"/>
        <rFont val="Cambria"/>
        <family val="1"/>
      </rPr>
      <t>. Open School Society, Hyderabad</t>
    </r>
  </si>
  <si>
    <r>
      <t>Chhattisgarh</t>
    </r>
    <r>
      <rPr>
        <sz val="11"/>
        <rFont val="Cambria"/>
        <family val="1"/>
      </rPr>
      <t xml:space="preserve"> State Open School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</si>
  <si>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</si>
  <si>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r>
      <t>Rajasthan State Open School,</t>
    </r>
    <r>
      <rPr>
        <b/>
        <sz val="11"/>
        <rFont val="Cambria"/>
        <family val="1"/>
      </rPr>
      <t xml:space="preserve"> Rajasthan</t>
    </r>
  </si>
  <si>
    <r>
      <t xml:space="preserve">Telangana </t>
    </r>
    <r>
      <rPr>
        <sz val="11"/>
        <rFont val="Cambria"/>
        <family val="1"/>
      </rPr>
      <t>Open School Society, Hyderabad</t>
    </r>
  </si>
  <si>
    <t>Rabindra Mukta Vidyalaya (West Bengal State Open School), Kolkata#</t>
  </si>
  <si>
    <t>Open Boards</t>
  </si>
  <si>
    <t>RESULTS OF SECONDARY  EXAMINATION- 2015</t>
  </si>
  <si>
    <t>Table 3 -Annual and Supplementary Examination Results - Regular &amp; Private Students - All Categories</t>
  </si>
  <si>
    <t>Table 10 -Annual and Supplementary Examination Results - Performance-wise-All Categories</t>
  </si>
  <si>
    <t xml:space="preserve">                                                                              </t>
  </si>
  <si>
    <t xml:space="preserve"> Percentage of Students passed with marks</t>
  </si>
  <si>
    <t>Annual + Supplementary</t>
  </si>
  <si>
    <t>Board of Secondary Education, Andhra Pradesh</t>
  </si>
  <si>
    <t>Board of Secondary Education Assam</t>
  </si>
  <si>
    <t>Assam Sankrit Board</t>
  </si>
  <si>
    <t>Banasthali Vidyapith,  Rajasthan #</t>
  </si>
  <si>
    <t>Bihar State Madrasa Education Board</t>
  </si>
  <si>
    <t>Chhatisgarh Madrasa Board</t>
  </si>
  <si>
    <t>Karnataka Secondary Education Examination Board*</t>
  </si>
  <si>
    <t>Kerala Board of Public Examination*</t>
  </si>
  <si>
    <t>Maharasthra State Board of Secondary &amp; Higher Secondary Education</t>
  </si>
  <si>
    <t>Board of Secondary Education, Madhya Pradesh</t>
  </si>
  <si>
    <t>Board of Secondary Education, Orissa</t>
  </si>
  <si>
    <t>Tamil Nadu State Board of School Examination</t>
  </si>
  <si>
    <t>UP Board of High School &amp; Intermediate Education</t>
  </si>
  <si>
    <t>Board of School Education Uttarakhand</t>
  </si>
  <si>
    <t>Board of Madarsa Education, West Bengal, Kolkata **</t>
  </si>
  <si>
    <t>** Figures pertains to 'ALIM' and 'High Madarsa' as both are equivalent to High School Examination.</t>
  </si>
  <si>
    <t>*In Karnataka Secondary Education Examination Board &amp; Kerala Board of Public Examination , figure of 60% and above is recorded in coloum 60% to below 75%.</t>
  </si>
  <si>
    <t>National Institute of Open Schooling, New Delhi</t>
  </si>
  <si>
    <t>M.P. State Open School Board of Secondary Education, Bhopal@</t>
  </si>
  <si>
    <t>Rajasthan State Open School, Rajasthan</t>
  </si>
  <si>
    <t>RESULTS OF SECONDARY  EXAMINATION- 2014</t>
  </si>
  <si>
    <t>Board of School Education, Haryana</t>
  </si>
  <si>
    <t>Karnataka Secondary Education Examination Board</t>
  </si>
  <si>
    <t>Kerala Board of Public Examination</t>
  </si>
  <si>
    <t>Board of School Education, Uttarakhand</t>
  </si>
  <si>
    <t>A.P. Open School Society, Hyderabad</t>
  </si>
  <si>
    <t xml:space="preserve">M.P. State Open School Board of Secondary Education, Bhopal </t>
  </si>
  <si>
    <t>RESULTS OF SECONDARY EXAMINATION-2013</t>
  </si>
  <si>
    <r>
      <rPr>
        <sz val="11"/>
        <color indexed="8"/>
        <rFont val="Cambria"/>
        <family val="1"/>
      </rPr>
      <t>Telangana State Board of Secondary Education-Hyderabad</t>
    </r>
  </si>
  <si>
    <r>
      <t xml:space="preserve">Tripura </t>
    </r>
    <r>
      <rPr>
        <sz val="11"/>
        <color indexed="8"/>
        <rFont val="Cambria"/>
        <family val="1"/>
      </rPr>
      <t>Board of Secondary Education*</t>
    </r>
  </si>
  <si>
    <t>*In Tripura Board of Secondary Education, figure of 60% and above is recorded in coloum 60% to below 75%.</t>
  </si>
  <si>
    <r>
      <rPr>
        <b/>
        <sz val="11"/>
        <rFont val="Cambria"/>
        <family val="1"/>
      </rPr>
      <t>A.P.</t>
    </r>
    <r>
      <rPr>
        <sz val="11"/>
        <rFont val="Cambria"/>
        <family val="1"/>
      </rPr>
      <t xml:space="preserve"> Open School Society, Hyderabad</t>
    </r>
  </si>
  <si>
    <r>
      <t>Rajasthan State Open School,</t>
    </r>
    <r>
      <rPr>
        <b/>
        <sz val="11"/>
        <rFont val="Cambria"/>
        <family val="1"/>
      </rPr>
      <t xml:space="preserve"> Rajasthan@</t>
    </r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</si>
  <si>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Kolkata*</t>
    </r>
  </si>
  <si>
    <t>RESULTS OF SECONDARY EXAMINATION- 2012</t>
  </si>
  <si>
    <t>Chhattisgarh Madarsa Board*</t>
  </si>
  <si>
    <t>Meghalaya Board of School Education@</t>
  </si>
  <si>
    <t>Board of Secondary Education, Orissa*</t>
  </si>
  <si>
    <t>Tripura Board of Secondary Education*</t>
  </si>
  <si>
    <t>UP Board of High School &amp; Intermediate Education@</t>
  </si>
  <si>
    <t xml:space="preserve"> @Data repeated from previous year 2011, MHRD</t>
  </si>
  <si>
    <t>RESULTS OF SECONDARY EXAMINATION- 2011</t>
  </si>
  <si>
    <t>Chhatisgarh Madrasa Board*</t>
  </si>
  <si>
    <r>
      <t xml:space="preserve">UP </t>
    </r>
    <r>
      <rPr>
        <sz val="10"/>
        <rFont val="Cambria"/>
        <family val="1"/>
      </rPr>
      <t>Board of High School &amp; Intermediate Education@</t>
    </r>
  </si>
  <si>
    <t xml:space="preserve"> @Data repeated from previous year publication  2010, MHRD</t>
  </si>
  <si>
    <t>Rabindra Mukta Vidyalaya (West Bengal State Open School), Kolkata</t>
  </si>
  <si>
    <t>Board of Madrasah Education, West Bengal, Kolkata</t>
  </si>
  <si>
    <t xml:space="preserve"> @ Examination has not been contained by Board</t>
  </si>
  <si>
    <r>
      <t>Rabindra Mukta Vidyalaya (</t>
    </r>
    <r>
      <rPr>
        <b/>
        <sz val="11"/>
        <rFont val="Cambria"/>
        <family val="1"/>
      </rPr>
      <t xml:space="preserve">West Bengal </t>
    </r>
    <r>
      <rPr>
        <sz val="11"/>
        <rFont val="Cambria"/>
        <family val="1"/>
      </rPr>
      <t>State Open School), Kolkata</t>
    </r>
  </si>
  <si>
    <t xml:space="preserve"> @Data repeated from previous year   2012, MHRD</t>
  </si>
  <si>
    <t>*In Rabindra Mukta Vidyalaya (West Bengal State Open School) , figure of 60% and above is recorded in coloum 60% to below 75%.</t>
  </si>
  <si>
    <t>West Bengal Board of Secondary Education**</t>
  </si>
  <si>
    <t>Banasthali Vidyapith , Rajasthan#</t>
  </si>
  <si>
    <t xml:space="preserve"> @Data for december 2017 isrepeated from previous year 2016, MHRD</t>
  </si>
  <si>
    <t>@ Data is provisional.</t>
  </si>
  <si>
    <t>Central Board of Secondary Education, New Delhi@</t>
  </si>
  <si>
    <t>-</t>
  </si>
  <si>
    <t xml:space="preserve">Table 13 - Open School Board </t>
  </si>
  <si>
    <t xml:space="preserve"> @Data for December 2017 is repeated from December 2016, MHRD</t>
  </si>
  <si>
    <t>Andhra Pradesh Open School Society</t>
  </si>
  <si>
    <t>West Bengal Council of Rabindra Open Schooling@</t>
  </si>
  <si>
    <t>Schedule Caste</t>
  </si>
  <si>
    <t>Schedule Tribe</t>
  </si>
  <si>
    <t>Table 14 - Open School Board - Percentage-wise number of students</t>
  </si>
  <si>
    <t>Coverage (No. of Boards)</t>
  </si>
  <si>
    <t>RESULTS OF SECONDARY EXAMINATION- 2016</t>
  </si>
  <si>
    <t>Table 11 - SECONDARY EXAMINATION RESULTS DURING 2010 - 2017 (CENTRAL/STATE BOARDS)</t>
  </si>
  <si>
    <t>Table 12 -SECONDARY EXAMINATION RESULTS DURING 2010 - 2017 (OPEN SCHOOL BOARDS)</t>
  </si>
  <si>
    <t>Table 13 - SECONDARY EXAMINATION RESULTS DURING 2010 - 2017 (ALL)</t>
  </si>
  <si>
    <t>Table 13 - SECONDARY EXAMINATION RESULTS DURING 2010 - 2017 (ALL BOARDS)</t>
  </si>
  <si>
    <t xml:space="preserve">Details information is available at MHRD portal.  </t>
  </si>
  <si>
    <t>http://mhrd.gov.in/statistics-new?shs_term_node_tid_depth=381</t>
  </si>
  <si>
    <t>Table 1 -Annual and Supplementary Examination Results - Regular and Private Students - All Categories</t>
  </si>
  <si>
    <t>Table 2 -Annual and Supplementary Examination Results - Percentage-wise-All Categories</t>
  </si>
  <si>
    <t>Table 4 -Annual and Supplementary Examination Results - Performance-wise-All Categories</t>
  </si>
  <si>
    <t>Table 5 -Annual and Supplementary Examination Results - Regular &amp; Private Students - All Categories</t>
  </si>
  <si>
    <t>Table 6 -Annual and Supplementary Examination Results - Performance-wise-All Categories</t>
  </si>
  <si>
    <t>Table 7 -Annual and Supplementary Examination Results - Regular &amp; Private Students - All Categories</t>
  </si>
  <si>
    <t>Table 8 -Annual and Supplementary Examination Results - Performance-wise-All Categories</t>
  </si>
  <si>
    <t>Table 9 -Annual and Supplementary Examination Results - Regular &amp; Private Students - All Categories</t>
  </si>
  <si>
    <t>Table 11 -Annual and Supplementary Examination Results - Regular &amp; Private Students - All Categories</t>
  </si>
  <si>
    <t>Table 12 -Annual and Supplementary Examination Results - Performance-wise-All Categories</t>
  </si>
  <si>
    <t>Muslims</t>
  </si>
  <si>
    <t>Sikhs</t>
  </si>
  <si>
    <t>Christians</t>
  </si>
  <si>
    <t>Buddhist</t>
  </si>
  <si>
    <t>Parsis</t>
  </si>
  <si>
    <t>Jains</t>
  </si>
  <si>
    <t>Number of Students (Regular)</t>
  </si>
  <si>
    <t>Number of Students (Private)</t>
  </si>
  <si>
    <t>Number of Students ( Regular+Private )</t>
  </si>
  <si>
    <t>ICT</t>
  </si>
  <si>
    <t>IT</t>
  </si>
  <si>
    <t>Computer science</t>
  </si>
  <si>
    <t>Computer Application</t>
  </si>
  <si>
    <t>Information Practices</t>
  </si>
  <si>
    <t>Others</t>
  </si>
  <si>
    <t>Number of Students (All)</t>
  </si>
  <si>
    <t>Number of Students (OBC)</t>
  </si>
  <si>
    <t>Number of Students (ST)</t>
  </si>
  <si>
    <t>Number of Students (SC)</t>
  </si>
  <si>
    <t>Table 10 -Annual and Supplementary Examination Results - Regular OBC Students</t>
  </si>
  <si>
    <t>Table 16 -Annual and Supplementary Examination Results - Percentage-wise-OBC Students</t>
  </si>
  <si>
    <t>Table 11 -Annual and Supplementary Examination Results - Private OBC Students</t>
  </si>
  <si>
    <t xml:space="preserve"> </t>
  </si>
  <si>
    <t>OBC</t>
  </si>
  <si>
    <t>others</t>
  </si>
  <si>
    <t>others 2</t>
  </si>
  <si>
    <t>Others 2</t>
  </si>
  <si>
    <t>jains</t>
  </si>
  <si>
    <t>Open School Board, Punjab</t>
  </si>
  <si>
    <t>UP Board of Secondary Sanskrit Education</t>
  </si>
  <si>
    <t>Hindu</t>
  </si>
  <si>
    <t>Bihar School Examinaiton Board, Patna</t>
  </si>
  <si>
    <t>Chhattisgarh Madarsa Board, Raipur</t>
  </si>
  <si>
    <t>Chhatisgarh Sanskriti Vidya Mandalam, Raipur</t>
  </si>
  <si>
    <t>RESULTS OF SECONDARY EXAMINATION- 2018</t>
  </si>
  <si>
    <t>Maharashtra State Board of Secondary &amp; Higher Secondary Education</t>
  </si>
  <si>
    <t xml:space="preserve">Board of Secondary Education Madhya Pradesh </t>
  </si>
  <si>
    <t>State Board of School Educaiton Tamil Nadu</t>
  </si>
  <si>
    <t>Madhyamik Shiksha Parishad Uttar Pradesh</t>
  </si>
  <si>
    <t>Bihar Sanskrit Shiksha Board Patna</t>
  </si>
  <si>
    <t>Rashtriya Sanskrit Sansthan New delhi</t>
  </si>
  <si>
    <t>West Bengal Council of Rabindra Open Schooling</t>
  </si>
  <si>
    <t>Table 12 -Annual and Supplementary Examination Results - Regular and Private OBC Students</t>
  </si>
  <si>
    <t xml:space="preserve">Directorate of Government Examination, Telangana State </t>
  </si>
  <si>
    <t xml:space="preserve">total </t>
  </si>
  <si>
    <t>No. of Boys Passed</t>
  </si>
  <si>
    <t>No. of Boys secured 60% and above</t>
  </si>
  <si>
    <t>% of Boys secured 60% and above</t>
  </si>
  <si>
    <t>No. of Girls Passed</t>
  </si>
  <si>
    <t>No. of Girls secured 60% and above</t>
  </si>
  <si>
    <t>% of Girls secured 60% and above</t>
  </si>
  <si>
    <t xml:space="preserve">Gap
(in % point)
</t>
  </si>
  <si>
    <t>8=7-4</t>
  </si>
  <si>
    <t xml:space="preserve">Sr. No. </t>
  </si>
  <si>
    <t xml:space="preserve">Board </t>
  </si>
  <si>
    <t>NA</t>
  </si>
  <si>
    <t>Pass percentage</t>
  </si>
  <si>
    <t>Open</t>
  </si>
  <si>
    <t>All Cat.</t>
  </si>
  <si>
    <t>Regular</t>
  </si>
  <si>
    <t>Reg+Open</t>
  </si>
  <si>
    <t>Table 24 - Open School Board - Percentage-wise number of students</t>
  </si>
  <si>
    <t xml:space="preserve"> @ Data is repeated from previous year </t>
  </si>
  <si>
    <t>State Madrassa Education Board, Assam @</t>
  </si>
  <si>
    <t>b</t>
  </si>
  <si>
    <t>g</t>
  </si>
  <si>
    <t>t</t>
  </si>
  <si>
    <t>a</t>
  </si>
  <si>
    <t>p</t>
  </si>
  <si>
    <t>Table 1- Annual and Supplementary Examination Results - Regular Students - All Categories "All  schools affilated under the Boards provide formal schooling"</t>
  </si>
  <si>
    <t>Table 2 -Annual and Supplementary Examination Results - Private Students - All Categories "All  schools affilated under the Boards provide formal schooling"</t>
  </si>
  <si>
    <t xml:space="preserve">Data not Available </t>
  </si>
  <si>
    <t xml:space="preserve">Kerala Board of Public Examination </t>
  </si>
  <si>
    <t>Number of Students  - All Categories</t>
  </si>
  <si>
    <t xml:space="preserve">Table 17 - Open Schooling Board - Students Performance </t>
  </si>
  <si>
    <t xml:space="preserve">Table 18 - Open Schooling Board - Students Performance </t>
  </si>
  <si>
    <t>Out of the Total, Number of Students passed with marks 60% &amp; above</t>
  </si>
  <si>
    <t>Percentage of Students passed with marks 60% &amp; above</t>
  </si>
  <si>
    <t>Number of Students  - Schedule Caste</t>
  </si>
  <si>
    <t xml:space="preserve">Directorate of Government Examination, Andhra Pradesh </t>
  </si>
  <si>
    <t>Passed %age</t>
  </si>
  <si>
    <t>MP State Open School Education board, Bhopal @</t>
  </si>
  <si>
    <t>@ Passed students does not include students passed through supplementary examination</t>
  </si>
  <si>
    <t xml:space="preserve">Table 13 A- Open Schooling Board </t>
  </si>
  <si>
    <t>Table 13 B- Open Schooling Board - Students' performance</t>
  </si>
  <si>
    <t>Total numder of Students Passed</t>
  </si>
  <si>
    <t xml:space="preserve">Table 14 A- Open Schooling Board </t>
  </si>
  <si>
    <t xml:space="preserve"> All Categories</t>
  </si>
  <si>
    <t xml:space="preserve">Table 15 A- Open Schooling Board </t>
  </si>
  <si>
    <t>Number of Students  - Schedule Tribe</t>
  </si>
  <si>
    <t>%</t>
  </si>
  <si>
    <t>Table 1- Annual and Supplementary Examination Results - Regular Students - All Categories 
(All schools affilated under these Boards provide formal schooling)</t>
  </si>
  <si>
    <t>UP Board of Secondary Sanskrit Education@</t>
  </si>
  <si>
    <t>Information not Available</t>
  </si>
  <si>
    <t xml:space="preserve">Table 4 -Annual and Supplementary Examination Results - Regular SC Students </t>
  </si>
  <si>
    <t xml:space="preserve">Table 5 -Annual and Supplementary Examination Results - Private SC Students </t>
  </si>
  <si>
    <t xml:space="preserve">Table 6 -Annual and Supplementary Examination Results - Regular and Private SC Students </t>
  </si>
  <si>
    <t xml:space="preserve">Table 7 -Annual and Supplementary Examination Results - Regular ST Students </t>
  </si>
  <si>
    <t xml:space="preserve">Table 9 -Annual and Supplementary Examination Results - Regular and Private ST Students </t>
  </si>
  <si>
    <t xml:space="preserve">Table 10 -Annual and Supplementary Examination Results - Percentage-wise-All Categories </t>
  </si>
  <si>
    <t xml:space="preserve">Table 11 -Annual and Supplementary Examination Results - Percentage-wise-SC Students </t>
  </si>
  <si>
    <t xml:space="preserve">Table 12 -Annual and Supplementary Examination Results - Percentage-wise-ST Students </t>
  </si>
  <si>
    <t>Table 17 -SECONDARY EXAMINATION RESULTS DURING 2010 - 2018 (OPEN SCHOOL BOARDS)</t>
  </si>
  <si>
    <t>Table 18 - SECONDARY EXAMINATION RESULTS DURING 2010 - 2018 (ALL BOARDS)</t>
  </si>
  <si>
    <t>Table 16 - SECONDARY EXAMINATION RESULTS DURING 2010 - 2018 (CENTRAL/STATE BOARDS)</t>
  </si>
  <si>
    <t>Table 14 B- Open Schooling Board Students' performance</t>
  </si>
  <si>
    <t>Table 15 B- Open Schooling Board Students' performance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</si>
</sst>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"/>
    <numFmt numFmtId="165" formatCode="0;\-0;;@"/>
    <numFmt numFmtId="166" formatCode="0.00;\-0.00;;@"/>
    <numFmt numFmtId="167" formatCode="0.0;\-0.0;;@"/>
  </numFmts>
  <fonts count="5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i/>
      <sz val="9"/>
      <color indexed="8"/>
      <name val="Cambria"/>
      <family val="1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i/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4"/>
      <name val="Arial Narrow"/>
      <family val="2"/>
    </font>
    <font>
      <b/>
      <sz val="13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i/>
      <sz val="12"/>
      <color indexed="8"/>
      <name val="Cambria"/>
      <family val="1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i/>
      <sz val="10"/>
      <name val="Cambria"/>
      <family val="1"/>
    </font>
    <font>
      <sz val="11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11"/>
      <color indexed="60"/>
      <name val="Cambria"/>
      <family val="1"/>
    </font>
    <font>
      <sz val="11"/>
      <color theme="1"/>
      <name val="Cambria"/>
      <family val="1"/>
    </font>
    <font>
      <i/>
      <sz val="8"/>
      <name val="Cambria"/>
      <family val="1"/>
      <scheme val="major"/>
    </font>
    <font>
      <sz val="8"/>
      <name val="Cambria"/>
      <family val="1"/>
    </font>
    <font>
      <sz val="10"/>
      <name val="Cambria"/>
      <family val="1"/>
    </font>
    <font>
      <i/>
      <sz val="8"/>
      <name val="Calibri"/>
      <family val="2"/>
    </font>
    <font>
      <i/>
      <sz val="11"/>
      <name val="Calibri"/>
      <family val="2"/>
    </font>
    <font>
      <b/>
      <sz val="12"/>
      <color indexed="12"/>
      <name val="Cambria"/>
      <family val="1"/>
      <scheme val="major"/>
    </font>
    <font>
      <sz val="10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8"/>
      <color theme="1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6" borderId="1" xfId="0" applyFont="1" applyFill="1" applyBorder="1" applyAlignment="1">
      <alignment wrapText="1"/>
    </xf>
    <xf numFmtId="0" fontId="0" fillId="6" borderId="1" xfId="0" applyFill="1" applyBorder="1"/>
    <xf numFmtId="9" fontId="2" fillId="5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8" borderId="1" xfId="0" applyFill="1" applyBorder="1"/>
    <xf numFmtId="0" fontId="2" fillId="9" borderId="1" xfId="0" applyFont="1" applyFill="1" applyBorder="1" applyAlignment="1">
      <alignment wrapText="1"/>
    </xf>
    <xf numFmtId="0" fontId="0" fillId="9" borderId="1" xfId="0" applyFill="1" applyBorder="1"/>
    <xf numFmtId="0" fontId="1" fillId="0" borderId="0" xfId="0" applyFont="1" applyFill="1"/>
    <xf numFmtId="0" fontId="4" fillId="11" borderId="5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1" fillId="11" borderId="1" xfId="0" applyFont="1" applyFill="1" applyBorder="1"/>
    <xf numFmtId="0" fontId="5" fillId="11" borderId="1" xfId="0" applyFont="1" applyFill="1" applyBorder="1" applyAlignment="1" applyProtection="1">
      <alignment vertical="center"/>
      <protection locked="0"/>
    </xf>
    <xf numFmtId="0" fontId="5" fillId="11" borderId="1" xfId="0" applyFont="1" applyFill="1" applyBorder="1" applyAlignment="1" applyProtection="1">
      <alignment horizontal="right" vertical="center"/>
      <protection locked="0"/>
    </xf>
    <xf numFmtId="0" fontId="5" fillId="11" borderId="1" xfId="0" applyFont="1" applyFill="1" applyBorder="1" applyAlignment="1">
      <alignment vertical="center"/>
    </xf>
    <xf numFmtId="0" fontId="5" fillId="11" borderId="1" xfId="0" quotePrefix="1" applyFont="1" applyFill="1" applyBorder="1" applyAlignment="1" applyProtection="1">
      <alignment horizontal="right" vertical="center"/>
      <protection locked="0"/>
    </xf>
    <xf numFmtId="0" fontId="5" fillId="11" borderId="0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1" fontId="5" fillId="11" borderId="1" xfId="0" quotePrefix="1" applyNumberFormat="1" applyFont="1" applyFill="1" applyBorder="1" applyAlignment="1">
      <alignment horizontal="right" vertical="center"/>
    </xf>
    <xf numFmtId="1" fontId="5" fillId="11" borderId="1" xfId="0" applyNumberFormat="1" applyFont="1" applyFill="1" applyBorder="1" applyAlignment="1">
      <alignment vertical="center"/>
    </xf>
    <xf numFmtId="1" fontId="5" fillId="11" borderId="1" xfId="0" applyNumberFormat="1" applyFont="1" applyFill="1" applyBorder="1" applyAlignment="1">
      <alignment horizontal="center" vertical="center"/>
    </xf>
    <xf numFmtId="0" fontId="5" fillId="11" borderId="1" xfId="0" quotePrefix="1" applyFont="1" applyFill="1" applyBorder="1" applyAlignment="1" applyProtection="1">
      <alignment vertical="center"/>
      <protection locked="0"/>
    </xf>
    <xf numFmtId="3" fontId="5" fillId="11" borderId="1" xfId="0" quotePrefix="1" applyNumberFormat="1" applyFont="1" applyFill="1" applyBorder="1" applyAlignment="1" applyProtection="1">
      <alignment horizontal="right" vertical="center"/>
      <protection locked="0"/>
    </xf>
    <xf numFmtId="0" fontId="5" fillId="11" borderId="1" xfId="0" quotePrefix="1" applyNumberFormat="1" applyFont="1" applyFill="1" applyBorder="1" applyAlignment="1" applyProtection="1">
      <alignment horizontal="right" vertical="center"/>
      <protection locked="0"/>
    </xf>
    <xf numFmtId="0" fontId="6" fillId="11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wrapText="1"/>
    </xf>
    <xf numFmtId="0" fontId="0" fillId="0" borderId="6" xfId="0" applyFill="1" applyBorder="1"/>
    <xf numFmtId="0" fontId="0" fillId="2" borderId="6" xfId="0" applyFill="1" applyBorder="1"/>
    <xf numFmtId="0" fontId="0" fillId="0" borderId="5" xfId="0" applyFill="1" applyBorder="1"/>
    <xf numFmtId="0" fontId="0" fillId="2" borderId="5" xfId="0" applyFill="1" applyBorder="1"/>
    <xf numFmtId="0" fontId="0" fillId="6" borderId="5" xfId="0" applyFill="1" applyBorder="1"/>
    <xf numFmtId="0" fontId="1" fillId="0" borderId="5" xfId="0" applyFont="1" applyFill="1" applyBorder="1"/>
    <xf numFmtId="0" fontId="0" fillId="11" borderId="5" xfId="0" applyFill="1" applyBorder="1"/>
    <xf numFmtId="0" fontId="5" fillId="11" borderId="1" xfId="0" applyFont="1" applyFill="1" applyBorder="1" applyAlignment="1">
      <alignment horizontal="center" vertical="center" wrapText="1"/>
    </xf>
    <xf numFmtId="14" fontId="5" fillId="11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11" borderId="5" xfId="0" applyFont="1" applyFill="1" applyBorder="1" applyAlignment="1">
      <alignment vertical="center" wrapText="1"/>
    </xf>
    <xf numFmtId="14" fontId="5" fillId="11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0" fillId="5" borderId="5" xfId="0" applyFill="1" applyBorder="1"/>
    <xf numFmtId="0" fontId="1" fillId="11" borderId="5" xfId="0" applyFont="1" applyFill="1" applyBorder="1"/>
    <xf numFmtId="0" fontId="5" fillId="11" borderId="5" xfId="0" applyFont="1" applyFill="1" applyBorder="1" applyAlignment="1" applyProtection="1">
      <alignment vertical="center"/>
      <protection locked="0"/>
    </xf>
    <xf numFmtId="0" fontId="5" fillId="11" borderId="5" xfId="0" applyFont="1" applyFill="1" applyBorder="1" applyAlignment="1" applyProtection="1">
      <alignment horizontal="right" vertical="center"/>
      <protection locked="0"/>
    </xf>
    <xf numFmtId="0" fontId="5" fillId="11" borderId="5" xfId="0" quotePrefix="1" applyNumberFormat="1" applyFont="1" applyFill="1" applyBorder="1" applyAlignment="1" applyProtection="1">
      <alignment horizontal="right" vertical="center"/>
      <protection locked="0"/>
    </xf>
    <xf numFmtId="0" fontId="5" fillId="11" borderId="5" xfId="0" quotePrefix="1" applyFont="1" applyFill="1" applyBorder="1" applyAlignment="1" applyProtection="1">
      <alignment horizontal="right" vertical="center"/>
      <protection locked="0"/>
    </xf>
    <xf numFmtId="0" fontId="5" fillId="11" borderId="6" xfId="0" applyFont="1" applyFill="1" applyBorder="1" applyAlignment="1">
      <alignment vertical="center"/>
    </xf>
    <xf numFmtId="0" fontId="0" fillId="3" borderId="5" xfId="0" applyFill="1" applyBorder="1"/>
    <xf numFmtId="0" fontId="0" fillId="11" borderId="1" xfId="0" applyNumberFormat="1" applyFill="1" applyBorder="1"/>
    <xf numFmtId="43" fontId="0" fillId="11" borderId="1" xfId="1" applyFont="1" applyFill="1" applyBorder="1"/>
    <xf numFmtId="0" fontId="18" fillId="0" borderId="1" xfId="0" applyFont="1" applyBorder="1" applyAlignment="1">
      <alignment horizontal="center"/>
    </xf>
    <xf numFmtId="0" fontId="19" fillId="11" borderId="1" xfId="0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11" borderId="1" xfId="0" applyFont="1" applyFill="1" applyBorder="1" applyAlignment="1">
      <alignment horizontal="right" vertical="center"/>
    </xf>
    <xf numFmtId="0" fontId="18" fillId="11" borderId="1" xfId="0" applyNumberFormat="1" applyFont="1" applyFill="1" applyBorder="1" applyAlignment="1">
      <alignment horizontal="right" vertical="center"/>
    </xf>
    <xf numFmtId="43" fontId="18" fillId="11" borderId="1" xfId="1" applyFont="1" applyFill="1" applyBorder="1" applyAlignment="1">
      <alignment horizontal="right" vertical="center"/>
    </xf>
    <xf numFmtId="0" fontId="19" fillId="11" borderId="1" xfId="0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right" vertical="center"/>
    </xf>
    <xf numFmtId="0" fontId="18" fillId="12" borderId="1" xfId="0" applyNumberFormat="1" applyFont="1" applyFill="1" applyBorder="1" applyAlignment="1">
      <alignment horizontal="right" vertical="center"/>
    </xf>
    <xf numFmtId="0" fontId="0" fillId="12" borderId="1" xfId="0" applyNumberFormat="1" applyFill="1" applyBorder="1"/>
    <xf numFmtId="0" fontId="0" fillId="12" borderId="1" xfId="0" applyFill="1" applyBorder="1"/>
    <xf numFmtId="0" fontId="5" fillId="12" borderId="1" xfId="0" applyFont="1" applyFill="1" applyBorder="1" applyAlignment="1" applyProtection="1">
      <alignment horizontal="right" vertical="center"/>
      <protection locked="0"/>
    </xf>
    <xf numFmtId="0" fontId="5" fillId="12" borderId="1" xfId="0" applyFont="1" applyFill="1" applyBorder="1" applyAlignment="1">
      <alignment vertical="center"/>
    </xf>
    <xf numFmtId="43" fontId="0" fillId="12" borderId="1" xfId="1" applyFont="1" applyFill="1" applyBorder="1"/>
    <xf numFmtId="43" fontId="18" fillId="12" borderId="1" xfId="1" applyFont="1" applyFill="1" applyBorder="1" applyAlignment="1">
      <alignment horizontal="right" vertical="center"/>
    </xf>
    <xf numFmtId="0" fontId="19" fillId="12" borderId="1" xfId="0" applyFont="1" applyFill="1" applyBorder="1" applyAlignment="1" applyProtection="1">
      <alignment horizontal="right" vertical="center"/>
      <protection locked="0"/>
    </xf>
    <xf numFmtId="10" fontId="18" fillId="12" borderId="1" xfId="0" applyNumberFormat="1" applyFont="1" applyFill="1" applyBorder="1" applyAlignment="1">
      <alignment horizontal="right" vertical="center"/>
    </xf>
    <xf numFmtId="0" fontId="19" fillId="12" borderId="1" xfId="0" quotePrefix="1" applyFont="1" applyFill="1" applyBorder="1" applyAlignment="1" applyProtection="1">
      <alignment horizontal="right" vertical="center"/>
      <protection locked="0"/>
    </xf>
    <xf numFmtId="10" fontId="0" fillId="12" borderId="1" xfId="0" applyNumberFormat="1" applyFill="1" applyBorder="1"/>
    <xf numFmtId="0" fontId="11" fillId="13" borderId="1" xfId="0" applyFont="1" applyFill="1" applyBorder="1" applyAlignment="1">
      <alignment horizontal="center" vertical="center"/>
    </xf>
    <xf numFmtId="10" fontId="18" fillId="13" borderId="1" xfId="0" applyNumberFormat="1" applyFont="1" applyFill="1" applyBorder="1" applyAlignment="1">
      <alignment horizontal="right" vertical="center"/>
    </xf>
    <xf numFmtId="10" fontId="0" fillId="13" borderId="1" xfId="0" applyNumberFormat="1" applyFill="1" applyBorder="1"/>
    <xf numFmtId="0" fontId="18" fillId="0" borderId="1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/>
    </xf>
    <xf numFmtId="10" fontId="18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18" fillId="0" borderId="0" xfId="0" applyFont="1" applyBorder="1" applyAlignment="1">
      <alignment wrapText="1"/>
    </xf>
    <xf numFmtId="0" fontId="5" fillId="14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/>
    <xf numFmtId="0" fontId="9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vertical="center"/>
    </xf>
    <xf numFmtId="0" fontId="5" fillId="14" borderId="3" xfId="0" applyFont="1" applyFill="1" applyBorder="1" applyAlignment="1">
      <alignment vertical="center"/>
    </xf>
    <xf numFmtId="0" fontId="5" fillId="14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164" fontId="5" fillId="16" borderId="1" xfId="0" applyNumberFormat="1" applyFont="1" applyFill="1" applyBorder="1" applyAlignment="1">
      <alignment vertical="center"/>
    </xf>
    <xf numFmtId="164" fontId="5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16" borderId="1" xfId="0" applyFont="1" applyFill="1" applyBorder="1" applyAlignment="1" applyProtection="1">
      <alignment horizontal="right" vertical="center"/>
      <protection locked="0"/>
    </xf>
    <xf numFmtId="0" fontId="5" fillId="17" borderId="1" xfId="0" applyFont="1" applyFill="1" applyBorder="1" applyAlignment="1">
      <alignment vertical="center"/>
    </xf>
    <xf numFmtId="164" fontId="5" fillId="11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 applyProtection="1">
      <alignment vertical="center"/>
      <protection locked="0"/>
    </xf>
    <xf numFmtId="0" fontId="34" fillId="0" borderId="1" xfId="0" applyFont="1" applyFill="1" applyBorder="1" applyAlignment="1">
      <alignment vertical="center"/>
    </xf>
    <xf numFmtId="164" fontId="34" fillId="0" borderId="1" xfId="0" applyNumberFormat="1" applyFont="1" applyFill="1" applyBorder="1" applyAlignment="1">
      <alignment vertical="center"/>
    </xf>
    <xf numFmtId="0" fontId="34" fillId="16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right" vertical="center"/>
    </xf>
    <xf numFmtId="164" fontId="5" fillId="11" borderId="5" xfId="0" applyNumberFormat="1" applyFont="1" applyFill="1" applyBorder="1" applyAlignment="1">
      <alignment horizontal="right" vertical="center"/>
    </xf>
    <xf numFmtId="0" fontId="5" fillId="16" borderId="5" xfId="0" applyFont="1" applyFill="1" applyBorder="1" applyAlignment="1">
      <alignment horizontal="right" vertical="center"/>
    </xf>
    <xf numFmtId="164" fontId="5" fillId="16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17" borderId="5" xfId="0" applyFont="1" applyFill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64" fontId="31" fillId="0" borderId="0" xfId="0" applyNumberFormat="1" applyFont="1" applyFill="1" applyBorder="1" applyAlignment="1">
      <alignment horizontal="left" vertical="center"/>
    </xf>
    <xf numFmtId="0" fontId="31" fillId="17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/>
    </xf>
    <xf numFmtId="0" fontId="5" fillId="18" borderId="1" xfId="0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4" fontId="5" fillId="16" borderId="1" xfId="0" applyNumberFormat="1" applyFont="1" applyFill="1" applyBorder="1" applyAlignment="1">
      <alignment horizontal="right" vertical="center"/>
    </xf>
    <xf numFmtId="164" fontId="5" fillId="11" borderId="1" xfId="0" applyNumberFormat="1" applyFont="1" applyFill="1" applyBorder="1" applyAlignment="1">
      <alignment horizontal="right" vertical="center"/>
    </xf>
    <xf numFmtId="165" fontId="4" fillId="15" borderId="1" xfId="0" applyNumberFormat="1" applyFont="1" applyFill="1" applyBorder="1" applyAlignment="1">
      <alignment vertical="center"/>
    </xf>
    <xf numFmtId="166" fontId="4" fillId="15" borderId="1" xfId="0" applyNumberFormat="1" applyFont="1" applyFill="1" applyBorder="1" applyAlignment="1">
      <alignment vertical="center"/>
    </xf>
    <xf numFmtId="167" fontId="4" fillId="15" borderId="1" xfId="0" applyNumberFormat="1" applyFont="1" applyFill="1" applyBorder="1" applyAlignment="1">
      <alignment vertical="center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vertical="center" wrapText="1"/>
    </xf>
    <xf numFmtId="164" fontId="5" fillId="13" borderId="1" xfId="0" applyNumberFormat="1" applyFont="1" applyFill="1" applyBorder="1" applyAlignment="1">
      <alignment horizontal="right" vertical="center"/>
    </xf>
    <xf numFmtId="0" fontId="5" fillId="18" borderId="1" xfId="0" applyFont="1" applyFill="1" applyBorder="1" applyAlignment="1">
      <alignment vertical="center"/>
    </xf>
    <xf numFmtId="164" fontId="5" fillId="18" borderId="1" xfId="0" applyNumberFormat="1" applyFont="1" applyFill="1" applyBorder="1" applyAlignment="1">
      <alignment vertical="center"/>
    </xf>
    <xf numFmtId="0" fontId="5" fillId="18" borderId="1" xfId="0" applyFont="1" applyFill="1" applyBorder="1" applyAlignment="1" applyProtection="1">
      <alignment horizontal="right" vertical="center"/>
      <protection locked="0"/>
    </xf>
    <xf numFmtId="167" fontId="5" fillId="0" borderId="1" xfId="0" applyNumberFormat="1" applyFont="1" applyBorder="1" applyAlignment="1">
      <alignment vertical="center"/>
    </xf>
    <xf numFmtId="0" fontId="5" fillId="11" borderId="1" xfId="0" applyFont="1" applyFill="1" applyBorder="1" applyAlignment="1">
      <alignment horizontal="right" vertical="center"/>
    </xf>
    <xf numFmtId="164" fontId="5" fillId="18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 applyProtection="1">
      <alignment horizontal="right" vertical="center"/>
      <protection locked="0"/>
    </xf>
    <xf numFmtId="165" fontId="5" fillId="0" borderId="1" xfId="0" applyNumberFormat="1" applyFont="1" applyFill="1" applyBorder="1" applyAlignment="1">
      <alignment horizontal="right" vertical="center"/>
    </xf>
    <xf numFmtId="167" fontId="5" fillId="13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17" borderId="1" xfId="0" applyNumberFormat="1" applyFont="1" applyFill="1" applyBorder="1" applyAlignment="1">
      <alignment vertical="center"/>
    </xf>
    <xf numFmtId="0" fontId="19" fillId="11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vertical="center" wrapText="1"/>
    </xf>
    <xf numFmtId="164" fontId="5" fillId="13" borderId="5" xfId="0" applyNumberFormat="1" applyFont="1" applyFill="1" applyBorder="1" applyAlignment="1">
      <alignment horizontal="right" vertical="center"/>
    </xf>
    <xf numFmtId="0" fontId="5" fillId="18" borderId="5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4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right" vertical="center" wrapText="1"/>
    </xf>
    <xf numFmtId="0" fontId="34" fillId="11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2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7" borderId="1" xfId="0" applyFont="1" applyFill="1" applyBorder="1" applyAlignment="1" applyProtection="1">
      <alignment vertical="center"/>
      <protection locked="0"/>
    </xf>
    <xf numFmtId="164" fontId="5" fillId="17" borderId="1" xfId="0" applyNumberFormat="1" applyFont="1" applyFill="1" applyBorder="1" applyAlignment="1">
      <alignment vertical="center"/>
    </xf>
    <xf numFmtId="0" fontId="5" fillId="17" borderId="1" xfId="0" applyFont="1" applyFill="1" applyBorder="1" applyAlignment="1">
      <alignment horizontal="right" vertical="center"/>
    </xf>
    <xf numFmtId="164" fontId="5" fillId="12" borderId="1" xfId="0" applyNumberFormat="1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right" vertical="center"/>
    </xf>
    <xf numFmtId="164" fontId="5" fillId="17" borderId="1" xfId="0" applyNumberFormat="1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vertical="center"/>
    </xf>
    <xf numFmtId="0" fontId="4" fillId="21" borderId="3" xfId="0" applyFont="1" applyFill="1" applyBorder="1" applyAlignment="1">
      <alignment vertical="center"/>
    </xf>
    <xf numFmtId="0" fontId="4" fillId="21" borderId="4" xfId="0" applyFont="1" applyFill="1" applyBorder="1" applyAlignment="1">
      <alignment vertical="center"/>
    </xf>
    <xf numFmtId="164" fontId="5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5" fillId="11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17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11" borderId="1" xfId="0" applyFont="1" applyFill="1" applyBorder="1" applyAlignment="1">
      <alignment vertical="center"/>
    </xf>
    <xf numFmtId="164" fontId="19" fillId="13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11" borderId="1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0" fontId="19" fillId="16" borderId="1" xfId="0" applyFont="1" applyFill="1" applyBorder="1" applyAlignment="1">
      <alignment vertical="center"/>
    </xf>
    <xf numFmtId="164" fontId="19" fillId="16" borderId="1" xfId="0" applyNumberFormat="1" applyFont="1" applyFill="1" applyBorder="1" applyAlignment="1">
      <alignment vertical="center"/>
    </xf>
    <xf numFmtId="0" fontId="5" fillId="17" borderId="1" xfId="0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vertical="center"/>
    </xf>
    <xf numFmtId="0" fontId="19" fillId="22" borderId="2" xfId="0" applyFont="1" applyFill="1" applyBorder="1" applyAlignment="1">
      <alignment vertical="center"/>
    </xf>
    <xf numFmtId="0" fontId="19" fillId="22" borderId="3" xfId="0" applyFont="1" applyFill="1" applyBorder="1" applyAlignment="1">
      <alignment vertical="center"/>
    </xf>
    <xf numFmtId="0" fontId="19" fillId="22" borderId="4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/>
    </xf>
    <xf numFmtId="0" fontId="19" fillId="17" borderId="1" xfId="0" applyFont="1" applyFill="1" applyBorder="1" applyAlignment="1">
      <alignment vertical="center"/>
    </xf>
    <xf numFmtId="165" fontId="19" fillId="16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 applyProtection="1">
      <alignment vertical="center"/>
      <protection locked="0"/>
    </xf>
    <xf numFmtId="165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167" fontId="19" fillId="16" borderId="1" xfId="0" applyNumberFormat="1" applyFont="1" applyFill="1" applyBorder="1" applyAlignment="1">
      <alignment vertical="center"/>
    </xf>
    <xf numFmtId="167" fontId="19" fillId="0" borderId="1" xfId="0" applyNumberFormat="1" applyFont="1" applyBorder="1" applyAlignment="1">
      <alignment vertical="center"/>
    </xf>
    <xf numFmtId="164" fontId="19" fillId="11" borderId="1" xfId="0" applyNumberFormat="1" applyFont="1" applyFill="1" applyBorder="1" applyAlignment="1">
      <alignment vertical="center"/>
    </xf>
    <xf numFmtId="165" fontId="19" fillId="17" borderId="1" xfId="0" applyNumberFormat="1" applyFont="1" applyFill="1" applyBorder="1" applyAlignment="1">
      <alignment vertical="center"/>
    </xf>
    <xf numFmtId="0" fontId="18" fillId="16" borderId="1" xfId="0" applyFont="1" applyFill="1" applyBorder="1" applyAlignment="1">
      <alignment vertical="center"/>
    </xf>
    <xf numFmtId="0" fontId="37" fillId="11" borderId="1" xfId="0" applyFont="1" applyFill="1" applyBorder="1" applyAlignment="1">
      <alignment vertical="center" wrapText="1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11" borderId="5" xfId="0" applyFont="1" applyFill="1" applyBorder="1" applyAlignment="1">
      <alignment vertical="center"/>
    </xf>
    <xf numFmtId="164" fontId="19" fillId="13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17" borderId="5" xfId="0" applyFont="1" applyFill="1" applyBorder="1" applyAlignment="1">
      <alignment vertical="center"/>
    </xf>
    <xf numFmtId="164" fontId="19" fillId="0" borderId="5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11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34" fillId="16" borderId="1" xfId="0" applyNumberFormat="1" applyFont="1" applyFill="1" applyBorder="1" applyAlignment="1">
      <alignment horizontal="right" vertical="center"/>
    </xf>
    <xf numFmtId="0" fontId="4" fillId="14" borderId="2" xfId="0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0" fontId="5" fillId="14" borderId="2" xfId="0" applyFont="1" applyFill="1" applyBorder="1" applyAlignment="1">
      <alignment horizontal="right" vertical="center"/>
    </xf>
    <xf numFmtId="0" fontId="5" fillId="14" borderId="3" xfId="0" applyFont="1" applyFill="1" applyBorder="1" applyAlignment="1">
      <alignment horizontal="right" vertical="center"/>
    </xf>
    <xf numFmtId="0" fontId="5" fillId="14" borderId="4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5" fillId="17" borderId="5" xfId="0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quotePrefix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0" xfId="0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23" borderId="2" xfId="0" applyFont="1" applyFill="1" applyBorder="1" applyAlignment="1">
      <alignment horizontal="right" vertical="center"/>
    </xf>
    <xf numFmtId="0" fontId="5" fillId="23" borderId="3" xfId="0" applyFont="1" applyFill="1" applyBorder="1" applyAlignment="1">
      <alignment horizontal="right" vertical="center"/>
    </xf>
    <xf numFmtId="0" fontId="5" fillId="23" borderId="1" xfId="0" applyFont="1" applyFill="1" applyBorder="1" applyAlignment="1">
      <alignment horizontal="right" vertical="center"/>
    </xf>
    <xf numFmtId="164" fontId="5" fillId="23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 wrapText="1"/>
    </xf>
    <xf numFmtId="0" fontId="5" fillId="16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164" fontId="5" fillId="16" borderId="5" xfId="0" applyNumberFormat="1" applyFont="1" applyFill="1" applyBorder="1" applyAlignment="1">
      <alignment vertical="center"/>
    </xf>
    <xf numFmtId="164" fontId="5" fillId="11" borderId="5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/>
    <xf numFmtId="0" fontId="19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43" fontId="18" fillId="2" borderId="1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wrapText="1"/>
    </xf>
    <xf numFmtId="0" fontId="23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11" borderId="1" xfId="0" applyFont="1" applyFill="1" applyBorder="1" applyAlignment="1">
      <alignment vertical="center"/>
    </xf>
    <xf numFmtId="164" fontId="25" fillId="11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10" borderId="1" xfId="0" applyFont="1" applyFill="1" applyBorder="1" applyAlignment="1">
      <alignment vertical="center"/>
    </xf>
    <xf numFmtId="164" fontId="26" fillId="10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3" fillId="0" borderId="0" xfId="2" applyFont="1" applyFill="1" applyBorder="1" applyAlignment="1">
      <alignment vertical="center"/>
    </xf>
    <xf numFmtId="0" fontId="0" fillId="2" borderId="1" xfId="0" applyNumberFormat="1" applyFill="1" applyBorder="1"/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2" fontId="18" fillId="11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right" vertical="center"/>
    </xf>
    <xf numFmtId="0" fontId="4" fillId="10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right" vertical="center"/>
    </xf>
    <xf numFmtId="0" fontId="44" fillId="0" borderId="0" xfId="0" applyFont="1"/>
    <xf numFmtId="0" fontId="4" fillId="10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vertical="center" wrapText="1"/>
    </xf>
    <xf numFmtId="0" fontId="0" fillId="11" borderId="0" xfId="0" applyFill="1"/>
    <xf numFmtId="0" fontId="15" fillId="11" borderId="1" xfId="0" applyFont="1" applyFill="1" applyBorder="1" applyAlignment="1">
      <alignment vertical="center" wrapText="1"/>
    </xf>
    <xf numFmtId="10" fontId="18" fillId="24" borderId="1" xfId="0" applyNumberFormat="1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center"/>
    </xf>
    <xf numFmtId="0" fontId="45" fillId="11" borderId="1" xfId="0" applyFont="1" applyFill="1" applyBorder="1" applyAlignment="1">
      <alignment vertical="center"/>
    </xf>
    <xf numFmtId="0" fontId="25" fillId="18" borderId="1" xfId="0" applyFont="1" applyFill="1" applyBorder="1" applyAlignment="1">
      <alignment vertical="center"/>
    </xf>
    <xf numFmtId="0" fontId="18" fillId="18" borderId="1" xfId="0" applyNumberFormat="1" applyFont="1" applyFill="1" applyBorder="1" applyAlignment="1">
      <alignment horizontal="right" vertical="center"/>
    </xf>
    <xf numFmtId="0" fontId="18" fillId="18" borderId="1" xfId="0" applyFont="1" applyFill="1" applyBorder="1" applyAlignment="1">
      <alignment horizontal="right" vertical="center"/>
    </xf>
    <xf numFmtId="10" fontId="18" fillId="18" borderId="1" xfId="0" applyNumberFormat="1" applyFont="1" applyFill="1" applyBorder="1" applyAlignment="1">
      <alignment horizontal="right" vertical="center"/>
    </xf>
    <xf numFmtId="0" fontId="19" fillId="18" borderId="1" xfId="0" applyFont="1" applyFill="1" applyBorder="1" applyAlignment="1">
      <alignment horizontal="right" vertical="center"/>
    </xf>
    <xf numFmtId="43" fontId="18" fillId="18" borderId="1" xfId="1" applyFont="1" applyFill="1" applyBorder="1" applyAlignment="1">
      <alignment horizontal="right" vertical="center"/>
    </xf>
    <xf numFmtId="0" fontId="18" fillId="11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12" borderId="1" xfId="0" applyNumberFormat="1" applyFill="1" applyBorder="1" applyAlignment="1">
      <alignment vertical="center"/>
    </xf>
    <xf numFmtId="10" fontId="0" fillId="13" borderId="1" xfId="0" applyNumberForma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43" fontId="0" fillId="11" borderId="1" xfId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18" borderId="1" xfId="0" applyNumberFormat="1" applyFill="1" applyBorder="1" applyAlignment="1">
      <alignment vertical="center"/>
    </xf>
    <xf numFmtId="10" fontId="0" fillId="18" borderId="1" xfId="0" applyNumberForma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43" fontId="0" fillId="18" borderId="1" xfId="1" applyFont="1" applyFill="1" applyBorder="1" applyAlignment="1">
      <alignment vertical="center"/>
    </xf>
    <xf numFmtId="0" fontId="18" fillId="11" borderId="1" xfId="0" applyFont="1" applyFill="1" applyBorder="1" applyAlignment="1">
      <alignment horizontal="center"/>
    </xf>
    <xf numFmtId="0" fontId="25" fillId="25" borderId="1" xfId="0" applyFont="1" applyFill="1" applyBorder="1" applyAlignment="1">
      <alignment vertical="center"/>
    </xf>
    <xf numFmtId="164" fontId="25" fillId="25" borderId="1" xfId="0" applyNumberFormat="1" applyFont="1" applyFill="1" applyBorder="1" applyAlignment="1">
      <alignment vertical="center"/>
    </xf>
    <xf numFmtId="0" fontId="0" fillId="25" borderId="1" xfId="0" applyNumberFormat="1" applyFill="1" applyBorder="1" applyAlignment="1">
      <alignment vertical="center"/>
    </xf>
    <xf numFmtId="0" fontId="18" fillId="25" borderId="1" xfId="0" applyFont="1" applyFill="1" applyBorder="1" applyAlignment="1">
      <alignment horizontal="right" vertical="center"/>
    </xf>
    <xf numFmtId="10" fontId="0" fillId="25" borderId="1" xfId="0" applyNumberForma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18" fillId="24" borderId="1" xfId="0" applyNumberFormat="1" applyFont="1" applyFill="1" applyBorder="1" applyAlignment="1">
      <alignment horizontal="right" vertical="center"/>
    </xf>
    <xf numFmtId="0" fontId="18" fillId="24" borderId="1" xfId="0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 vertical="top"/>
    </xf>
    <xf numFmtId="0" fontId="49" fillId="11" borderId="1" xfId="0" applyFont="1" applyFill="1" applyBorder="1" applyAlignment="1">
      <alignment horizontal="left" vertical="top" indent="1"/>
    </xf>
    <xf numFmtId="0" fontId="49" fillId="0" borderId="1" xfId="0" applyFont="1" applyFill="1" applyBorder="1" applyAlignment="1">
      <alignment horizontal="left" vertical="top" wrapText="1"/>
    </xf>
    <xf numFmtId="0" fontId="48" fillId="0" borderId="1" xfId="0" applyFont="1" applyBorder="1" applyAlignment="1">
      <alignment horizontal="left" vertical="top" indent="1"/>
    </xf>
    <xf numFmtId="2" fontId="48" fillId="0" borderId="1" xfId="0" applyNumberFormat="1" applyFont="1" applyBorder="1" applyAlignment="1">
      <alignment horizontal="left" vertical="top" indent="1"/>
    </xf>
    <xf numFmtId="0" fontId="25" fillId="0" borderId="1" xfId="0" applyFont="1" applyFill="1" applyBorder="1" applyAlignment="1">
      <alignment horizontal="left" vertical="top" wrapText="1"/>
    </xf>
    <xf numFmtId="0" fontId="49" fillId="11" borderId="1" xfId="0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 indent="1"/>
    </xf>
    <xf numFmtId="0" fontId="46" fillId="0" borderId="1" xfId="0" applyFont="1" applyBorder="1" applyAlignment="1">
      <alignment horizontal="left" vertical="top"/>
    </xf>
    <xf numFmtId="0" fontId="46" fillId="0" borderId="1" xfId="0" applyFont="1" applyBorder="1" applyAlignment="1">
      <alignment horizontal="left" vertical="top" indent="1"/>
    </xf>
    <xf numFmtId="2" fontId="46" fillId="0" borderId="1" xfId="0" applyNumberFormat="1" applyFont="1" applyBorder="1" applyAlignment="1">
      <alignment horizontal="left" vertical="top" indent="1"/>
    </xf>
    <xf numFmtId="2" fontId="48" fillId="0" borderId="1" xfId="0" applyNumberFormat="1" applyFont="1" applyBorder="1" applyAlignment="1">
      <alignment horizontal="center" vertical="top"/>
    </xf>
    <xf numFmtId="2" fontId="46" fillId="0" borderId="1" xfId="0" applyNumberFormat="1" applyFont="1" applyBorder="1" applyAlignment="1">
      <alignment horizontal="center" vertical="top"/>
    </xf>
    <xf numFmtId="0" fontId="50" fillId="15" borderId="5" xfId="0" applyFont="1" applyFill="1" applyBorder="1" applyAlignment="1">
      <alignment horizontal="left" vertical="top" wrapText="1"/>
    </xf>
    <xf numFmtId="0" fontId="50" fillId="15" borderId="9" xfId="0" applyFont="1" applyFill="1" applyBorder="1" applyAlignment="1">
      <alignment horizontal="left" vertical="top" wrapText="1"/>
    </xf>
    <xf numFmtId="0" fontId="50" fillId="10" borderId="1" xfId="0" applyFont="1" applyFill="1" applyBorder="1" applyAlignment="1">
      <alignment horizontal="left" vertical="top" wrapText="1"/>
    </xf>
    <xf numFmtId="0" fontId="51" fillId="15" borderId="1" xfId="0" applyFont="1" applyFill="1" applyBorder="1" applyAlignment="1">
      <alignment horizontal="left" vertical="top" wrapText="1"/>
    </xf>
    <xf numFmtId="0" fontId="27" fillId="10" borderId="1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Fill="1" applyBorder="1" applyAlignment="1">
      <alignment horizontal="left" vertical="top" wrapText="1"/>
    </xf>
    <xf numFmtId="0" fontId="41" fillId="11" borderId="1" xfId="0" applyFont="1" applyFill="1" applyBorder="1" applyAlignment="1">
      <alignment horizontal="left" vertical="top"/>
    </xf>
    <xf numFmtId="0" fontId="52" fillId="0" borderId="1" xfId="0" applyFont="1" applyBorder="1" applyAlignment="1">
      <alignment horizontal="left" vertical="top"/>
    </xf>
    <xf numFmtId="0" fontId="52" fillId="0" borderId="1" xfId="0" applyFont="1" applyFill="1" applyBorder="1" applyAlignment="1">
      <alignment horizontal="left" vertical="top" wrapText="1"/>
    </xf>
    <xf numFmtId="0" fontId="52" fillId="11" borderId="1" xfId="0" applyFont="1" applyFill="1" applyBorder="1" applyAlignment="1">
      <alignment horizontal="left" vertical="top"/>
    </xf>
    <xf numFmtId="0" fontId="5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Border="1"/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 wrapText="1"/>
    </xf>
    <xf numFmtId="0" fontId="49" fillId="11" borderId="1" xfId="0" applyFont="1" applyFill="1" applyBorder="1" applyAlignment="1">
      <alignment vertical="center"/>
    </xf>
    <xf numFmtId="0" fontId="49" fillId="25" borderId="1" xfId="0" applyFont="1" applyFill="1" applyBorder="1" applyAlignment="1">
      <alignment vertical="center"/>
    </xf>
    <xf numFmtId="164" fontId="49" fillId="11" borderId="1" xfId="0" applyNumberFormat="1" applyFont="1" applyFill="1" applyBorder="1" applyAlignment="1">
      <alignment vertical="center"/>
    </xf>
    <xf numFmtId="164" fontId="49" fillId="25" borderId="1" xfId="0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/>
    <xf numFmtId="0" fontId="34" fillId="0" borderId="16" xfId="0" applyFont="1" applyBorder="1" applyAlignment="1">
      <alignment horizontal="right"/>
    </xf>
    <xf numFmtId="0" fontId="34" fillId="0" borderId="17" xfId="0" applyFont="1" applyBorder="1" applyAlignment="1">
      <alignment horizontal="right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vertical="top" wrapText="1"/>
    </xf>
    <xf numFmtId="0" fontId="0" fillId="11" borderId="11" xfId="0" applyFill="1" applyBorder="1"/>
    <xf numFmtId="0" fontId="0" fillId="11" borderId="12" xfId="0" applyFill="1" applyBorder="1"/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4" fillId="11" borderId="3" xfId="0" applyFont="1" applyFill="1" applyBorder="1" applyAlignment="1">
      <alignment horizontal="center"/>
    </xf>
    <xf numFmtId="0" fontId="54" fillId="11" borderId="4" xfId="0" applyFont="1" applyFill="1" applyBorder="1" applyAlignment="1">
      <alignment horizontal="center"/>
    </xf>
    <xf numFmtId="0" fontId="54" fillId="11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/>
    </xf>
    <xf numFmtId="10" fontId="18" fillId="13" borderId="1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vertical="top"/>
    </xf>
    <xf numFmtId="2" fontId="25" fillId="11" borderId="1" xfId="0" applyNumberFormat="1" applyFont="1" applyFill="1" applyBorder="1" applyAlignment="1">
      <alignment vertical="center"/>
    </xf>
    <xf numFmtId="2" fontId="26" fillId="10" borderId="1" xfId="0" applyNumberFormat="1" applyFont="1" applyFill="1" applyBorder="1" applyAlignment="1">
      <alignment vertical="center"/>
    </xf>
    <xf numFmtId="0" fontId="41" fillId="0" borderId="0" xfId="0" quotePrefix="1" applyFont="1" applyFill="1" applyBorder="1" applyAlignment="1">
      <alignment vertical="center"/>
    </xf>
    <xf numFmtId="0" fontId="41" fillId="0" borderId="0" xfId="0" applyFont="1" applyBorder="1" applyAlignment="1">
      <alignment vertical="top"/>
    </xf>
    <xf numFmtId="2" fontId="49" fillId="11" borderId="1" xfId="0" applyNumberFormat="1" applyFont="1" applyFill="1" applyBorder="1" applyAlignment="1">
      <alignment vertical="center"/>
    </xf>
    <xf numFmtId="2" fontId="25" fillId="25" borderId="1" xfId="0" applyNumberFormat="1" applyFont="1" applyFill="1" applyBorder="1" applyAlignment="1">
      <alignment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26" fillId="10" borderId="2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8" fillId="11" borderId="1" xfId="0" applyFont="1" applyFill="1" applyBorder="1" applyAlignment="1">
      <alignment vertical="top" wrapText="1"/>
    </xf>
    <xf numFmtId="0" fontId="11" fillId="10" borderId="1" xfId="0" applyFont="1" applyFill="1" applyBorder="1" applyAlignment="1">
      <alignment vertical="top"/>
    </xf>
    <xf numFmtId="0" fontId="17" fillId="10" borderId="1" xfId="0" applyFont="1" applyFill="1" applyBorder="1" applyAlignment="1">
      <alignment vertical="top" wrapText="1"/>
    </xf>
    <xf numFmtId="0" fontId="18" fillId="11" borderId="1" xfId="0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18" fillId="18" borderId="3" xfId="0" applyNumberFormat="1" applyFont="1" applyFill="1" applyBorder="1" applyAlignment="1">
      <alignment vertical="center"/>
    </xf>
    <xf numFmtId="0" fontId="18" fillId="18" borderId="4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3" fontId="0" fillId="11" borderId="1" xfId="1" applyFont="1" applyFill="1" applyBorder="1" applyAlignment="1">
      <alignment horizontal="center" vertical="center"/>
    </xf>
    <xf numFmtId="2" fontId="25" fillId="15" borderId="1" xfId="0" applyNumberFormat="1" applyFont="1" applyFill="1" applyBorder="1" applyAlignment="1">
      <alignment vertical="center"/>
    </xf>
    <xf numFmtId="0" fontId="25" fillId="15" borderId="1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vertical="center"/>
    </xf>
    <xf numFmtId="0" fontId="54" fillId="11" borderId="3" xfId="0" applyFont="1" applyFill="1" applyBorder="1" applyAlignment="1"/>
    <xf numFmtId="0" fontId="54" fillId="11" borderId="4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vertical="center" wrapText="1"/>
    </xf>
    <xf numFmtId="0" fontId="16" fillId="10" borderId="6" xfId="0" applyFont="1" applyFill="1" applyBorder="1" applyAlignment="1">
      <alignment vertical="center" wrapText="1"/>
    </xf>
    <xf numFmtId="0" fontId="16" fillId="10" borderId="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8" fillId="18" borderId="2" xfId="0" applyNumberFormat="1" applyFont="1" applyFill="1" applyBorder="1" applyAlignment="1">
      <alignment horizontal="center" vertical="center"/>
    </xf>
    <xf numFmtId="0" fontId="18" fillId="18" borderId="3" xfId="0" applyNumberFormat="1" applyFont="1" applyFill="1" applyBorder="1" applyAlignment="1">
      <alignment horizontal="center" vertical="center"/>
    </xf>
    <xf numFmtId="0" fontId="18" fillId="18" borderId="4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4" fillId="11" borderId="2" xfId="0" applyFont="1" applyFill="1" applyBorder="1" applyAlignment="1">
      <alignment horizontal="center"/>
    </xf>
    <xf numFmtId="0" fontId="54" fillId="11" borderId="3" xfId="0" applyFont="1" applyFill="1" applyBorder="1" applyAlignment="1">
      <alignment horizontal="center"/>
    </xf>
    <xf numFmtId="0" fontId="54" fillId="11" borderId="4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0" fontId="26" fillId="10" borderId="2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" fillId="15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right" vertical="center"/>
    </xf>
    <xf numFmtId="0" fontId="26" fillId="11" borderId="12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right" vertical="center"/>
    </xf>
    <xf numFmtId="0" fontId="5" fillId="14" borderId="3" xfId="0" applyFont="1" applyFill="1" applyBorder="1" applyAlignment="1">
      <alignment horizontal="right" vertical="center"/>
    </xf>
    <xf numFmtId="0" fontId="5" fillId="14" borderId="4" xfId="0" applyFont="1" applyFill="1" applyBorder="1" applyAlignment="1">
      <alignment horizontal="right" vertical="center"/>
    </xf>
    <xf numFmtId="0" fontId="4" fillId="10" borderId="9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left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3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left" vertical="center"/>
    </xf>
    <xf numFmtId="0" fontId="19" fillId="22" borderId="2" xfId="0" applyFont="1" applyFill="1" applyBorder="1" applyAlignment="1">
      <alignment vertical="center"/>
    </xf>
    <xf numFmtId="0" fontId="19" fillId="22" borderId="3" xfId="0" applyFont="1" applyFill="1" applyBorder="1" applyAlignment="1">
      <alignment vertical="center"/>
    </xf>
    <xf numFmtId="0" fontId="19" fillId="22" borderId="4" xfId="0" applyFont="1" applyFill="1" applyBorder="1" applyAlignment="1">
      <alignment vertical="center"/>
    </xf>
    <xf numFmtId="0" fontId="5" fillId="22" borderId="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4" fillId="23" borderId="1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right" vertical="center"/>
    </xf>
    <xf numFmtId="0" fontId="5" fillId="23" borderId="3" xfId="0" applyFont="1" applyFill="1" applyBorder="1" applyAlignment="1">
      <alignment horizontal="right" vertical="center"/>
    </xf>
    <xf numFmtId="0" fontId="5" fillId="23" borderId="4" xfId="0" applyFont="1" applyFill="1" applyBorder="1" applyAlignment="1">
      <alignment horizontal="right" vertical="center"/>
    </xf>
    <xf numFmtId="0" fontId="5" fillId="23" borderId="2" xfId="0" applyFont="1" applyFill="1" applyBorder="1" applyAlignment="1">
      <alignment horizontal="center" vertical="center"/>
    </xf>
    <xf numFmtId="0" fontId="5" fillId="23" borderId="3" xfId="0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50" fillId="10" borderId="1" xfId="0" applyFont="1" applyFill="1" applyBorder="1" applyAlignment="1">
      <alignment horizontal="center" vertical="top" wrapText="1"/>
    </xf>
    <xf numFmtId="0" fontId="53" fillId="10" borderId="2" xfId="0" applyFont="1" applyFill="1" applyBorder="1" applyAlignment="1">
      <alignment horizontal="left" vertical="top"/>
    </xf>
    <xf numFmtId="0" fontId="53" fillId="10" borderId="4" xfId="0" applyFont="1" applyFill="1" applyBorder="1" applyAlignment="1">
      <alignment horizontal="left" vertical="top"/>
    </xf>
    <xf numFmtId="0" fontId="50" fillId="10" borderId="2" xfId="0" applyFont="1" applyFill="1" applyBorder="1" applyAlignment="1">
      <alignment horizontal="center" vertical="top" wrapText="1"/>
    </xf>
    <xf numFmtId="0" fontId="50" fillId="10" borderId="3" xfId="0" applyFont="1" applyFill="1" applyBorder="1" applyAlignment="1">
      <alignment horizontal="center" vertical="top" wrapText="1"/>
    </xf>
    <xf numFmtId="0" fontId="50" fillId="10" borderId="4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4" fillId="10" borderId="1" xfId="0" applyFont="1" applyFill="1" applyBorder="1" applyAlignment="1">
      <alignment vertical="top" wrapText="1"/>
    </xf>
    <xf numFmtId="0" fontId="16" fillId="10" borderId="1" xfId="0" applyFont="1" applyFill="1" applyBorder="1" applyAlignment="1">
      <alignment vertical="top" wrapText="1"/>
    </xf>
    <xf numFmtId="0" fontId="4" fillId="14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ownloads/X2010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all%20tables%202011-15/tables%202011-15%20without%20formula/X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all%20tables%202011-15/tables%202012-15%20with%20formula/X%202012-Data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shree/Desktop/EXAMINATION%20DATA/all%20tables%202011-15/tables%202012-15%20with%20formula/X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xamination%202017-%20Analysis/Users/Jaishree/Downloads/X2010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xamination%202017-%20Analysis/Users/Jaishree/Desktop/EXAMINATION%20DATA/all%20tables%202011-15/tables%202011-15%20without%20formula/X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xamination%202017-%20Analysis/2017%20X_Examination%20Results(Latest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xamination%202017-%20Analysis/Users/Jaishree/Desktop/EXAMINATION%20DATA/all%20tables%202011-15/tables%202012-15%20with%20formula/X%202012-Datant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xamination%202017-%20Analysis/X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Chart"/>
    </sheetNames>
    <sheetDataSet>
      <sheetData sheetId="0">
        <row r="44">
          <cell r="AG44">
            <v>9374906</v>
          </cell>
          <cell r="AH44">
            <v>7351211</v>
          </cell>
          <cell r="AI44">
            <v>16726117</v>
          </cell>
          <cell r="AP44">
            <v>6862354</v>
          </cell>
          <cell r="AQ44">
            <v>5687118</v>
          </cell>
          <cell r="AR44">
            <v>12549472</v>
          </cell>
          <cell r="BZ44">
            <v>1517853</v>
          </cell>
          <cell r="CA44">
            <v>1169643</v>
          </cell>
          <cell r="CB44">
            <v>2687496</v>
          </cell>
          <cell r="CI44">
            <v>1020344</v>
          </cell>
          <cell r="CJ44">
            <v>834309</v>
          </cell>
          <cell r="CK44">
            <v>1854653</v>
          </cell>
          <cell r="DS44">
            <v>613490</v>
          </cell>
          <cell r="DT44">
            <v>476366</v>
          </cell>
          <cell r="DU44">
            <v>1089856</v>
          </cell>
          <cell r="EB44">
            <v>382583</v>
          </cell>
          <cell r="EC44">
            <v>293139</v>
          </cell>
          <cell r="ED44">
            <v>675722</v>
          </cell>
        </row>
      </sheetData>
      <sheetData sheetId="1">
        <row r="14">
          <cell r="C14">
            <v>309135</v>
          </cell>
          <cell r="D14">
            <v>214714</v>
          </cell>
          <cell r="E14">
            <v>523849</v>
          </cell>
          <cell r="F14">
            <v>166883</v>
          </cell>
          <cell r="G14">
            <v>106029</v>
          </cell>
          <cell r="H14">
            <v>272912</v>
          </cell>
          <cell r="I14">
            <v>44666</v>
          </cell>
          <cell r="J14">
            <v>27770</v>
          </cell>
          <cell r="K14">
            <v>72436</v>
          </cell>
          <cell r="L14">
            <v>23557</v>
          </cell>
          <cell r="M14">
            <v>13670</v>
          </cell>
          <cell r="N14">
            <v>37227</v>
          </cell>
          <cell r="O14">
            <v>29962</v>
          </cell>
          <cell r="P14">
            <v>25670</v>
          </cell>
          <cell r="Q14">
            <v>55632</v>
          </cell>
          <cell r="R14">
            <v>14045</v>
          </cell>
          <cell r="S14">
            <v>12019</v>
          </cell>
          <cell r="T14">
            <v>26064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9799667</v>
          </cell>
          <cell r="AH44">
            <v>7818871</v>
          </cell>
          <cell r="AI44">
            <v>17623309</v>
          </cell>
          <cell r="AP44">
            <v>7183560</v>
          </cell>
          <cell r="AQ44">
            <v>6013853</v>
          </cell>
          <cell r="AR44">
            <v>13199625</v>
          </cell>
          <cell r="BZ44">
            <v>1687903</v>
          </cell>
          <cell r="CA44">
            <v>1379568</v>
          </cell>
          <cell r="CB44">
            <v>3067471</v>
          </cell>
          <cell r="CI44">
            <v>1150634</v>
          </cell>
          <cell r="CJ44">
            <v>977953</v>
          </cell>
          <cell r="CK44">
            <v>2128587</v>
          </cell>
          <cell r="DS44">
            <v>661275</v>
          </cell>
          <cell r="DT44">
            <v>531300</v>
          </cell>
          <cell r="DU44">
            <v>1192575</v>
          </cell>
          <cell r="EB44">
            <v>415430</v>
          </cell>
          <cell r="EC44">
            <v>332993</v>
          </cell>
          <cell r="ED44">
            <v>748423</v>
          </cell>
        </row>
      </sheetData>
      <sheetData sheetId="1">
        <row r="14">
          <cell r="C14">
            <v>318896</v>
          </cell>
          <cell r="D14">
            <v>219066</v>
          </cell>
          <cell r="E14">
            <v>537962</v>
          </cell>
          <cell r="F14">
            <v>187686</v>
          </cell>
          <cell r="G14">
            <v>117295</v>
          </cell>
          <cell r="H14">
            <v>304981</v>
          </cell>
          <cell r="I14">
            <v>54250</v>
          </cell>
          <cell r="J14">
            <v>33662</v>
          </cell>
          <cell r="K14">
            <v>87912</v>
          </cell>
          <cell r="L14">
            <v>30472</v>
          </cell>
          <cell r="M14">
            <v>18269</v>
          </cell>
          <cell r="N14">
            <v>48741</v>
          </cell>
          <cell r="O14">
            <v>36915</v>
          </cell>
          <cell r="P14">
            <v>31149</v>
          </cell>
          <cell r="Q14">
            <v>68064</v>
          </cell>
          <cell r="R14">
            <v>22923</v>
          </cell>
          <cell r="S14">
            <v>16365</v>
          </cell>
          <cell r="T14">
            <v>39288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 board"/>
      <sheetName val="TS"/>
      <sheetName val="Pass%TS"/>
      <sheetName val="Chart"/>
      <sheetName val="State-wise"/>
      <sheetName val="Sheet1"/>
    </sheetNames>
    <sheetDataSet>
      <sheetData sheetId="0"/>
      <sheetData sheetId="1">
        <row r="14">
          <cell r="C14">
            <v>347228</v>
          </cell>
          <cell r="D14">
            <v>200891</v>
          </cell>
          <cell r="E14">
            <v>548119</v>
          </cell>
          <cell r="F14">
            <v>217754</v>
          </cell>
          <cell r="G14">
            <v>128039</v>
          </cell>
          <cell r="H14">
            <v>345793</v>
          </cell>
          <cell r="I14">
            <v>56716</v>
          </cell>
          <cell r="J14">
            <v>29791</v>
          </cell>
          <cell r="K14">
            <v>86507</v>
          </cell>
          <cell r="L14">
            <v>35086</v>
          </cell>
          <cell r="M14">
            <v>18274</v>
          </cell>
          <cell r="N14">
            <v>53360</v>
          </cell>
          <cell r="O14">
            <v>39167</v>
          </cell>
          <cell r="P14">
            <v>28097</v>
          </cell>
          <cell r="Q14">
            <v>67264</v>
          </cell>
          <cell r="R14">
            <v>21215</v>
          </cell>
          <cell r="S14">
            <v>17900</v>
          </cell>
          <cell r="T14">
            <v>39115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Sheet2"/>
      <sheetName val="TS"/>
      <sheetName val="Pass%TS"/>
      <sheetName val="Chart"/>
      <sheetName val="STATE"/>
      <sheetName val="State-wise"/>
      <sheetName val="Sheet1"/>
    </sheetNames>
    <sheetDataSet>
      <sheetData sheetId="0">
        <row r="45">
          <cell r="AG45">
            <v>10902439</v>
          </cell>
        </row>
      </sheetData>
      <sheetData sheetId="1">
        <row r="14">
          <cell r="C14">
            <v>397611</v>
          </cell>
          <cell r="D14">
            <v>212752</v>
          </cell>
          <cell r="E14">
            <v>610363</v>
          </cell>
          <cell r="F14">
            <v>220126</v>
          </cell>
          <cell r="G14">
            <v>128848</v>
          </cell>
          <cell r="H14">
            <v>348974</v>
          </cell>
          <cell r="I14">
            <v>60124</v>
          </cell>
          <cell r="J14">
            <v>29784</v>
          </cell>
          <cell r="K14">
            <v>89908</v>
          </cell>
          <cell r="L14">
            <v>33032</v>
          </cell>
          <cell r="M14">
            <v>16829</v>
          </cell>
          <cell r="N14">
            <v>49861</v>
          </cell>
          <cell r="O14">
            <v>41501</v>
          </cell>
          <cell r="P14">
            <v>34982</v>
          </cell>
          <cell r="Q14">
            <v>76483</v>
          </cell>
          <cell r="R14">
            <v>22331</v>
          </cell>
          <cell r="S14">
            <v>19759</v>
          </cell>
          <cell r="T14">
            <v>42090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Chart"/>
    </sheetNames>
    <sheetDataSet>
      <sheetData sheetId="0">
        <row r="44">
          <cell r="AG44">
            <v>9374906</v>
          </cell>
          <cell r="AH44">
            <v>7351211</v>
          </cell>
          <cell r="AI44">
            <v>16726117</v>
          </cell>
          <cell r="AP44">
            <v>6862354</v>
          </cell>
          <cell r="AQ44">
            <v>5687118</v>
          </cell>
          <cell r="AR44">
            <v>12549472</v>
          </cell>
          <cell r="BZ44">
            <v>1517853</v>
          </cell>
          <cell r="CA44">
            <v>1169643</v>
          </cell>
          <cell r="CB44">
            <v>2687496</v>
          </cell>
          <cell r="CI44">
            <v>1020344</v>
          </cell>
          <cell r="CJ44">
            <v>834309</v>
          </cell>
          <cell r="CK44">
            <v>1854653</v>
          </cell>
          <cell r="DS44">
            <v>613490</v>
          </cell>
          <cell r="DT44">
            <v>476366</v>
          </cell>
          <cell r="DU44">
            <v>1089856</v>
          </cell>
          <cell r="EB44">
            <v>382583</v>
          </cell>
          <cell r="EC44">
            <v>293139</v>
          </cell>
          <cell r="ED44">
            <v>675722</v>
          </cell>
        </row>
      </sheetData>
      <sheetData sheetId="1">
        <row r="14">
          <cell r="C14">
            <v>309135</v>
          </cell>
          <cell r="D14">
            <v>214714</v>
          </cell>
          <cell r="E14">
            <v>523849</v>
          </cell>
          <cell r="F14">
            <v>166883</v>
          </cell>
          <cell r="G14">
            <v>106029</v>
          </cell>
          <cell r="H14">
            <v>272912</v>
          </cell>
          <cell r="I14">
            <v>44666</v>
          </cell>
          <cell r="J14">
            <v>27770</v>
          </cell>
          <cell r="K14">
            <v>72436</v>
          </cell>
          <cell r="L14">
            <v>23557</v>
          </cell>
          <cell r="M14">
            <v>13670</v>
          </cell>
          <cell r="N14">
            <v>37227</v>
          </cell>
          <cell r="O14">
            <v>29962</v>
          </cell>
          <cell r="P14">
            <v>25670</v>
          </cell>
          <cell r="Q14">
            <v>55632</v>
          </cell>
          <cell r="R14">
            <v>14045</v>
          </cell>
          <cell r="S14">
            <v>12019</v>
          </cell>
          <cell r="T14">
            <v>26064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>
        <row r="44">
          <cell r="AG44">
            <v>9799667</v>
          </cell>
          <cell r="AH44">
            <v>7818871</v>
          </cell>
          <cell r="AI44">
            <v>17623309</v>
          </cell>
          <cell r="AP44">
            <v>7183560</v>
          </cell>
          <cell r="AQ44">
            <v>6013853</v>
          </cell>
          <cell r="AR44">
            <v>13199625</v>
          </cell>
          <cell r="BZ44">
            <v>1687903</v>
          </cell>
          <cell r="CA44">
            <v>1379568</v>
          </cell>
          <cell r="CB44">
            <v>3067471</v>
          </cell>
          <cell r="CI44">
            <v>1150634</v>
          </cell>
          <cell r="CJ44">
            <v>977953</v>
          </cell>
          <cell r="CK44">
            <v>2128587</v>
          </cell>
          <cell r="DS44">
            <v>661275</v>
          </cell>
          <cell r="DT44">
            <v>531300</v>
          </cell>
          <cell r="DU44">
            <v>1192575</v>
          </cell>
          <cell r="EB44">
            <v>415430</v>
          </cell>
          <cell r="EC44">
            <v>332993</v>
          </cell>
          <cell r="ED44">
            <v>748423</v>
          </cell>
        </row>
      </sheetData>
      <sheetData sheetId="1">
        <row r="14">
          <cell r="C14">
            <v>318896</v>
          </cell>
          <cell r="D14">
            <v>219066</v>
          </cell>
          <cell r="E14">
            <v>537962</v>
          </cell>
          <cell r="F14">
            <v>187686</v>
          </cell>
          <cell r="G14">
            <v>117295</v>
          </cell>
          <cell r="H14">
            <v>304981</v>
          </cell>
          <cell r="I14">
            <v>54250</v>
          </cell>
          <cell r="J14">
            <v>33662</v>
          </cell>
          <cell r="K14">
            <v>87912</v>
          </cell>
          <cell r="L14">
            <v>30472</v>
          </cell>
          <cell r="M14">
            <v>18269</v>
          </cell>
          <cell r="N14">
            <v>48741</v>
          </cell>
          <cell r="O14">
            <v>36915</v>
          </cell>
          <cell r="P14">
            <v>31149</v>
          </cell>
          <cell r="Q14">
            <v>68064</v>
          </cell>
          <cell r="R14">
            <v>22923</v>
          </cell>
          <cell r="S14">
            <v>16365</v>
          </cell>
          <cell r="T14">
            <v>39288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lass-X Boardwise"/>
      <sheetName val="Board"/>
      <sheetName val="Open Board"/>
      <sheetName val="TS"/>
      <sheetName val="2016"/>
      <sheetName val="2015"/>
      <sheetName val="2014"/>
      <sheetName val="2013"/>
      <sheetName val="2012"/>
      <sheetName val="2011"/>
    </sheetNames>
    <sheetDataSet>
      <sheetData sheetId="0" refreshError="1"/>
      <sheetData sheetId="1" refreshError="1"/>
      <sheetData sheetId="2">
        <row r="51">
          <cell r="AG51">
            <v>10340418</v>
          </cell>
          <cell r="AH51">
            <v>8973973</v>
          </cell>
          <cell r="AI51">
            <v>19314391</v>
          </cell>
          <cell r="AP51">
            <v>7872615</v>
          </cell>
          <cell r="AQ51">
            <v>7004464</v>
          </cell>
          <cell r="AR51">
            <v>14877079</v>
          </cell>
          <cell r="BZ51">
            <v>1818268</v>
          </cell>
          <cell r="CA51">
            <v>1615036</v>
          </cell>
          <cell r="CB51">
            <v>3433304</v>
          </cell>
          <cell r="CI51">
            <v>1270069</v>
          </cell>
          <cell r="CJ51">
            <v>1162453</v>
          </cell>
          <cell r="CK51">
            <v>2432522</v>
          </cell>
          <cell r="DS51">
            <v>761861</v>
          </cell>
          <cell r="DT51">
            <v>735819</v>
          </cell>
          <cell r="DU51">
            <v>1497680</v>
          </cell>
          <cell r="EB51">
            <v>510415</v>
          </cell>
          <cell r="EC51">
            <v>493280</v>
          </cell>
          <cell r="ED51">
            <v>1003695</v>
          </cell>
        </row>
      </sheetData>
      <sheetData sheetId="3">
        <row r="15">
          <cell r="C15">
            <v>416151</v>
          </cell>
          <cell r="D15">
            <v>230386</v>
          </cell>
          <cell r="E15">
            <v>646537</v>
          </cell>
          <cell r="F15">
            <v>153640</v>
          </cell>
          <cell r="G15">
            <v>97756</v>
          </cell>
          <cell r="H15">
            <v>251396</v>
          </cell>
          <cell r="I15">
            <v>62764</v>
          </cell>
          <cell r="J15">
            <v>36693</v>
          </cell>
          <cell r="K15">
            <v>99457</v>
          </cell>
          <cell r="L15">
            <v>22025</v>
          </cell>
          <cell r="M15">
            <v>15076</v>
          </cell>
          <cell r="N15">
            <v>37101</v>
          </cell>
          <cell r="O15">
            <v>43692</v>
          </cell>
          <cell r="P15">
            <v>36302</v>
          </cell>
          <cell r="Q15">
            <v>79994</v>
          </cell>
          <cell r="R15">
            <v>17229</v>
          </cell>
          <cell r="S15">
            <v>15876</v>
          </cell>
          <cell r="T15">
            <v>33105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 board"/>
      <sheetName val="TS"/>
      <sheetName val="Pass%TS"/>
      <sheetName val="Chart"/>
      <sheetName val="State-wise"/>
      <sheetName val="Sheet1"/>
    </sheetNames>
    <sheetDataSet>
      <sheetData sheetId="0">
        <row r="44">
          <cell r="AG44">
            <v>10042685</v>
          </cell>
        </row>
      </sheetData>
      <sheetData sheetId="1">
        <row r="14">
          <cell r="C14">
            <v>347228</v>
          </cell>
          <cell r="D14">
            <v>200891</v>
          </cell>
          <cell r="E14">
            <v>548119</v>
          </cell>
          <cell r="F14">
            <v>217754</v>
          </cell>
          <cell r="G14">
            <v>128039</v>
          </cell>
          <cell r="H14">
            <v>345793</v>
          </cell>
          <cell r="I14">
            <v>56716</v>
          </cell>
          <cell r="J14">
            <v>29791</v>
          </cell>
          <cell r="K14">
            <v>86507</v>
          </cell>
          <cell r="L14">
            <v>35086</v>
          </cell>
          <cell r="M14">
            <v>18274</v>
          </cell>
          <cell r="N14">
            <v>53360</v>
          </cell>
          <cell r="O14">
            <v>39167</v>
          </cell>
          <cell r="P14">
            <v>28097</v>
          </cell>
          <cell r="Q14">
            <v>67264</v>
          </cell>
          <cell r="R14">
            <v>21215</v>
          </cell>
          <cell r="S14">
            <v>17900</v>
          </cell>
          <cell r="T14">
            <v>39115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OpenBoard"/>
      <sheetName val="TS"/>
      <sheetName val="Pass%TS"/>
      <sheetName val="Sheet1"/>
    </sheetNames>
    <sheetDataSet>
      <sheetData sheetId="0" refreshError="1"/>
      <sheetData sheetId="1">
        <row r="14">
          <cell r="C14">
            <v>397611</v>
          </cell>
          <cell r="D14">
            <v>212752</v>
          </cell>
          <cell r="E14">
            <v>610363</v>
          </cell>
          <cell r="F14">
            <v>220126</v>
          </cell>
          <cell r="G14">
            <v>128848</v>
          </cell>
          <cell r="H14">
            <v>348974</v>
          </cell>
          <cell r="I14">
            <v>60124</v>
          </cell>
          <cell r="J14">
            <v>29784</v>
          </cell>
          <cell r="K14">
            <v>89908</v>
          </cell>
          <cell r="L14">
            <v>33032</v>
          </cell>
          <cell r="M14">
            <v>16829</v>
          </cell>
          <cell r="N14">
            <v>49861</v>
          </cell>
          <cell r="O14">
            <v>41501</v>
          </cell>
          <cell r="P14">
            <v>34982</v>
          </cell>
          <cell r="Q14">
            <v>76483</v>
          </cell>
          <cell r="R14">
            <v>22331</v>
          </cell>
          <cell r="S14">
            <v>19759</v>
          </cell>
          <cell r="T14">
            <v>42090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shree" refreshedDate="43348.458288194444" createdVersion="3" refreshedVersion="3" minRefreshableVersion="3" recordCount="48">
  <cacheSource type="worksheet">
    <worksheetSource ref="A2:EK50" sheet="Class-X Boardwise"/>
  </cacheSource>
  <cacheFields count="141">
    <cacheField name="Sr No." numFmtId="0">
      <sharedItems containsString="0" containsBlank="1" containsNumber="1" containsInteger="1" minValue="1" maxValue="44" count="45">
        <n v="1"/>
        <n v="2"/>
        <n v="3"/>
        <n v="4"/>
        <n v="5"/>
        <n v="6"/>
        <n v="7"/>
        <n v="8"/>
        <n v="9"/>
        <n v="10"/>
        <n v="11"/>
        <m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</sharedItems>
    </cacheField>
    <cacheField name="Board Name" numFmtId="0">
      <sharedItems containsBlank="1" count="45">
        <s v="UP Madhyamik Shiksha Parishad"/>
        <s v="New Delhi Rashtriya Sanskrit Sansthan"/>
        <s v="Banasthali Vidyapith , Rajasthan"/>
        <s v="Bihar School Education Board"/>
        <s v="Chhattisgarh Board of Secondary Education"/>
        <s v="Chhatisgarh Sanskriti Vidya Mandalam"/>
        <s v="Goa Board of Secondary &amp; Higher Secondary Education"/>
        <s v="Gujarat Secondary &amp; Higher Secondary Education Board"/>
        <s v="Board of School Education Haryana"/>
        <s v="H.P. Board of School Education"/>
        <s v="Madhya Pradesh Maharshi Patanjali Sanskrit Sansthan"/>
        <s v="Madhya Pradesh Board of Secondary Education "/>
        <s v="Board of Secondary Education, Odisha"/>
        <s v="Punjab School Education Board"/>
        <s v="U.P. Dayalbag Education Institute"/>
        <s v="Uttarakhand Sanskriti Shiksha   Parishad"/>
        <s v="Uttarakhand Board of School Education"/>
        <s v="State Madrassa Education Board, Assam"/>
        <s v="Assam Sanskrit Board"/>
        <s v="Central Board of Secondary Education, New Delhi"/>
        <s v="Nagaland Board of School Education"/>
        <s v="Aligarh Muslim University Board of Secondary &amp; Sr.Secondary Education"/>
        <s v="Director of Government Examination Telangana"/>
        <s v="Chhattisgarh Madarsa Board"/>
        <s v="Jharkhand Academic Council, Ranchi"/>
        <s v="J.K State Board of School Education"/>
        <s v="Council for the Indian School Certificate Examinations,                     New Delhi"/>
        <s v="Tripura Board of Secondary Education"/>
        <s v="West Bengal Board of Secondary Education"/>
        <s v="Meghalaya Board of School Education"/>
        <s v="Andhra Pradesh, Board of Secondary Education "/>
        <s v="Maharashtra State Board of Secondary Education"/>
        <s v="Kerala Board of Public Examination (Secondary Wing)"/>
        <s v="West Bengal Board of Madrasah Education "/>
        <s v="Karnataka, Secondary Education Examination Board"/>
        <s v="Bihar State Madrasa Education Board, Vidyapati Marg, Patna"/>
        <s v=" Board of Secondary Education, Rajasthan"/>
        <s v="Assam Board of Secondary Education  "/>
        <s v="Board of Secondary Education, Manipur"/>
        <s v="Mizoram Board of School Education"/>
        <s v="Tamilnadu board of Secondary Education"/>
        <s v="Bihar Sanskrit Board of Education"/>
        <s v="Maharshi Patanjali Sanskrit Sansthan,Bhopal(Madhya Pradesh)"/>
        <s v="UP Madhyamik Sanskrit Shiksha Parishad"/>
        <m/>
      </sharedItems>
    </cacheField>
    <cacheField name="Name of Examination" numFmtId="0">
      <sharedItems containsBlank="1"/>
    </cacheField>
    <cacheField name="Commencement" numFmtId="0">
      <sharedItems containsDate="1" containsBlank="1" containsMixedTypes="1" minDate="2016-04-01T00:00:00" maxDate="2017-10-06T00:00:00"/>
    </cacheField>
    <cacheField name="Completion" numFmtId="0">
      <sharedItems containsDate="1" containsBlank="1" containsMixedTypes="1" minDate="2017-01-04T00:00:00" maxDate="2017-10-13T00:00:00"/>
    </cacheField>
    <cacheField name="Commencement2" numFmtId="0">
      <sharedItems containsDate="1" containsBlank="1" containsMixedTypes="1" minDate="2017-02-06T00:00:00" maxDate="2017-08-11T00:00:00"/>
    </cacheField>
    <cacheField name="Completion2" numFmtId="0">
      <sharedItems containsDate="1" containsBlank="1" containsMixedTypes="1" minDate="2017-02-18T00:00:00" maxDate="2017-10-07T00:00:00"/>
    </cacheField>
    <cacheField name="Government" numFmtId="0">
      <sharedItems containsString="0" containsBlank="1" containsNumber="1" containsInteger="1" minValue="0" maxValue="13414"/>
    </cacheField>
    <cacheField name="Government Aided" numFmtId="0">
      <sharedItems containsBlank="1" containsMixedTypes="1" containsNumber="1" containsInteger="1" minValue="0" maxValue="21684"/>
    </cacheField>
    <cacheField name="Government Unaided" numFmtId="0">
      <sharedItems containsString="0" containsBlank="1" containsNumber="1" containsInteger="1" minValue="0" maxValue="17901"/>
    </cacheField>
    <cacheField name="Total" numFmtId="0">
      <sharedItems containsString="0" containsBlank="1" containsNumber="1" containsInteger="1" minValue="0" maxValue="26758"/>
    </cacheField>
    <cacheField name="Government2" numFmtId="0">
      <sharedItems containsString="0" containsBlank="1" containsNumber="1" containsInteger="1" minValue="0" maxValue="688078"/>
    </cacheField>
    <cacheField name="Government Aided2" numFmtId="0">
      <sharedItems containsString="0" containsBlank="1" containsNumber="1" containsInteger="1" minValue="0" maxValue="1755005"/>
    </cacheField>
    <cacheField name="Government Unaided2" numFmtId="0">
      <sharedItems containsString="0" containsBlank="1" containsNumber="1" containsInteger="1" minValue="0" maxValue="1936785"/>
    </cacheField>
    <cacheField name="Total2" numFmtId="0">
      <sharedItems containsString="0" containsBlank="1" containsNumber="1" containsInteger="1" minValue="0" maxValue="2858471"/>
    </cacheField>
    <cacheField name="Government3" numFmtId="0">
      <sharedItems containsString="0" containsBlank="1" containsNumber="1" containsInteger="1" minValue="0" maxValue="395078"/>
    </cacheField>
    <cacheField name="Government Aided3" numFmtId="0">
      <sharedItems containsString="0" containsBlank="1" containsNumber="1" containsInteger="1" minValue="0" maxValue="1537034"/>
    </cacheField>
    <cacheField name="Government Unaided3" numFmtId="0">
      <sharedItems containsString="0" containsBlank="1" containsNumber="1" containsInteger="1" minValue="0" maxValue="1625513"/>
    </cacheField>
    <cacheField name="Total3" numFmtId="0">
      <sharedItems containsString="0" containsBlank="1" containsNumber="1" containsInteger="1" minValue="0" maxValue="2327610"/>
    </cacheField>
    <cacheField name="Pass %" numFmtId="0">
      <sharedItems containsMixedTypes="1" containsNumber="1" minValue="0" maxValue="98.54"/>
    </cacheField>
    <cacheField name="100%" numFmtId="0">
      <sharedItems containsString="0" containsBlank="1" containsNumber="1" containsInteger="1" minValue="0" maxValue="11413"/>
    </cacheField>
    <cacheField name="100%-90%" numFmtId="0">
      <sharedItems containsString="0" containsBlank="1" containsNumber="1" containsInteger="1" minValue="0" maxValue="8188"/>
    </cacheField>
    <cacheField name="90%-80%" numFmtId="0">
      <sharedItems containsString="0" containsBlank="1" containsNumber="1" containsInteger="1" minValue="0" maxValue="6237"/>
    </cacheField>
    <cacheField name="80%-70%" numFmtId="0">
      <sharedItems containsString="0" containsBlank="1" containsNumber="1" containsInteger="1" minValue="0" maxValue="4518"/>
    </cacheField>
    <cacheField name="70%-60%" numFmtId="0">
      <sharedItems containsString="0" containsBlank="1" containsNumber="1" containsInteger="1" minValue="0" maxValue="3344"/>
    </cacheField>
    <cacheField name="60%-50%" numFmtId="0">
      <sharedItems containsString="0" containsBlank="1" containsNumber="1" containsInteger="1" minValue="0" maxValue="2163"/>
    </cacheField>
    <cacheField name="50%" numFmtId="0">
      <sharedItems containsString="0" containsBlank="1" containsNumber="1" containsInteger="1" minValue="0" maxValue="6419"/>
    </cacheField>
    <cacheField name="Total Differ" numFmtId="0">
      <sharedItems containsSemiMixedTypes="0" containsString="0" containsNumber="1" containsInteger="1" minValue="-12188" maxValue="305"/>
    </cacheField>
    <cacheField name="All Boys" numFmtId="0">
      <sharedItems containsSemiMixedTypes="0" containsString="0" containsNumber="1" containsInteger="1" minValue="0" maxValue="1520426"/>
    </cacheField>
    <cacheField name="All girls" numFmtId="0">
      <sharedItems containsSemiMixedTypes="0" containsString="0" containsNumber="1" containsInteger="1" minValue="0" maxValue="1338045"/>
    </cacheField>
    <cacheField name="All " numFmtId="0">
      <sharedItems containsSemiMixedTypes="0" containsString="0" containsNumber="1" containsInteger="1" minValue="0" maxValue="2858471"/>
    </cacheField>
    <cacheField name="SC Boys " numFmtId="0">
      <sharedItems containsSemiMixedTypes="0" containsString="0" containsNumber="1" containsInteger="1" minValue="0" maxValue="345966"/>
    </cacheField>
    <cacheField name="SC Girls" numFmtId="0">
      <sharedItems containsSemiMixedTypes="0" containsString="0" containsNumber="1" containsInteger="1" minValue="0" maxValue="301752"/>
    </cacheField>
    <cacheField name="SC all" numFmtId="0">
      <sharedItems containsSemiMixedTypes="0" containsString="0" containsNumber="1" containsInteger="1" minValue="0" maxValue="647718"/>
    </cacheField>
    <cacheField name="ST Boys " numFmtId="0">
      <sharedItems containsSemiMixedTypes="0" containsString="0" containsNumber="1" containsInteger="1" minValue="0" maxValue="83241"/>
    </cacheField>
    <cacheField name="ST girls" numFmtId="0">
      <sharedItems containsSemiMixedTypes="0" containsString="0" containsNumber="1" containsInteger="1" minValue="0" maxValue="67356"/>
    </cacheField>
    <cacheField name="ST All" numFmtId="0">
      <sharedItems containsSemiMixedTypes="0" containsString="0" containsNumber="1" containsInteger="1" minValue="0" maxValue="149543"/>
    </cacheField>
    <cacheField name="All Boys2" numFmtId="0">
      <sharedItems containsSemiMixedTypes="0" containsString="0" containsNumber="1" containsInteger="1" minValue="0" maxValue="1167948"/>
    </cacheField>
    <cacheField name="All girls2" numFmtId="0">
      <sharedItems containsSemiMixedTypes="0" containsString="0" containsNumber="1" containsInteger="1" minValue="0" maxValue="1159662"/>
    </cacheField>
    <cacheField name="All 2" numFmtId="0">
      <sharedItems containsSemiMixedTypes="0" containsString="0" containsNumber="1" containsInteger="1" minValue="0" maxValue="2327610"/>
    </cacheField>
    <cacheField name="SC Boys 2" numFmtId="0">
      <sharedItems containsSemiMixedTypes="0" containsString="0" containsNumber="1" containsInteger="1" minValue="0" maxValue="242066"/>
    </cacheField>
    <cacheField name="SC Girls2" numFmtId="0">
      <sharedItems containsSemiMixedTypes="0" containsString="0" containsNumber="1" containsInteger="1" minValue="0" maxValue="238925"/>
    </cacheField>
    <cacheField name="SC all2" numFmtId="0">
      <sharedItems containsSemiMixedTypes="0" containsString="0" containsNumber="1" containsInteger="1" minValue="0" maxValue="480991"/>
    </cacheField>
    <cacheField name="ST Boys 2" numFmtId="0">
      <sharedItems containsSemiMixedTypes="0" containsString="0" containsNumber="1" containsInteger="1" minValue="0" maxValue="63430"/>
    </cacheField>
    <cacheField name="ST girls2" numFmtId="0">
      <sharedItems containsSemiMixedTypes="0" containsString="0" containsNumber="1" containsInteger="1" minValue="0" maxValue="54168"/>
    </cacheField>
    <cacheField name="ST All2" numFmtId="0">
      <sharedItems containsSemiMixedTypes="0" containsString="0" containsNumber="1" containsInteger="1" minValue="0" maxValue="117598"/>
    </cacheField>
    <cacheField name="All Boys3" numFmtId="0">
      <sharedItems containsString="0" containsBlank="1" containsNumber="1" containsInteger="1" minValue="0" maxValue="66564"/>
    </cacheField>
    <cacheField name="All girls3" numFmtId="0">
      <sharedItems containsString="0" containsBlank="1" containsNumber="1" containsInteger="1" minValue="0" maxValue="61994"/>
    </cacheField>
    <cacheField name="All 3" numFmtId="0">
      <sharedItems containsSemiMixedTypes="0" containsString="0" containsNumber="1" containsInteger="1" minValue="0" maxValue="124631"/>
    </cacheField>
    <cacheField name="SC Boys 3" numFmtId="0">
      <sharedItems containsString="0" containsBlank="1" containsNumber="1" containsInteger="1" minValue="0" maxValue="14209"/>
    </cacheField>
    <cacheField name="SC Girls3" numFmtId="0">
      <sharedItems containsString="0" containsBlank="1" containsNumber="1" containsInteger="1" minValue="0" maxValue="10915"/>
    </cacheField>
    <cacheField name="SC all3" numFmtId="0">
      <sharedItems containsSemiMixedTypes="0" containsString="0" containsNumber="1" containsInteger="1" minValue="0" maxValue="25124"/>
    </cacheField>
    <cacheField name="ST Boys 3" numFmtId="0">
      <sharedItems containsString="0" containsBlank="1" containsNumber="1" containsInteger="1" minValue="0" maxValue="8174"/>
    </cacheField>
    <cacheField name="ST girls3" numFmtId="0">
      <sharedItems containsString="0" containsBlank="1" containsNumber="1" containsInteger="1" minValue="0" maxValue="9909"/>
    </cacheField>
    <cacheField name="ST All3" numFmtId="0">
      <sharedItems containsSemiMixedTypes="0" containsString="0" containsNumber="1" containsInteger="1" minValue="0" maxValue="18083"/>
    </cacheField>
    <cacheField name="All Boys4" numFmtId="0">
      <sharedItems containsString="0" containsBlank="1" containsNumber="1" containsInteger="1" minValue="0" maxValue="1168129"/>
    </cacheField>
    <cacheField name="All girls4" numFmtId="0">
      <sharedItems containsString="0" containsBlank="1" containsNumber="1" containsInteger="1" minValue="0" maxValue="1159726"/>
    </cacheField>
    <cacheField name="All 4" numFmtId="0">
      <sharedItems containsSemiMixedTypes="0" containsString="0" containsNumber="1" containsInteger="1" minValue="0" maxValue="2327855"/>
    </cacheField>
    <cacheField name="SC Boys 4" numFmtId="0">
      <sharedItems containsString="0" containsBlank="1" containsNumber="1" containsInteger="1" minValue="0" maxValue="242093"/>
    </cacheField>
    <cacheField name="SC Girls4" numFmtId="0">
      <sharedItems containsString="0" containsBlank="1" containsNumber="1" containsInteger="1" minValue="0" maxValue="238941"/>
    </cacheField>
    <cacheField name="SC all4" numFmtId="0">
      <sharedItems containsSemiMixedTypes="0" containsString="0" containsNumber="1" containsInteger="1" minValue="0" maxValue="481034"/>
    </cacheField>
    <cacheField name="ST Boys 4" numFmtId="0">
      <sharedItems containsString="0" containsBlank="1" containsNumber="1" containsInteger="1" minValue="0" maxValue="65083"/>
    </cacheField>
    <cacheField name="ST girls4" numFmtId="0">
      <sharedItems containsString="0" containsBlank="1" containsNumber="1" containsInteger="1" minValue="0" maxValue="55251"/>
    </cacheField>
    <cacheField name="ST All4" numFmtId="0">
      <sharedItems containsSemiMixedTypes="0" containsString="0" containsNumber="1" containsInteger="1" minValue="0" maxValue="120334"/>
    </cacheField>
    <cacheField name="All Boys5" numFmtId="0">
      <sharedItems containsMixedTypes="1" containsNumber="1" minValue="0" maxValue="100"/>
    </cacheField>
    <cacheField name="All girls5" numFmtId="0">
      <sharedItems containsMixedTypes="1" containsNumber="1" minValue="0" maxValue="99.14"/>
    </cacheField>
    <cacheField name="All 5" numFmtId="0">
      <sharedItems containsMixedTypes="1" containsNumber="1" minValue="0" maxValue="99.21"/>
    </cacheField>
    <cacheField name="SC Boys 5" numFmtId="0">
      <sharedItems containsMixedTypes="1" containsNumber="1" minValue="0" maxValue="100"/>
    </cacheField>
    <cacheField name="SC Girls5" numFmtId="0">
      <sharedItems containsMixedTypes="1" containsNumber="1" minValue="0" maxValue="100"/>
    </cacheField>
    <cacheField name="SC all5" numFmtId="0">
      <sharedItems containsMixedTypes="1" containsNumber="1" minValue="0" maxValue="100"/>
    </cacheField>
    <cacheField name="ST Boys 5" numFmtId="0">
      <sharedItems containsMixedTypes="1" containsNumber="1" minValue="0" maxValue="97.77"/>
    </cacheField>
    <cacheField name="ST girls5" numFmtId="0">
      <sharedItems containsMixedTypes="1" containsNumber="1" minValue="0" maxValue="100"/>
    </cacheField>
    <cacheField name="ST All5" numFmtId="0">
      <sharedItems containsMixedTypes="1" containsNumber="1" minValue="0" maxValue="100"/>
    </cacheField>
    <cacheField name="P_All Boys" numFmtId="0">
      <sharedItems containsString="0" containsBlank="1" containsNumber="1" containsInteger="1" minValue="0" maxValue="184192"/>
    </cacheField>
    <cacheField name="All girls6" numFmtId="0">
      <sharedItems containsString="0" containsBlank="1" containsNumber="1" containsInteger="1" minValue="0" maxValue="130125"/>
    </cacheField>
    <cacheField name="All 6" numFmtId="0">
      <sharedItems containsSemiMixedTypes="0" containsString="0" containsNumber="1" containsInteger="1" minValue="0" maxValue="314317"/>
    </cacheField>
    <cacheField name="SC Boys 6" numFmtId="0">
      <sharedItems containsSemiMixedTypes="0" containsString="0" containsNumber="1" containsInteger="1" minValue="0" maxValue="37649"/>
    </cacheField>
    <cacheField name="SC Girls6" numFmtId="0">
      <sharedItems containsSemiMixedTypes="0" containsString="0" containsNumber="1" containsInteger="1" minValue="0" maxValue="30511"/>
    </cacheField>
    <cacheField name="SC all6" numFmtId="0">
      <sharedItems containsSemiMixedTypes="0" containsString="0" containsNumber="1" containsInteger="1" minValue="0" maxValue="64192"/>
    </cacheField>
    <cacheField name="ST Boys 6" numFmtId="0">
      <sharedItems containsSemiMixedTypes="0" containsString="0" containsNumber="1" containsInteger="1" minValue="0" maxValue="41680"/>
    </cacheField>
    <cacheField name="ST girls6" numFmtId="0">
      <sharedItems containsSemiMixedTypes="0" containsString="0" containsNumber="1" containsInteger="1" minValue="0" maxValue="33256"/>
    </cacheField>
    <cacheField name="ST All6" numFmtId="0">
      <sharedItems containsSemiMixedTypes="0" containsString="0" containsNumber="1" containsInteger="1" minValue="0" maxValue="74936"/>
    </cacheField>
    <cacheField name="PP_All Boys" numFmtId="0">
      <sharedItems containsSemiMixedTypes="0" containsString="0" containsNumber="1" containsInteger="1" minValue="0" maxValue="86223"/>
    </cacheField>
    <cacheField name="All girls7" numFmtId="0">
      <sharedItems containsSemiMixedTypes="0" containsString="0" containsNumber="1" containsInteger="1" minValue="0" maxValue="28593"/>
    </cacheField>
    <cacheField name="All 7" numFmtId="0">
      <sharedItems containsSemiMixedTypes="0" containsString="0" containsNumber="1" containsInteger="1" minValue="0" maxValue="106632"/>
    </cacheField>
    <cacheField name="SC Boys 7" numFmtId="0">
      <sharedItems containsSemiMixedTypes="0" containsString="0" containsNumber="1" containsInteger="1" minValue="0" maxValue="12768"/>
    </cacheField>
    <cacheField name="SC Girls7" numFmtId="0">
      <sharedItems containsSemiMixedTypes="0" containsString="0" containsNumber="1" containsInteger="1" minValue="0" maxValue="5331"/>
    </cacheField>
    <cacheField name="SC all7" numFmtId="0">
      <sharedItems containsSemiMixedTypes="0" containsString="0" containsNumber="1" containsInteger="1" minValue="0" maxValue="15549"/>
    </cacheField>
    <cacheField name="ST Boys 7" numFmtId="0">
      <sharedItems containsSemiMixedTypes="0" containsString="0" containsNumber="1" containsInteger="1" minValue="0" maxValue="6094"/>
    </cacheField>
    <cacheField name="ST girls7" numFmtId="0">
      <sharedItems containsSemiMixedTypes="0" containsString="0" containsNumber="1" containsInteger="1" minValue="0" maxValue="6011"/>
    </cacheField>
    <cacheField name="ST All7" numFmtId="0">
      <sharedItems containsSemiMixedTypes="0" containsString="0" containsNumber="1" containsInteger="1" minValue="0" maxValue="12105"/>
    </cacheField>
    <cacheField name="PPS_All Boys" numFmtId="0">
      <sharedItems containsSemiMixedTypes="0" containsString="0" containsNumber="1" containsInteger="1" minValue="0" maxValue="19999"/>
    </cacheField>
    <cacheField name="All girls8" numFmtId="0">
      <sharedItems containsSemiMixedTypes="0" containsString="0" containsNumber="1" containsInteger="1" minValue="0" maxValue="17113"/>
    </cacheField>
    <cacheField name="All 8" numFmtId="0">
      <sharedItems containsSemiMixedTypes="0" containsString="0" containsNumber="1" containsInteger="1" minValue="0" maxValue="37112"/>
    </cacheField>
    <cacheField name="SC Boys 8" numFmtId="0">
      <sharedItems containsSemiMixedTypes="0" containsString="0" containsNumber="1" containsInteger="1" minValue="0" maxValue="3968"/>
    </cacheField>
    <cacheField name="SC Girls8" numFmtId="0">
      <sharedItems containsSemiMixedTypes="0" containsString="0" containsNumber="1" containsInteger="1" minValue="0" maxValue="3369"/>
    </cacheField>
    <cacheField name="SC all8" numFmtId="0">
      <sharedItems containsSemiMixedTypes="0" containsString="0" containsNumber="1" containsInteger="1" minValue="0" maxValue="7337"/>
    </cacheField>
    <cacheField name="ST Boys 8" numFmtId="0">
      <sharedItems containsSemiMixedTypes="0" containsString="0" containsNumber="1" containsInteger="1" minValue="0" maxValue="3975"/>
    </cacheField>
    <cacheField name="ST girls8" numFmtId="0">
      <sharedItems containsSemiMixedTypes="0" containsString="0" containsNumber="1" containsInteger="1" minValue="0" maxValue="3548"/>
    </cacheField>
    <cacheField name="ST All8" numFmtId="0">
      <sharedItems containsSemiMixedTypes="0" containsString="0" containsNumber="1" containsInteger="1" minValue="0" maxValue="7523"/>
    </cacheField>
    <cacheField name="All Boys6" numFmtId="0">
      <sharedItems containsSemiMixedTypes="0" containsString="0" containsNumber="1" containsInteger="1" minValue="0" maxValue="86248"/>
    </cacheField>
    <cacheField name="All girls9" numFmtId="0">
      <sharedItems containsSemiMixedTypes="0" containsString="0" containsNumber="1" containsInteger="1" minValue="0" maxValue="30267"/>
    </cacheField>
    <cacheField name="All 9" numFmtId="0">
      <sharedItems containsSemiMixedTypes="0" containsString="0" containsNumber="1" containsInteger="1" minValue="0" maxValue="106660"/>
    </cacheField>
    <cacheField name="SC Boys 9" numFmtId="0">
      <sharedItems containsSemiMixedTypes="0" containsString="0" containsNumber="1" containsInteger="1" minValue="0" maxValue="12773"/>
    </cacheField>
    <cacheField name="SC Girls9" numFmtId="0">
      <sharedItems containsSemiMixedTypes="0" containsString="0" containsNumber="1" containsInteger="1" minValue="0" maxValue="5855"/>
    </cacheField>
    <cacheField name="SC all9" numFmtId="0">
      <sharedItems containsSemiMixedTypes="0" containsString="0" containsNumber="1" containsInteger="1" minValue="0" maxValue="15555"/>
    </cacheField>
    <cacheField name="ST Boys 9" numFmtId="0">
      <sharedItems containsSemiMixedTypes="0" containsString="0" containsNumber="1" containsInteger="1" minValue="0" maxValue="7902"/>
    </cacheField>
    <cacheField name="ST girls9" numFmtId="0">
      <sharedItems containsSemiMixedTypes="0" containsString="0" containsNumber="1" containsInteger="1" minValue="0" maxValue="6387"/>
    </cacheField>
    <cacheField name="ST All9" numFmtId="0">
      <sharedItems containsSemiMixedTypes="0" containsString="0" containsNumber="1" containsInteger="1" minValue="0" maxValue="14289"/>
    </cacheField>
    <cacheField name="All Boys7" numFmtId="0">
      <sharedItems containsMixedTypes="1" containsNumber="1" minValue="0" maxValue="100"/>
    </cacheField>
    <cacheField name="All girls10" numFmtId="0">
      <sharedItems containsMixedTypes="1" containsNumber="1" minValue="0" maxValue="118.5"/>
    </cacheField>
    <cacheField name="All 10" numFmtId="0">
      <sharedItems containsMixedTypes="1" containsNumber="1" minValue="0" maxValue="118.5"/>
    </cacheField>
    <cacheField name="SC Boys 10" numFmtId="0">
      <sharedItems containsMixedTypes="1" containsNumber="1" minValue="0" maxValue="84.34"/>
    </cacheField>
    <cacheField name="SC Girls10" numFmtId="0">
      <sharedItems containsMixedTypes="1" containsNumber="1" minValue="0" maxValue="100"/>
    </cacheField>
    <cacheField name="SC all10" numFmtId="0">
      <sharedItems containsMixedTypes="1" containsNumber="1" minValue="0" maxValue="100"/>
    </cacheField>
    <cacheField name="ST Boys 10" numFmtId="0">
      <sharedItems containsMixedTypes="1" containsNumber="1" minValue="0" maxValue="100"/>
    </cacheField>
    <cacheField name="ST girls10" numFmtId="0">
      <sharedItems containsMixedTypes="1" containsNumber="1" minValue="0" maxValue="77.78"/>
    </cacheField>
    <cacheField name="ST All10" numFmtId="0">
      <sharedItems containsMixedTypes="1" containsNumber="1" minValue="0" maxValue="100"/>
    </cacheField>
    <cacheField name="pas All Boys" numFmtId="0">
      <sharedItems containsString="0" containsBlank="1" containsNumber="1" containsInteger="1" minValue="0" maxValue="823632" count="35">
        <n v="823632"/>
        <n v="249"/>
        <n v="16"/>
        <n v="0"/>
        <n v="23202"/>
        <n v="3978"/>
        <n v="110087"/>
        <n v="61969"/>
        <n v="27097"/>
        <m/>
        <n v="107790"/>
        <n v="91109"/>
        <n v="92147"/>
        <n v="93"/>
        <n v="145"/>
        <n v="12783"/>
        <n v="25995"/>
        <n v="722065"/>
        <n v="2770"/>
        <n v="853"/>
        <n v="65663"/>
        <n v="21416"/>
        <n v="83269"/>
        <n v="2325"/>
        <n v="27813"/>
        <n v="677"/>
        <n v="445593"/>
        <n v="1307"/>
        <n v="193561"/>
        <n v="3"/>
        <n v="176070"/>
        <n v="486"/>
        <n v="1885"/>
        <n v="348603"/>
        <n v="6530"/>
      </sharedItems>
    </cacheField>
    <cacheField name="Pas All girls" numFmtId="0">
      <sharedItems containsString="0" containsBlank="1" containsNumber="1" containsInteger="1" minValue="0" maxValue="887607" count="36">
        <n v="887607"/>
        <n v="165"/>
        <n v="189"/>
        <n v="0"/>
        <n v="25872"/>
        <n v="5501"/>
        <n v="95894"/>
        <n v="65106"/>
        <n v="29637"/>
        <m/>
        <n v="104394"/>
        <n v="99385"/>
        <n v="98190"/>
        <n v="94"/>
        <n v="13"/>
        <n v="18737"/>
        <n v="30514"/>
        <n v="512751"/>
        <n v="3525"/>
        <n v="733"/>
        <n v="3"/>
        <n v="59738"/>
        <n v="20451"/>
        <n v="71783"/>
        <n v="2155"/>
        <n v="20599"/>
        <n v="828"/>
        <n v="452596"/>
        <n v="1846"/>
        <n v="233022"/>
        <n v="1"/>
        <n v="134498"/>
        <n v="473"/>
        <n v="2233"/>
        <n v="406794"/>
        <n v="3080"/>
      </sharedItems>
    </cacheField>
    <cacheField name="All 11" numFmtId="0">
      <sharedItems containsSemiMixedTypes="0" containsString="0" containsNumber="1" containsInteger="1" minValue="0" maxValue="1711239" count="36">
        <n v="1711239"/>
        <n v="414"/>
        <n v="205"/>
        <n v="0"/>
        <n v="49074"/>
        <n v="9479"/>
        <n v="205981"/>
        <n v="127075"/>
        <n v="56734"/>
        <n v="212184"/>
        <n v="190494"/>
        <n v="190337"/>
        <n v="187"/>
        <n v="158"/>
        <n v="31520"/>
        <n v="56509"/>
        <n v="1234816"/>
        <n v="6295"/>
        <n v="1586"/>
        <n v="3"/>
        <n v="125401"/>
        <n v="41867"/>
        <n v="155052"/>
        <n v="4480"/>
        <n v="48412"/>
        <n v="1505"/>
        <n v="898189"/>
        <n v="72371"/>
        <n v="3153"/>
        <n v="426583"/>
        <n v="4"/>
        <n v="310568"/>
        <n v="959"/>
        <n v="4118"/>
        <n v="755397"/>
        <n v="9610"/>
      </sharedItems>
    </cacheField>
    <cacheField name="SC Boys 11" numFmtId="0">
      <sharedItems containsString="0" containsBlank="1" containsNumber="1" containsInteger="1" minValue="0" maxValue="154120" count="31">
        <n v="154120"/>
        <n v="16"/>
        <n v="1"/>
        <n v="0"/>
        <n v="3074"/>
        <n v="33"/>
        <n v="6300"/>
        <n v="10210"/>
        <n v="6430"/>
        <m/>
        <n v="15997"/>
        <n v="13736"/>
        <n v="26097"/>
        <n v="15"/>
        <n v="2194"/>
        <n v="1922"/>
        <n v="48276"/>
        <n v="43"/>
        <n v="10"/>
        <n v="6526"/>
        <n v="3732"/>
        <n v="510"/>
        <n v="4152"/>
        <n v="7"/>
        <n v="50994"/>
        <n v="30451"/>
        <n v="25724"/>
        <n v="20"/>
        <n v="5"/>
        <n v="69963"/>
        <n v="550"/>
      </sharedItems>
    </cacheField>
    <cacheField name="SC Girls11" numFmtId="0">
      <sharedItems containsString="0" containsBlank="1" containsNumber="1" containsInteger="1" minValue="0" maxValue="164020" count="32">
        <n v="164020"/>
        <n v="39"/>
        <n v="3"/>
        <n v="0"/>
        <n v="3154"/>
        <n v="59"/>
        <n v="5816"/>
        <n v="11276"/>
        <n v="7738"/>
        <m/>
        <n v="13136"/>
        <n v="14621"/>
        <n v="33745"/>
        <n v="12"/>
        <n v="3389"/>
        <n v="1726"/>
        <n v="33982"/>
        <n v="27"/>
        <n v="7"/>
        <n v="4954"/>
        <n v="2965"/>
        <n v="456"/>
        <n v="2688"/>
        <n v="6"/>
        <n v="55163"/>
        <n v="11"/>
        <n v="34325"/>
        <n v="17687"/>
        <n v="38"/>
        <n v="8"/>
        <n v="89856"/>
        <n v="680"/>
      </sharedItems>
    </cacheField>
    <cacheField name="SC all11" numFmtId="0">
      <sharedItems containsSemiMixedTypes="0" containsString="0" containsNumber="1" containsInteger="1" minValue="0" maxValue="318140"/>
    </cacheField>
    <cacheField name="ST Boys 11" numFmtId="0">
      <sharedItems containsString="0" containsBlank="1" containsNumber="1" containsInteger="1" minValue="0" maxValue="27132" count="30">
        <n v="6079"/>
        <n v="4"/>
        <n v="0"/>
        <n v="4162"/>
        <n v="357"/>
        <n v="7337"/>
        <n v="26"/>
        <n v="1572"/>
        <m/>
        <n v="9372"/>
        <n v="12231"/>
        <n v="18"/>
        <n v="9"/>
        <n v="454"/>
        <n v="3797"/>
        <n v="18426"/>
        <n v="2357"/>
        <n v="11880"/>
        <n v="2150"/>
        <n v="128"/>
        <n v="253"/>
        <n v="528"/>
        <n v="27132"/>
        <n v="2"/>
        <n v="11362"/>
        <n v="13960"/>
        <n v="85"/>
        <n v="1850"/>
        <n v="2751"/>
        <n v="3"/>
      </sharedItems>
    </cacheField>
    <cacheField name="ST girls11" numFmtId="0">
      <sharedItems containsString="0" containsBlank="1" containsNumber="1" containsInteger="1" minValue="0" maxValue="26310" count="29">
        <n v="5450"/>
        <n v="5"/>
        <n v="3"/>
        <n v="0"/>
        <n v="4396"/>
        <n v="524"/>
        <n v="8507"/>
        <n v="25"/>
        <n v="1731"/>
        <m/>
        <n v="8340"/>
        <n v="15998"/>
        <n v="17"/>
        <n v="13"/>
        <n v="632"/>
        <n v="3250"/>
        <n v="15088"/>
        <n v="3127"/>
        <n v="11120"/>
        <n v="2173"/>
        <n v="104"/>
        <n v="180"/>
        <n v="683"/>
        <n v="26310"/>
        <n v="13302"/>
        <n v="9206"/>
        <n v="81"/>
        <n v="2209"/>
        <n v="3029"/>
      </sharedItems>
    </cacheField>
    <cacheField name="ST All11" numFmtId="0">
      <sharedItems containsSemiMixedTypes="0" containsString="0" containsNumber="1" containsInteger="1" minValue="0" maxValue="53442"/>
    </cacheField>
    <cacheField name="All Boys8" numFmtId="0">
      <sharedItems containsString="0" containsBlank="1" containsNumber="1" containsInteger="1" minValue="0" maxValue="430745"/>
    </cacheField>
    <cacheField name="All girls11" numFmtId="0">
      <sharedItems containsString="0" containsBlank="1" containsNumber="1" containsInteger="1" minValue="0" maxValue="319223"/>
    </cacheField>
    <cacheField name="All 12" numFmtId="0">
      <sharedItems containsSemiMixedTypes="0" containsString="0" containsNumber="1" containsInteger="1" minValue="0" maxValue="748278"/>
    </cacheField>
    <cacheField name="SC Boys 12" numFmtId="0">
      <sharedItems containsString="0" containsBlank="1" containsNumber="1" containsInteger="1" minValue="0" maxValue="100746"/>
    </cacheField>
    <cacheField name="SC Girls12" numFmtId="0">
      <sharedItems containsString="0" containsBlank="1" containsNumber="1" containsInteger="1" minValue="0" maxValue="77703"/>
    </cacheField>
    <cacheField name="SC all12" numFmtId="0">
      <sharedItems containsSemiMixedTypes="0" containsString="0" containsNumber="1" containsInteger="1" minValue="0" maxValue="178449"/>
    </cacheField>
    <cacheField name="ST Boys 12" numFmtId="0">
      <sharedItems containsString="0" containsBlank="1" containsNumber="1" containsInteger="1" minValue="0" maxValue="63129"/>
    </cacheField>
    <cacheField name="ST girls12" numFmtId="0">
      <sharedItems containsString="0" containsBlank="1" containsNumber="1" containsInteger="1" minValue="0" maxValue="57447"/>
    </cacheField>
    <cacheField name="ST All12" numFmtId="0">
      <sharedItems containsSemiMixedTypes="0" containsString="0" containsNumber="1" containsInteger="1" minValue="0" maxValue="120576"/>
    </cacheField>
    <cacheField name="Appeared" numFmtId="0">
      <sharedItems containsSemiMixedTypes="0" containsString="0" containsNumber="1" containsInteger="1" minValue="-1344682" maxValue="10832"/>
    </cacheField>
    <cacheField name="Passed" numFmtId="0">
      <sharedItems containsSemiMixedTypes="0" containsString="0" containsNumber="1" containsInteger="1" minValue="-874984" maxValue="283725"/>
    </cacheField>
    <cacheField name="All" numFmtId="0">
      <sharedItems containsSemiMixedTypes="0" containsString="0" containsNumber="1" containsInteger="1" minValue="-1573213" maxValue="926711"/>
    </cacheField>
    <cacheField name="SC" numFmtId="0">
      <sharedItems containsSemiMixedTypes="0" containsString="0" containsNumber="1" containsInteger="1" minValue="-219058" maxValue="218762"/>
    </cacheField>
    <cacheField name="ST" numFmtId="0">
      <sharedItems containsSemiMixedTypes="0" containsString="0" containsNumber="1" containsInteger="1" minValue="-54931" maxValue="410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  <s v="Purva Madhyma"/>
    <d v="2017-04-01T00:00:00"/>
    <d v="2017-03-16T00:00:00"/>
    <d v="2017-07-31T00:00:00"/>
    <d v="2017-07-31T00:00:00"/>
    <n v="1910"/>
    <n v="4531"/>
    <n v="17901"/>
    <n v="24342"/>
    <n v="116274"/>
    <n v="805412"/>
    <n v="1936785"/>
    <n v="2858471"/>
    <n v="85435"/>
    <n v="616662"/>
    <n v="1625513"/>
    <n v="2327610"/>
    <n v="81.430000000000007"/>
    <n v="1911"/>
    <n v="7053"/>
    <n v="5598"/>
    <n v="4013"/>
    <n v="2685"/>
    <n v="1551"/>
    <n v="1531"/>
    <n v="0"/>
    <n v="1520426"/>
    <n v="1338045"/>
    <n v="2858471"/>
    <n v="345966"/>
    <n v="301752"/>
    <n v="647718"/>
    <n v="11391"/>
    <n v="9445"/>
    <n v="20836"/>
    <n v="1167948"/>
    <n v="1159662"/>
    <n v="2327610"/>
    <n v="242066"/>
    <n v="238925"/>
    <n v="480991"/>
    <n v="8118"/>
    <n v="7552"/>
    <n v="15670"/>
    <n v="181"/>
    <n v="64"/>
    <n v="245"/>
    <n v="27"/>
    <n v="16"/>
    <n v="43"/>
    <n v="1"/>
    <n v="1"/>
    <n v="2"/>
    <n v="1168129"/>
    <n v="1159726"/>
    <n v="2327855"/>
    <n v="242093"/>
    <n v="238941"/>
    <n v="481034"/>
    <n v="8119"/>
    <n v="7553"/>
    <n v="15672"/>
    <n v="76.83"/>
    <n v="86.67"/>
    <n v="81.44"/>
    <n v="69.98"/>
    <n v="79.180000000000007"/>
    <n v="74.27"/>
    <n v="71.28"/>
    <n v="79.97"/>
    <n v="75.22"/>
    <n v="113777"/>
    <n v="26244"/>
    <n v="140021"/>
    <n v="20183"/>
    <n v="4238"/>
    <n v="24421"/>
    <n v="1207"/>
    <n v="259"/>
    <n v="1466"/>
    <n v="86223"/>
    <n v="20409"/>
    <n v="106632"/>
    <n v="12768"/>
    <n v="2781"/>
    <n v="15549"/>
    <n v="808"/>
    <n v="177"/>
    <n v="985"/>
    <n v="25"/>
    <n v="3"/>
    <n v="28"/>
    <n v="5"/>
    <n v="1"/>
    <n v="6"/>
    <n v="6"/>
    <n v="1"/>
    <n v="7"/>
    <n v="86248"/>
    <n v="20412"/>
    <n v="106660"/>
    <n v="12773"/>
    <n v="2782"/>
    <n v="15555"/>
    <n v="809"/>
    <n v="177"/>
    <n v="986"/>
    <n v="75.8"/>
    <n v="77.78"/>
    <n v="76.17"/>
    <n v="63.29"/>
    <n v="65.64"/>
    <n v="63.7"/>
    <n v="67.03"/>
    <n v="68.34"/>
    <n v="67.260000000000005"/>
    <x v="0"/>
    <x v="0"/>
    <x v="0"/>
    <x v="0"/>
    <x v="0"/>
    <n v="318140"/>
    <x v="0"/>
    <x v="0"/>
    <n v="11529"/>
    <n v="430745"/>
    <n v="292531"/>
    <n v="723276"/>
    <n v="100746"/>
    <n v="77703"/>
    <n v="178449"/>
    <n v="2849"/>
    <n v="2280"/>
    <n v="5129"/>
    <n v="-140021"/>
    <n v="-106905"/>
    <n v="0"/>
    <n v="0"/>
    <n v="0"/>
  </r>
  <r>
    <x v="1"/>
    <x v="1"/>
    <s v="Annual"/>
    <d v="2017-03-24T00:00:00"/>
    <d v="2017-03-31T00:00:00"/>
    <s v="N.A"/>
    <s v="N.A"/>
    <n v="0"/>
    <n v="0"/>
    <n v="36"/>
    <n v="36"/>
    <n v="0"/>
    <n v="0"/>
    <n v="830"/>
    <n v="830"/>
    <n v="0"/>
    <n v="0"/>
    <n v="782"/>
    <n v="782"/>
    <n v="94.22"/>
    <n v="24"/>
    <n v="6"/>
    <n v="5"/>
    <n v="0"/>
    <n v="1"/>
    <n v="0"/>
    <n v="0"/>
    <n v="0"/>
    <n v="546"/>
    <n v="284"/>
    <n v="830"/>
    <n v="69"/>
    <n v="83"/>
    <n v="152"/>
    <n v="7"/>
    <n v="10"/>
    <n v="17"/>
    <n v="518"/>
    <n v="264"/>
    <n v="782"/>
    <n v="60"/>
    <n v="77"/>
    <n v="137"/>
    <n v="5"/>
    <n v="9"/>
    <n v="14"/>
    <n v="0"/>
    <n v="0"/>
    <n v="0"/>
    <n v="0"/>
    <n v="0"/>
    <n v="0"/>
    <n v="0"/>
    <n v="0"/>
    <n v="0"/>
    <n v="518"/>
    <n v="264"/>
    <n v="782"/>
    <n v="60"/>
    <n v="77"/>
    <n v="137"/>
    <n v="5"/>
    <n v="9"/>
    <n v="14"/>
    <n v="94.87"/>
    <n v="92.96"/>
    <n v="94.22"/>
    <n v="86.96"/>
    <n v="92.77"/>
    <n v="90.13"/>
    <n v="71.430000000000007"/>
    <n v="90"/>
    <n v="82.35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"/>
    <x v="1"/>
    <x v="1"/>
    <x v="1"/>
    <x v="1"/>
    <n v="55"/>
    <x v="1"/>
    <x v="1"/>
    <n v="9"/>
    <n v="269"/>
    <n v="99"/>
    <n v="368"/>
    <n v="44"/>
    <n v="38"/>
    <n v="82"/>
    <n v="1"/>
    <n v="4"/>
    <n v="5"/>
    <n v="0"/>
    <n v="0"/>
    <n v="0"/>
    <n v="0"/>
    <n v="0"/>
  </r>
  <r>
    <x v="2"/>
    <x v="2"/>
    <s v="Secondary School Certificate (Class - X)"/>
    <d v="2017-04-13T00:00:00"/>
    <d v="2017-05-01T00:00:00"/>
    <s v="N.A"/>
    <s v="N.A"/>
    <n v="0"/>
    <n v="0"/>
    <n v="0"/>
    <n v="0"/>
    <n v="0"/>
    <n v="0"/>
    <n v="0"/>
    <n v="0"/>
    <n v="0"/>
    <n v="0"/>
    <n v="0"/>
    <n v="0"/>
    <e v="#DIV/0!"/>
    <m/>
    <m/>
    <m/>
    <m/>
    <m/>
    <m/>
    <m/>
    <n v="0"/>
    <n v="22"/>
    <n v="232"/>
    <n v="254"/>
    <n v="1"/>
    <n v="4"/>
    <n v="5"/>
    <n v="0"/>
    <n v="9"/>
    <n v="9"/>
    <n v="22"/>
    <n v="230"/>
    <n v="252"/>
    <n v="1"/>
    <n v="4"/>
    <n v="5"/>
    <n v="0"/>
    <n v="9"/>
    <n v="9"/>
    <n v="0"/>
    <n v="0"/>
    <n v="0"/>
    <n v="0"/>
    <n v="0"/>
    <n v="0"/>
    <n v="0"/>
    <n v="0"/>
    <n v="0"/>
    <n v="22"/>
    <n v="230"/>
    <n v="252"/>
    <n v="1"/>
    <n v="4"/>
    <n v="5"/>
    <n v="0"/>
    <n v="9"/>
    <n v="9"/>
    <n v="100"/>
    <n v="99.14"/>
    <n v="99.21"/>
    <n v="100"/>
    <n v="100"/>
    <n v="100"/>
    <e v="#DIV/0!"/>
    <n v="100"/>
    <n v="10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2"/>
    <x v="2"/>
    <x v="2"/>
    <x v="2"/>
    <x v="2"/>
    <n v="4"/>
    <x v="2"/>
    <x v="2"/>
    <n v="3"/>
    <n v="6"/>
    <n v="41"/>
    <n v="47"/>
    <n v="0"/>
    <n v="1"/>
    <n v="1"/>
    <n v="0"/>
    <n v="6"/>
    <n v="6"/>
    <n v="-254"/>
    <n v="-252"/>
    <n v="0"/>
    <n v="0"/>
    <n v="0"/>
  </r>
  <r>
    <x v="3"/>
    <x v="3"/>
    <s v="Secondary School Examination 2017 (Annual)"/>
    <d v="2017-03-01T00:00:00"/>
    <s v="N.A"/>
    <s v="N.A"/>
    <s v="N.A"/>
    <n v="0"/>
    <n v="0"/>
    <n v="0"/>
    <n v="0"/>
    <n v="0"/>
    <n v="0"/>
    <n v="0"/>
    <n v="0"/>
    <n v="0"/>
    <n v="0"/>
    <n v="0"/>
    <n v="0"/>
    <e v="#DIV/0!"/>
    <m/>
    <m/>
    <m/>
    <m/>
    <m/>
    <m/>
    <m/>
    <n v="0"/>
    <n v="675292"/>
    <n v="658651"/>
    <n v="1333943"/>
    <n v="115027"/>
    <n v="100291"/>
    <n v="215318"/>
    <n v="10011"/>
    <n v="9832"/>
    <n v="19843"/>
    <n v="398246"/>
    <n v="292604"/>
    <n v="690850"/>
    <n v="58012"/>
    <n v="30198"/>
    <n v="88210"/>
    <n v="5591"/>
    <n v="4157"/>
    <n v="9748"/>
    <n v="0"/>
    <n v="0"/>
    <n v="0"/>
    <n v="0"/>
    <n v="0"/>
    <n v="0"/>
    <n v="0"/>
    <n v="0"/>
    <n v="0"/>
    <n v="398246"/>
    <n v="292604"/>
    <n v="690850"/>
    <n v="58012"/>
    <n v="30198"/>
    <n v="88210"/>
    <n v="5591"/>
    <n v="4157"/>
    <n v="9748"/>
    <n v="58.97"/>
    <n v="44.42"/>
    <n v="51.79"/>
    <n v="50.43"/>
    <n v="30.11"/>
    <n v="40.97"/>
    <n v="55.85"/>
    <n v="42.28"/>
    <n v="49.13"/>
    <n v="8515"/>
    <n v="2224"/>
    <n v="10739"/>
    <n v="1274"/>
    <n v="336"/>
    <n v="1610"/>
    <n v="118"/>
    <n v="44"/>
    <n v="162"/>
    <n v="5136"/>
    <n v="959"/>
    <n v="6095"/>
    <n v="701"/>
    <n v="131"/>
    <n v="832"/>
    <n v="71"/>
    <n v="17"/>
    <n v="88"/>
    <n v="0"/>
    <n v="0"/>
    <n v="0"/>
    <n v="0"/>
    <n v="0"/>
    <n v="0"/>
    <n v="0"/>
    <n v="0"/>
    <n v="0"/>
    <n v="5136"/>
    <n v="959"/>
    <n v="6095"/>
    <n v="701"/>
    <n v="131"/>
    <n v="832"/>
    <n v="71"/>
    <n v="17"/>
    <n v="88"/>
    <n v="60.32"/>
    <n v="43.12"/>
    <n v="56.76"/>
    <n v="55.02"/>
    <n v="38.99"/>
    <n v="51.68"/>
    <n v="60.17"/>
    <n v="38.64"/>
    <n v="54.32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44682"/>
    <n v="-696945"/>
    <n v="-696945"/>
    <n v="-89042"/>
    <n v="-9836"/>
  </r>
  <r>
    <x v="4"/>
    <x v="4"/>
    <s v="High School Certificate Examination"/>
    <d v="2017-02-10T00:00:00"/>
    <d v="2017-03-02T00:00:00"/>
    <d v="2017-06-22T00:00:00"/>
    <d v="2017-07-05T00:00:00"/>
    <n v="4146"/>
    <n v="0"/>
    <n v="1822"/>
    <n v="5968"/>
    <n v="305649"/>
    <n v="0"/>
    <n v="80700"/>
    <n v="386349"/>
    <n v="180743"/>
    <m/>
    <n v="58955"/>
    <n v="239698"/>
    <n v="62.04"/>
    <n v="133"/>
    <n v="364"/>
    <n v="735"/>
    <n v="954"/>
    <n v="1138"/>
    <n v="1016"/>
    <n v="1582"/>
    <n v="46"/>
    <n v="178996"/>
    <n v="207353"/>
    <n v="386349"/>
    <n v="26952"/>
    <n v="30817"/>
    <n v="57769"/>
    <n v="49726"/>
    <n v="60802"/>
    <n v="110528"/>
    <n v="107373"/>
    <n v="128962"/>
    <n v="236335"/>
    <n v="15126"/>
    <n v="17842"/>
    <n v="32968"/>
    <n v="28783"/>
    <n v="35256"/>
    <n v="64039"/>
    <n v="1587"/>
    <n v="1779"/>
    <n v="3366"/>
    <n v="270"/>
    <n v="297"/>
    <n v="567"/>
    <n v="367"/>
    <n v="442"/>
    <n v="809"/>
    <n v="108960"/>
    <n v="130741"/>
    <n v="239701"/>
    <n v="15396"/>
    <n v="18139"/>
    <n v="33535"/>
    <n v="29150"/>
    <n v="35698"/>
    <n v="64848"/>
    <n v="60.87"/>
    <n v="63.05"/>
    <n v="62.04"/>
    <n v="57.12"/>
    <n v="58.86"/>
    <n v="58.05"/>
    <n v="58.62"/>
    <n v="58.71"/>
    <n v="58.67"/>
    <n v="5912"/>
    <n v="4752"/>
    <n v="10664"/>
    <n v="896"/>
    <n v="693"/>
    <n v="1589"/>
    <n v="1364"/>
    <n v="1315"/>
    <n v="2679"/>
    <n v="2000"/>
    <n v="1945"/>
    <n v="3945"/>
    <n v="295"/>
    <n v="325"/>
    <n v="620"/>
    <n v="468"/>
    <n v="496"/>
    <n v="964"/>
    <n v="773"/>
    <n v="639"/>
    <n v="1412"/>
    <n v="121"/>
    <n v="112"/>
    <n v="233"/>
    <n v="169"/>
    <n v="126"/>
    <n v="295"/>
    <n v="2773"/>
    <n v="2584"/>
    <n v="5357"/>
    <n v="416"/>
    <n v="437"/>
    <n v="853"/>
    <n v="637"/>
    <n v="622"/>
    <n v="1259"/>
    <n v="46.9"/>
    <n v="54.38"/>
    <n v="50.23"/>
    <n v="46.43"/>
    <n v="63.06"/>
    <n v="53.68"/>
    <n v="46.7"/>
    <n v="47.3"/>
    <n v="47"/>
    <x v="4"/>
    <x v="4"/>
    <x v="4"/>
    <x v="4"/>
    <x v="4"/>
    <n v="6228"/>
    <x v="3"/>
    <x v="4"/>
    <n v="8558"/>
    <n v="84171"/>
    <n v="103090"/>
    <n v="187261"/>
    <n v="12052"/>
    <n v="14688"/>
    <n v="26740"/>
    <n v="24621"/>
    <n v="30860"/>
    <n v="55481"/>
    <n v="-10664"/>
    <n v="-5360"/>
    <n v="-8723"/>
    <n v="-1420"/>
    <n v="-2068"/>
  </r>
  <r>
    <x v="5"/>
    <x v="5"/>
    <s v="Purva Madhyama class (X)"/>
    <d v="2017-02-14T00:00:00"/>
    <d v="2017-03-01T00:00:00"/>
    <d v="2017-07-17T00:00:00"/>
    <d v="2017-07-19T00:00:00"/>
    <n v="1"/>
    <n v="5"/>
    <n v="31"/>
    <n v="37"/>
    <n v="6"/>
    <n v="196"/>
    <n v="561"/>
    <n v="763"/>
    <n v="6"/>
    <n v="196"/>
    <n v="517"/>
    <n v="719"/>
    <n v="94.23"/>
    <m/>
    <m/>
    <m/>
    <m/>
    <m/>
    <m/>
    <m/>
    <n v="37"/>
    <n v="440"/>
    <n v="312"/>
    <n v="752"/>
    <n v="38"/>
    <n v="50"/>
    <n v="88"/>
    <n v="179"/>
    <n v="106"/>
    <n v="285"/>
    <n v="399"/>
    <n v="297"/>
    <n v="696"/>
    <n v="35"/>
    <n v="46"/>
    <n v="81"/>
    <n v="174"/>
    <n v="102"/>
    <n v="276"/>
    <n v="10"/>
    <n v="2"/>
    <n v="12"/>
    <n v="1"/>
    <n v="2"/>
    <n v="3"/>
    <n v="1"/>
    <n v="1"/>
    <n v="2"/>
    <n v="409"/>
    <n v="299"/>
    <n v="708"/>
    <n v="36"/>
    <n v="48"/>
    <n v="84"/>
    <n v="175"/>
    <n v="103"/>
    <n v="278"/>
    <n v="92.95"/>
    <n v="95.83"/>
    <n v="94.15"/>
    <n v="94.74"/>
    <n v="96"/>
    <n v="95.45"/>
    <n v="97.77"/>
    <n v="97.17"/>
    <n v="97.54"/>
    <n v="10"/>
    <n v="1"/>
    <n v="11"/>
    <n v="0"/>
    <n v="1"/>
    <n v="1"/>
    <n v="1"/>
    <n v="0"/>
    <n v="1"/>
    <n v="10"/>
    <n v="1"/>
    <n v="11"/>
    <n v="0"/>
    <n v="1"/>
    <n v="1"/>
    <n v="1"/>
    <n v="0"/>
    <n v="1"/>
    <n v="0"/>
    <n v="0"/>
    <n v="0"/>
    <n v="0"/>
    <n v="0"/>
    <n v="0"/>
    <n v="0"/>
    <n v="0"/>
    <n v="0"/>
    <n v="10"/>
    <n v="1"/>
    <n v="11"/>
    <n v="0"/>
    <n v="1"/>
    <n v="1"/>
    <n v="1"/>
    <n v="0"/>
    <n v="1"/>
    <n v="100"/>
    <n v="100"/>
    <n v="100"/>
    <e v="#DIV/0!"/>
    <n v="100"/>
    <n v="100"/>
    <n v="100"/>
    <e v="#DIV/0!"/>
    <n v="100"/>
    <x v="3"/>
    <x v="3"/>
    <x v="3"/>
    <x v="3"/>
    <x v="3"/>
    <n v="0"/>
    <x v="2"/>
    <x v="3"/>
    <n v="0"/>
    <n v="10"/>
    <n v="1"/>
    <n v="11"/>
    <n v="0"/>
    <n v="1"/>
    <n v="1"/>
    <n v="1"/>
    <n v="0"/>
    <n v="1"/>
    <n v="0"/>
    <n v="0"/>
    <n v="-708"/>
    <n v="-84"/>
    <n v="-278"/>
  </r>
  <r>
    <x v="6"/>
    <x v="6"/>
    <s v="Secondary School Certificate Examination"/>
    <d v="2017-04-01T00:00:00"/>
    <d v="2017-04-21T00:00:00"/>
    <d v="2017-06-19T00:00:00"/>
    <d v="2017-06-27T00:00:00"/>
    <n v="77"/>
    <n v="299"/>
    <n v="10"/>
    <n v="386"/>
    <n v="1918"/>
    <n v="16687"/>
    <n v="157"/>
    <n v="18762"/>
    <n v="1730"/>
    <n v="15876"/>
    <n v="157"/>
    <n v="17763"/>
    <n v="94.68"/>
    <n v="99"/>
    <n v="151"/>
    <n v="71"/>
    <n v="30"/>
    <n v="17"/>
    <n v="9"/>
    <n v="9"/>
    <n v="0"/>
    <n v="9163"/>
    <n v="9599"/>
    <n v="18762"/>
    <n v="108"/>
    <n v="148"/>
    <n v="256"/>
    <n v="1028"/>
    <n v="1118"/>
    <n v="2146"/>
    <n v="8381"/>
    <n v="8844"/>
    <n v="17225"/>
    <n v="96"/>
    <n v="128"/>
    <n v="224"/>
    <n v="937"/>
    <n v="1028"/>
    <n v="1965"/>
    <n v="265"/>
    <n v="273"/>
    <n v="538"/>
    <n v="3"/>
    <n v="8"/>
    <n v="11"/>
    <n v="29"/>
    <n v="39"/>
    <n v="68"/>
    <n v="8646"/>
    <n v="9117"/>
    <n v="17763"/>
    <n v="99"/>
    <n v="136"/>
    <n v="235"/>
    <n v="966"/>
    <n v="1067"/>
    <n v="2033"/>
    <n v="94.36"/>
    <n v="94.98"/>
    <n v="94.68"/>
    <n v="91.67"/>
    <n v="91.89"/>
    <n v="91.8"/>
    <n v="93.97"/>
    <n v="95.44"/>
    <n v="94.73"/>
    <n v="363"/>
    <n v="230"/>
    <n v="593"/>
    <n v="13"/>
    <n v="7"/>
    <n v="20"/>
    <n v="42"/>
    <n v="30"/>
    <n v="72"/>
    <n v="145"/>
    <n v="98"/>
    <n v="243"/>
    <n v="7"/>
    <n v="3"/>
    <n v="10"/>
    <n v="19"/>
    <n v="13"/>
    <n v="32"/>
    <n v="35"/>
    <n v="22"/>
    <n v="57"/>
    <n v="2"/>
    <n v="0"/>
    <n v="2"/>
    <n v="6"/>
    <n v="3"/>
    <n v="9"/>
    <n v="180"/>
    <n v="120"/>
    <n v="300"/>
    <n v="9"/>
    <n v="3"/>
    <n v="12"/>
    <n v="25"/>
    <n v="16"/>
    <n v="41"/>
    <n v="49.59"/>
    <n v="52.17"/>
    <n v="50.59"/>
    <n v="69.23"/>
    <n v="42.86"/>
    <n v="60"/>
    <n v="59.52"/>
    <n v="53.33"/>
    <n v="56.94"/>
    <x v="5"/>
    <x v="5"/>
    <x v="5"/>
    <x v="5"/>
    <x v="5"/>
    <n v="92"/>
    <x v="4"/>
    <x v="5"/>
    <n v="881"/>
    <n v="4849"/>
    <n v="3736"/>
    <n v="8585"/>
    <n v="75"/>
    <n v="80"/>
    <n v="155"/>
    <n v="634"/>
    <n v="559"/>
    <n v="1193"/>
    <n v="-593"/>
    <n v="-300"/>
    <n v="1"/>
    <n v="0"/>
    <n v="0"/>
  </r>
  <r>
    <x v="7"/>
    <x v="7"/>
    <s v="SSC Examination - 2017"/>
    <d v="2017-03-15T00:00:00"/>
    <d v="2017-03-25T00:00:00"/>
    <d v="2017-07-08T00:00:00"/>
    <d v="2017-07-11T00:00:00"/>
    <n v="798"/>
    <n v="5532"/>
    <n v="3666"/>
    <n v="9996"/>
    <n v="28719"/>
    <n v="522918"/>
    <n v="217429"/>
    <n v="769066"/>
    <n v="15386"/>
    <n v="336605"/>
    <n v="179250"/>
    <n v="531241"/>
    <n v="69.08"/>
    <n v="440"/>
    <n v="1503"/>
    <n v="1471"/>
    <n v="1332"/>
    <n v="1331"/>
    <n v="1227"/>
    <n v="2692"/>
    <n v="0"/>
    <n v="453666"/>
    <n v="315400"/>
    <n v="769066"/>
    <n v="34439"/>
    <n v="25972"/>
    <n v="60411"/>
    <n v="59051"/>
    <n v="52052"/>
    <n v="111103"/>
    <n v="293426"/>
    <n v="231483"/>
    <n v="524909"/>
    <n v="20133"/>
    <n v="17126"/>
    <n v="37259"/>
    <n v="34227"/>
    <n v="34130"/>
    <n v="68357"/>
    <n v="3376"/>
    <n v="2956"/>
    <n v="6332"/>
    <n v="307"/>
    <n v="371"/>
    <n v="678"/>
    <n v="340"/>
    <n v="461"/>
    <n v="801"/>
    <n v="296802"/>
    <n v="234439"/>
    <n v="531241"/>
    <n v="20440"/>
    <n v="17497"/>
    <n v="37937"/>
    <n v="34567"/>
    <n v="34591"/>
    <n v="69158"/>
    <n v="65.42"/>
    <n v="74.33"/>
    <n v="69.08"/>
    <n v="59.35"/>
    <n v="67.37"/>
    <n v="62.8"/>
    <n v="58.54"/>
    <n v="66.45"/>
    <n v="62.25"/>
    <n v="25216"/>
    <n v="9449"/>
    <n v="34665"/>
    <n v="2559"/>
    <n v="1256"/>
    <n v="3815"/>
    <n v="2308"/>
    <n v="857"/>
    <n v="3165"/>
    <n v="1426"/>
    <n v="950"/>
    <n v="2376"/>
    <n v="76"/>
    <n v="86"/>
    <n v="162"/>
    <n v="189"/>
    <n v="88"/>
    <n v="277"/>
    <n v="140"/>
    <n v="173"/>
    <n v="313"/>
    <n v="20"/>
    <n v="24"/>
    <n v="44"/>
    <n v="11"/>
    <n v="9"/>
    <n v="20"/>
    <n v="1566"/>
    <n v="1123"/>
    <n v="2689"/>
    <n v="96"/>
    <n v="110"/>
    <n v="206"/>
    <n v="200"/>
    <n v="97"/>
    <n v="297"/>
    <n v="6.21"/>
    <n v="11.88"/>
    <n v="7.76"/>
    <n v="3.75"/>
    <n v="8.76"/>
    <n v="5.4"/>
    <n v="8.67"/>
    <n v="11.32"/>
    <n v="9.3800000000000008"/>
    <x v="6"/>
    <x v="6"/>
    <x v="6"/>
    <x v="6"/>
    <x v="6"/>
    <n v="12116"/>
    <x v="5"/>
    <x v="6"/>
    <n v="15844"/>
    <n v="183339"/>
    <n v="135589"/>
    <n v="318928"/>
    <n v="13833"/>
    <n v="11310"/>
    <n v="25143"/>
    <n v="26890"/>
    <n v="25623"/>
    <n v="52513"/>
    <n v="-34665"/>
    <n v="-2689"/>
    <n v="-9021"/>
    <n v="-884"/>
    <n v="-1098"/>
  </r>
  <r>
    <x v="8"/>
    <x v="8"/>
    <s v="Secondary examination"/>
    <d v="2017-03-06T00:00:00"/>
    <d v="2017-04-04T00:00:00"/>
    <d v="2017-07-27T00:00:00"/>
    <d v="2017-07-28T00:00:00"/>
    <n v="3272"/>
    <n v="190"/>
    <n v="3260"/>
    <n v="6722"/>
    <n v="160378"/>
    <n v="13645"/>
    <n v="145139"/>
    <n v="319162"/>
    <n v="72130"/>
    <n v="7240"/>
    <n v="87116"/>
    <n v="166486"/>
    <n v="52.16"/>
    <n v="102"/>
    <n v="359"/>
    <n v="582"/>
    <n v="730"/>
    <n v="785"/>
    <n v="898"/>
    <n v="2961"/>
    <n v="305"/>
    <n v="175393"/>
    <n v="143769"/>
    <n v="319162"/>
    <n v="44283"/>
    <n v="41715"/>
    <n v="85998"/>
    <n v="60"/>
    <n v="41"/>
    <n v="101"/>
    <n v="81368"/>
    <n v="79615"/>
    <n v="160983"/>
    <n v="16456"/>
    <n v="16895"/>
    <n v="33351"/>
    <n v="30"/>
    <n v="29"/>
    <n v="59"/>
    <n v="3155"/>
    <n v="2348"/>
    <n v="5503"/>
    <n v="743"/>
    <n v="673"/>
    <n v="1416"/>
    <n v="1"/>
    <n v="0"/>
    <n v="1"/>
    <n v="84523"/>
    <n v="81963"/>
    <n v="166486"/>
    <n v="17199"/>
    <n v="17568"/>
    <n v="34767"/>
    <n v="31"/>
    <n v="29"/>
    <n v="60"/>
    <n v="48.19"/>
    <n v="57.01"/>
    <n v="52.16"/>
    <n v="38.840000000000003"/>
    <n v="42.11"/>
    <n v="40.43"/>
    <n v="51.67"/>
    <n v="70.73"/>
    <n v="59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7"/>
    <x v="7"/>
    <x v="7"/>
    <x v="7"/>
    <x v="7"/>
    <n v="21486"/>
    <x v="6"/>
    <x v="7"/>
    <n v="51"/>
    <n v="22554"/>
    <n v="16857"/>
    <n v="39411"/>
    <n v="6989"/>
    <n v="6292"/>
    <n v="13281"/>
    <n v="5"/>
    <n v="4"/>
    <n v="9"/>
    <n v="0"/>
    <n v="0"/>
    <n v="0"/>
    <n v="0"/>
    <n v="0"/>
  </r>
  <r>
    <x v="9"/>
    <x v="9"/>
    <s v="HPBOSE"/>
    <d v="2017-04-03T00:00:00"/>
    <s v="N.A"/>
    <d v="2017-06-12T00:00:00"/>
    <d v="2017-06-19T00:00:00"/>
    <n v="2669"/>
    <n v="0"/>
    <n v="1204"/>
    <n v="3873"/>
    <n v="90522"/>
    <n v="0"/>
    <n v="24285"/>
    <n v="114807"/>
    <n v="68201"/>
    <n v="0"/>
    <n v="21442"/>
    <n v="89643"/>
    <n v="78.08"/>
    <n v="517"/>
    <n v="1020"/>
    <n v="690"/>
    <n v="560"/>
    <n v="428"/>
    <n v="360"/>
    <n v="744"/>
    <n v="-446"/>
    <n v="60812"/>
    <n v="53995"/>
    <n v="114807"/>
    <n v="17705"/>
    <n v="16506"/>
    <n v="34211"/>
    <n v="3747"/>
    <n v="3407"/>
    <n v="7154"/>
    <n v="39274"/>
    <n v="37680"/>
    <n v="76954"/>
    <n v="10407"/>
    <n v="10597"/>
    <n v="21004"/>
    <n v="2412"/>
    <n v="2344"/>
    <n v="4756"/>
    <n v="6860"/>
    <n v="5829"/>
    <n v="12689"/>
    <n v="2174"/>
    <n v="2020"/>
    <n v="4194"/>
    <n v="395"/>
    <n v="371"/>
    <n v="766"/>
    <n v="46134"/>
    <n v="43509"/>
    <n v="89643"/>
    <n v="12581"/>
    <n v="12617"/>
    <n v="25198"/>
    <n v="2807"/>
    <n v="2715"/>
    <n v="5522"/>
    <n v="75.86"/>
    <n v="80.58"/>
    <n v="78.08"/>
    <n v="71.06"/>
    <n v="76.44"/>
    <n v="73.650000000000006"/>
    <n v="74.91"/>
    <n v="79.69"/>
    <n v="77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8"/>
    <x v="8"/>
    <x v="8"/>
    <x v="8"/>
    <x v="8"/>
    <n v="14168"/>
    <x v="7"/>
    <x v="8"/>
    <n v="3303"/>
    <n v="12177"/>
    <n v="8043"/>
    <n v="20220"/>
    <n v="3977"/>
    <n v="2859"/>
    <n v="6836"/>
    <n v="840"/>
    <n v="613"/>
    <n v="1453"/>
    <n v="0"/>
    <n v="0"/>
    <n v="-12689"/>
    <n v="-4194"/>
    <n v="-766"/>
  </r>
  <r>
    <x v="10"/>
    <x v="10"/>
    <s v="Poorv Madhyama (X)"/>
    <d v="2017-04-12T00:00:00"/>
    <d v="2017-04-20T00:00:00"/>
    <d v="2017-07-14T00:00:00"/>
    <d v="2017-07-20T00:00:00"/>
    <n v="29"/>
    <n v="0"/>
    <n v="139"/>
    <n v="168"/>
    <n v="316"/>
    <n v="0"/>
    <n v="1538"/>
    <n v="1854"/>
    <n v="203"/>
    <n v="0"/>
    <n v="649"/>
    <n v="852"/>
    <n v="45.95"/>
    <m/>
    <m/>
    <m/>
    <m/>
    <m/>
    <m/>
    <m/>
    <n v="168"/>
    <n v="1406"/>
    <n v="448"/>
    <n v="1854"/>
    <n v="104"/>
    <n v="71"/>
    <n v="175"/>
    <n v="52"/>
    <n v="56"/>
    <n v="108"/>
    <n v="519"/>
    <n v="32"/>
    <n v="551"/>
    <n v="11"/>
    <n v="5"/>
    <n v="16"/>
    <n v="1"/>
    <n v="2"/>
    <n v="3"/>
    <n v="560"/>
    <n v="303"/>
    <n v="863"/>
    <n v="64"/>
    <n v="45"/>
    <n v="109"/>
    <n v="36"/>
    <n v="44"/>
    <n v="80"/>
    <n v="1079"/>
    <n v="335"/>
    <n v="1414"/>
    <n v="75"/>
    <n v="50"/>
    <n v="125"/>
    <n v="37"/>
    <n v="46"/>
    <n v="83"/>
    <n v="76.739999999999995"/>
    <n v="74.78"/>
    <n v="76.27"/>
    <n v="72.12"/>
    <n v="70.42"/>
    <n v="71.430000000000007"/>
    <n v="71.150000000000006"/>
    <n v="82.14"/>
    <n v="76.8499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9"/>
    <x v="9"/>
    <x v="3"/>
    <x v="9"/>
    <x v="9"/>
    <n v="0"/>
    <x v="8"/>
    <x v="9"/>
    <n v="0"/>
    <m/>
    <m/>
    <n v="0"/>
    <m/>
    <m/>
    <n v="0"/>
    <m/>
    <m/>
    <n v="0"/>
    <n v="0"/>
    <n v="-562"/>
    <n v="210770"/>
    <n v="-125"/>
    <n v="-83"/>
  </r>
  <r>
    <x v="11"/>
    <x v="11"/>
    <s v="High School Certificate Examination"/>
    <d v="2017-03-02T00:00:00"/>
    <d v="2017-03-27T00:00:00"/>
    <d v="2017-07-05T00:00:00"/>
    <d v="2017-07-13T00:00:00"/>
    <n v="7449"/>
    <n v="0"/>
    <n v="6122"/>
    <n v="13571"/>
    <n v="688078"/>
    <n v="0"/>
    <n v="421313"/>
    <n v="1109391"/>
    <n v="348586"/>
    <n v="0"/>
    <n v="242132"/>
    <n v="590718"/>
    <n v="53.25"/>
    <n v="204"/>
    <n v="640"/>
    <n v="1096"/>
    <n v="1418"/>
    <n v="1822"/>
    <n v="1972"/>
    <n v="6419"/>
    <n v="0"/>
    <n v="429145"/>
    <n v="365929"/>
    <n v="795074"/>
    <n v="77057"/>
    <n v="58109"/>
    <n v="135166"/>
    <n v="56150"/>
    <n v="58366"/>
    <n v="114516"/>
    <n v="207979"/>
    <n v="188015"/>
    <n v="395994"/>
    <n v="33398"/>
    <n v="26185"/>
    <n v="59583"/>
    <n v="24925"/>
    <n v="23675"/>
    <n v="48600"/>
    <n v="62637"/>
    <n v="61994"/>
    <n v="124631"/>
    <n v="11212"/>
    <n v="10359"/>
    <n v="21571"/>
    <n v="8174"/>
    <n v="9909"/>
    <n v="18083"/>
    <n v="270616"/>
    <n v="250009"/>
    <n v="520625"/>
    <n v="44610"/>
    <n v="36544"/>
    <n v="81154"/>
    <n v="33099"/>
    <n v="33584"/>
    <n v="66683"/>
    <n v="63.06"/>
    <n v="68.319999999999993"/>
    <n v="65.48"/>
    <n v="57.89"/>
    <n v="62.89"/>
    <n v="60.04"/>
    <n v="58.95"/>
    <n v="57.54"/>
    <n v="58.23"/>
    <n v="184192"/>
    <n v="130125"/>
    <n v="314317"/>
    <n v="37649"/>
    <n v="26543"/>
    <n v="64192"/>
    <n v="41680"/>
    <n v="33256"/>
    <n v="74936"/>
    <n v="19827"/>
    <n v="13154"/>
    <n v="32981"/>
    <n v="3903"/>
    <n v="2486"/>
    <n v="6389"/>
    <n v="3927"/>
    <n v="2839"/>
    <n v="6766"/>
    <n v="19999"/>
    <n v="17113"/>
    <n v="37112"/>
    <n v="3968"/>
    <n v="3369"/>
    <n v="7337"/>
    <n v="3975"/>
    <n v="3548"/>
    <n v="7523"/>
    <n v="39826"/>
    <n v="30267"/>
    <n v="70093"/>
    <n v="7871"/>
    <n v="5855"/>
    <n v="13726"/>
    <n v="7902"/>
    <n v="6387"/>
    <n v="14289"/>
    <n v="21.62"/>
    <n v="23.26"/>
    <n v="22.3"/>
    <n v="20.91"/>
    <n v="22.06"/>
    <n v="21.38"/>
    <n v="18.96"/>
    <n v="19.21"/>
    <n v="19.07"/>
    <x v="10"/>
    <x v="10"/>
    <x v="9"/>
    <x v="10"/>
    <x v="10"/>
    <n v="29133"/>
    <x v="9"/>
    <x v="10"/>
    <n v="17712"/>
    <n v="202652"/>
    <n v="175882"/>
    <n v="378534"/>
    <n v="36484"/>
    <n v="29263"/>
    <n v="65747"/>
    <n v="31629"/>
    <n v="31631"/>
    <n v="63260"/>
    <n v="0"/>
    <n v="0"/>
    <n v="-21690"/>
    <n v="0"/>
    <n v="0"/>
  </r>
  <r>
    <x v="12"/>
    <x v="12"/>
    <s v="Annual High School Certificate Examination"/>
    <d v="2017-02-28T00:00:00"/>
    <d v="2017-03-10T00:00:00"/>
    <d v="2017-06-01T00:00:00"/>
    <d v="2017-06-07T00:00:00"/>
    <n v="0"/>
    <n v="9031"/>
    <n v="0"/>
    <n v="9031"/>
    <n v="0"/>
    <n v="601814"/>
    <n v="0"/>
    <n v="601814"/>
    <n v="0"/>
    <n v="508262"/>
    <m/>
    <n v="508262"/>
    <n v="84.45"/>
    <n v="748"/>
    <n v="3209"/>
    <n v="2056"/>
    <n v="1112"/>
    <n v="657"/>
    <n v="462"/>
    <n v="568"/>
    <n v="219"/>
    <n v="280389"/>
    <n v="287799"/>
    <n v="568188"/>
    <n v="53734"/>
    <n v="55747"/>
    <n v="109481"/>
    <n v="56181"/>
    <n v="62963"/>
    <n v="119144"/>
    <n v="239979"/>
    <n v="248893"/>
    <n v="488872"/>
    <n v="43780"/>
    <n v="45198"/>
    <n v="88978"/>
    <n v="46282"/>
    <n v="53186"/>
    <n v="99468"/>
    <n v="2324"/>
    <n v="2222"/>
    <n v="4546"/>
    <n v="492"/>
    <n v="472"/>
    <n v="964"/>
    <n v="592"/>
    <n v="616"/>
    <n v="1208"/>
    <n v="242303"/>
    <n v="251115"/>
    <n v="493418"/>
    <n v="44272"/>
    <n v="45670"/>
    <n v="89942"/>
    <n v="46874"/>
    <n v="53802"/>
    <n v="100676"/>
    <n v="86.42"/>
    <n v="87.25"/>
    <n v="86.84"/>
    <n v="82.39"/>
    <n v="81.92"/>
    <n v="82.15"/>
    <n v="83.43"/>
    <n v="85.45"/>
    <n v="84.5"/>
    <n v="12757"/>
    <n v="10037"/>
    <n v="22794"/>
    <n v="3121"/>
    <n v="2695"/>
    <n v="5816"/>
    <n v="3628"/>
    <n v="3121"/>
    <n v="6749"/>
    <n v="7969"/>
    <n v="6158"/>
    <n v="14127"/>
    <n v="1890"/>
    <n v="1637"/>
    <n v="3527"/>
    <n v="2237"/>
    <n v="1847"/>
    <n v="4084"/>
    <n v="372"/>
    <n v="332"/>
    <n v="704"/>
    <n v="85"/>
    <n v="85"/>
    <n v="170"/>
    <n v="102"/>
    <n v="81"/>
    <n v="183"/>
    <n v="8341"/>
    <n v="6490"/>
    <n v="14831"/>
    <n v="1975"/>
    <n v="1722"/>
    <n v="3697"/>
    <n v="2339"/>
    <n v="1928"/>
    <n v="4267"/>
    <n v="65.38"/>
    <n v="64.66"/>
    <n v="65.069999999999993"/>
    <n v="63.28"/>
    <n v="63.9"/>
    <n v="63.57"/>
    <n v="64.47"/>
    <n v="61.78"/>
    <n v="63.22"/>
    <x v="11"/>
    <x v="11"/>
    <x v="10"/>
    <x v="11"/>
    <x v="11"/>
    <n v="28357"/>
    <x v="10"/>
    <x v="11"/>
    <n v="28229"/>
    <n v="156786"/>
    <n v="155600"/>
    <n v="312386"/>
    <n v="31926"/>
    <n v="32207"/>
    <n v="64133"/>
    <n v="36284"/>
    <n v="39029"/>
    <n v="75313"/>
    <n v="10832"/>
    <n v="13"/>
    <n v="-5369"/>
    <n v="-1149"/>
    <n v="-1401"/>
  </r>
  <r>
    <x v="13"/>
    <x v="13"/>
    <s v="Matric Examination"/>
    <d v="2017-03-14T00:00:00"/>
    <d v="2017-03-29T00:00:00"/>
    <d v="2017-06-24T00:00:00"/>
    <d v="2017-07-06T00:00:00"/>
    <n v="3415"/>
    <n v="397"/>
    <n v="3896"/>
    <n v="7708"/>
    <n v="257196"/>
    <n v="37196"/>
    <n v="156372"/>
    <n v="450764"/>
    <n v="131368"/>
    <n v="18583"/>
    <n v="99020"/>
    <n v="248971"/>
    <n v="55.23"/>
    <n v="468"/>
    <n v="741"/>
    <n v="799"/>
    <n v="716"/>
    <n v="801"/>
    <n v="878"/>
    <n v="3305"/>
    <n v="0"/>
    <n v="257489"/>
    <n v="193275"/>
    <n v="450764"/>
    <n v="92620"/>
    <n v="78800"/>
    <n v="171420"/>
    <n v="34"/>
    <n v="29"/>
    <n v="63"/>
    <n v="96315"/>
    <n v="93686"/>
    <n v="190001"/>
    <n v="33029"/>
    <n v="36042"/>
    <n v="69071"/>
    <n v="21"/>
    <n v="15"/>
    <n v="36"/>
    <n v="35669"/>
    <n v="23301"/>
    <n v="58970"/>
    <n v="7854"/>
    <n v="6182"/>
    <n v="14036"/>
    <n v="2"/>
    <n v="4"/>
    <n v="6"/>
    <n v="131984"/>
    <n v="116987"/>
    <n v="248971"/>
    <n v="40883"/>
    <n v="42224"/>
    <n v="83107"/>
    <n v="23"/>
    <n v="19"/>
    <n v="42"/>
    <n v="51.26"/>
    <n v="60.53"/>
    <n v="55.23"/>
    <n v="44.14"/>
    <n v="53.58"/>
    <n v="48.48"/>
    <n v="67.650000000000006"/>
    <n v="65.52"/>
    <n v="66.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2"/>
    <x v="12"/>
    <x v="11"/>
    <x v="12"/>
    <x v="12"/>
    <n v="59842"/>
    <x v="11"/>
    <x v="12"/>
    <n v="35"/>
    <n v="39840"/>
    <n v="18794"/>
    <n v="58634"/>
    <n v="14786"/>
    <n v="8479"/>
    <n v="23265"/>
    <n v="5"/>
    <n v="2"/>
    <n v="7"/>
    <n v="0"/>
    <n v="0"/>
    <n v="0"/>
    <n v="0"/>
    <n v="0"/>
  </r>
  <r>
    <x v="14"/>
    <x v="14"/>
    <s v="High School   "/>
    <d v="2017-03-20T00:00:00"/>
    <d v="2017-03-30T00:00:00"/>
    <d v="2017-07-28T00:00:00"/>
    <d v="2017-08-05T00:00:00"/>
    <m/>
    <s v="Nil"/>
    <m/>
    <n v="0"/>
    <n v="0"/>
    <n v="162"/>
    <n v="80"/>
    <n v="242"/>
    <n v="0"/>
    <n v="159"/>
    <n v="77"/>
    <n v="236"/>
    <n v="97.52"/>
    <m/>
    <n v="4"/>
    <m/>
    <m/>
    <m/>
    <m/>
    <m/>
    <n v="-4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n v="0"/>
    <n v="0"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0"/>
    <n v="0"/>
    <n v="0"/>
    <n v="0"/>
    <n v="0"/>
  </r>
  <r>
    <x v="15"/>
    <x v="15"/>
    <s v="Porva Madhayama(High School)Exam-2017"/>
    <d v="2016-04-01T00:00:00"/>
    <d v="2017-06-10T00:00:00"/>
    <s v="N.A"/>
    <s v="N.A"/>
    <n v="3"/>
    <n v="73"/>
    <n v="11"/>
    <n v="87"/>
    <n v="9"/>
    <n v="740"/>
    <n v="103"/>
    <n v="852"/>
    <n v="0"/>
    <n v="0"/>
    <n v="0"/>
    <n v="0"/>
    <n v="0"/>
    <n v="34"/>
    <n v="10"/>
    <n v="17"/>
    <n v="9"/>
    <n v="7"/>
    <n v="5"/>
    <n v="5"/>
    <n v="0"/>
    <n v="752"/>
    <n v="56"/>
    <n v="808"/>
    <n v="20"/>
    <n v="7"/>
    <n v="27"/>
    <n v="10"/>
    <n v="2"/>
    <n v="12"/>
    <n v="667"/>
    <n v="49"/>
    <n v="716"/>
    <n v="14"/>
    <n v="5"/>
    <n v="19"/>
    <n v="9"/>
    <n v="2"/>
    <n v="11"/>
    <n v="0"/>
    <n v="0"/>
    <n v="0"/>
    <n v="0"/>
    <n v="0"/>
    <n v="0"/>
    <n v="0"/>
    <n v="0"/>
    <n v="0"/>
    <n v="667"/>
    <n v="49"/>
    <n v="716"/>
    <n v="14"/>
    <n v="5"/>
    <n v="19"/>
    <n v="9"/>
    <n v="2"/>
    <n v="11"/>
    <n v="88.7"/>
    <n v="87.5"/>
    <n v="88.61"/>
    <n v="70"/>
    <n v="71.430000000000007"/>
    <n v="70.37"/>
    <n v="90"/>
    <n v="100"/>
    <n v="91.67"/>
    <n v="42"/>
    <n v="2"/>
    <n v="44"/>
    <n v="0"/>
    <n v="0"/>
    <n v="0"/>
    <n v="0"/>
    <n v="0"/>
    <n v="0"/>
    <n v="30"/>
    <n v="2"/>
    <n v="32"/>
    <n v="0"/>
    <n v="0"/>
    <n v="0"/>
    <n v="0"/>
    <n v="0"/>
    <n v="0"/>
    <n v="0"/>
    <n v="0"/>
    <n v="0"/>
    <n v="0"/>
    <n v="0"/>
    <n v="0"/>
    <n v="0"/>
    <n v="0"/>
    <n v="0"/>
    <n v="30"/>
    <n v="2"/>
    <n v="32"/>
    <n v="0"/>
    <n v="0"/>
    <n v="0"/>
    <n v="0"/>
    <n v="0"/>
    <n v="0"/>
    <n v="71.430000000000007"/>
    <n v="100"/>
    <n v="72.73"/>
    <e v="#DIV/0!"/>
    <e v="#DIV/0!"/>
    <e v="#DIV/0!"/>
    <e v="#DIV/0!"/>
    <e v="#DIV/0!"/>
    <e v="#DIV/0!"/>
    <x v="14"/>
    <x v="14"/>
    <x v="13"/>
    <x v="3"/>
    <x v="3"/>
    <n v="0"/>
    <x v="2"/>
    <x v="3"/>
    <n v="0"/>
    <n v="649"/>
    <n v="45"/>
    <n v="694"/>
    <n v="20"/>
    <n v="7"/>
    <n v="27"/>
    <n v="10"/>
    <n v="2"/>
    <n v="12"/>
    <n v="0"/>
    <n v="-748"/>
    <n v="104"/>
    <n v="8"/>
    <n v="1"/>
  </r>
  <r>
    <x v="16"/>
    <x v="16"/>
    <s v="High School   "/>
    <d v="2017-03-18T00:00:00"/>
    <d v="2017-04-10T00:00:00"/>
    <s v="N.A"/>
    <s v="N.A"/>
    <n v="0"/>
    <n v="0"/>
    <n v="0"/>
    <n v="0"/>
    <n v="0"/>
    <n v="0"/>
    <n v="0"/>
    <n v="0"/>
    <n v="0"/>
    <n v="0"/>
    <n v="0"/>
    <n v="0"/>
    <e v="#DIV/0!"/>
    <n v="262"/>
    <n v="390"/>
    <n v="710"/>
    <n v="649"/>
    <n v="388"/>
    <n v="235"/>
    <n v="636"/>
    <n v="-3270"/>
    <n v="71473"/>
    <n v="73962"/>
    <n v="145435"/>
    <n v="20476"/>
    <n v="21219"/>
    <n v="41695"/>
    <n v="2455"/>
    <n v="2676"/>
    <n v="5131"/>
    <n v="50328"/>
    <n v="58810"/>
    <n v="109138"/>
    <n v="12974"/>
    <n v="15369"/>
    <n v="28343"/>
    <n v="1711"/>
    <n v="2124"/>
    <n v="3835"/>
    <n v="0"/>
    <n v="0"/>
    <n v="0"/>
    <n v="0"/>
    <n v="0"/>
    <n v="0"/>
    <n v="0"/>
    <n v="0"/>
    <n v="0"/>
    <n v="50328"/>
    <n v="58810"/>
    <n v="109138"/>
    <n v="12974"/>
    <n v="15369"/>
    <n v="28343"/>
    <n v="1711"/>
    <n v="2124"/>
    <n v="3835"/>
    <n v="70.42"/>
    <n v="79.510000000000005"/>
    <n v="75.040000000000006"/>
    <n v="63.36"/>
    <n v="72.430000000000007"/>
    <n v="67.98"/>
    <n v="69.69"/>
    <n v="79.37"/>
    <n v="74.739999999999995"/>
    <n v="3141"/>
    <n v="1997"/>
    <n v="5138"/>
    <n v="1207"/>
    <n v="782"/>
    <n v="1989"/>
    <n v="85"/>
    <n v="71"/>
    <n v="156"/>
    <n v="977"/>
    <n v="826"/>
    <n v="1803"/>
    <n v="351"/>
    <n v="279"/>
    <n v="630"/>
    <n v="26"/>
    <n v="33"/>
    <n v="59"/>
    <n v="0"/>
    <n v="0"/>
    <n v="0"/>
    <n v="0"/>
    <n v="0"/>
    <n v="0"/>
    <n v="0"/>
    <n v="0"/>
    <n v="0"/>
    <n v="977"/>
    <n v="826"/>
    <n v="1803"/>
    <n v="351"/>
    <n v="279"/>
    <n v="630"/>
    <n v="26"/>
    <n v="33"/>
    <n v="59"/>
    <n v="31.1"/>
    <n v="41.36"/>
    <n v="35.090000000000003"/>
    <n v="29.08"/>
    <n v="35.68"/>
    <n v="31.67"/>
    <n v="30.59"/>
    <n v="46.48"/>
    <n v="37.82"/>
    <x v="15"/>
    <x v="15"/>
    <x v="14"/>
    <x v="14"/>
    <x v="14"/>
    <n v="5583"/>
    <x v="13"/>
    <x v="14"/>
    <n v="1086"/>
    <n v="38522"/>
    <n v="40899"/>
    <n v="79421"/>
    <n v="11131"/>
    <n v="12259"/>
    <n v="23390"/>
    <n v="1283"/>
    <n v="1525"/>
    <n v="2808"/>
    <n v="-150573"/>
    <n v="-110941"/>
    <n v="0"/>
    <n v="0"/>
    <n v="0"/>
  </r>
  <r>
    <x v="17"/>
    <x v="17"/>
    <s v="Fadilul Ma arif(F.M.) Examination"/>
    <d v="2017-02-17T00:00:00"/>
    <d v="2017-03-10T00:00:00"/>
    <d v="2017-07-27T00:00:00"/>
    <d v="2017-07-31T00:00:00"/>
    <n v="4067"/>
    <n v="0"/>
    <n v="2531"/>
    <n v="6598"/>
    <n v="283943"/>
    <n v="0"/>
    <n v="98813"/>
    <n v="382756"/>
    <n v="150813"/>
    <n v="0"/>
    <n v="67383"/>
    <n v="218196"/>
    <n v="57.01"/>
    <n v="214"/>
    <n v="401"/>
    <n v="429"/>
    <n v="510"/>
    <n v="669"/>
    <n v="846"/>
    <n v="3529"/>
    <n v="0"/>
    <n v="188722"/>
    <n v="194034"/>
    <n v="382756"/>
    <n v="17883"/>
    <n v="18381"/>
    <n v="36264"/>
    <n v="37511"/>
    <n v="37393"/>
    <n v="74904"/>
    <n v="93479"/>
    <n v="90464"/>
    <n v="183943"/>
    <n v="7656"/>
    <n v="7191"/>
    <n v="14847"/>
    <n v="15255"/>
    <n v="14072"/>
    <n v="29327"/>
    <n v="17722"/>
    <n v="16531"/>
    <n v="34253"/>
    <n v="1889"/>
    <n v="1770"/>
    <n v="3659"/>
    <n v="4510"/>
    <n v="3957"/>
    <n v="8467"/>
    <n v="111201"/>
    <n v="106995"/>
    <n v="218196"/>
    <n v="9545"/>
    <n v="8961"/>
    <n v="18506"/>
    <n v="19765"/>
    <n v="18029"/>
    <n v="37794"/>
    <n v="58.92"/>
    <n v="55.14"/>
    <n v="57.01"/>
    <n v="53.37"/>
    <n v="48.75"/>
    <n v="51.03"/>
    <n v="52.69"/>
    <n v="48.21"/>
    <n v="50.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6"/>
    <x v="16"/>
    <x v="15"/>
    <x v="15"/>
    <x v="15"/>
    <n v="3648"/>
    <x v="14"/>
    <x v="15"/>
    <n v="7047"/>
    <n v="74381"/>
    <n v="87306"/>
    <n v="161687"/>
    <n v="7623"/>
    <n v="7235"/>
    <n v="14858"/>
    <n v="15968"/>
    <n v="14779"/>
    <n v="30747"/>
    <n v="0"/>
    <n v="0"/>
    <n v="0"/>
    <n v="0"/>
    <n v="0"/>
  </r>
  <r>
    <x v="11"/>
    <x v="18"/>
    <s v="Secondary School Examination (Class X) "/>
    <d v="2017-03-09T00:00:00"/>
    <d v="2017-04-10T00:00:00"/>
    <d v="2017-07-17T00:00:00"/>
    <d v="2017-07-24T00:00:00"/>
    <n v="1821"/>
    <n v="228"/>
    <n v="12617"/>
    <n v="14666"/>
    <n v="274381"/>
    <n v="18915"/>
    <n v="1222290"/>
    <n v="1515586"/>
    <n v="207681"/>
    <n v="18112"/>
    <n v="1211350"/>
    <n v="1437143"/>
    <n v="94.82"/>
    <n v="11413"/>
    <n v="3498"/>
    <n v="790"/>
    <n v="304"/>
    <n v="131"/>
    <n v="67"/>
    <n v="145"/>
    <n v="-1682"/>
    <n v="979745"/>
    <n v="671844"/>
    <n v="1651589"/>
    <n v="78213"/>
    <n v="57214"/>
    <n v="135427"/>
    <n v="31927"/>
    <n v="26341"/>
    <n v="58268"/>
    <n v="919505"/>
    <n v="624862"/>
    <n v="1544367"/>
    <n v="68926"/>
    <n v="49190"/>
    <n v="118116"/>
    <n v="28422"/>
    <n v="23057"/>
    <n v="51479"/>
    <n v="16903"/>
    <n v="11943"/>
    <n v="28846"/>
    <n v="1670"/>
    <n v="1592"/>
    <n v="3262"/>
    <n v="1714"/>
    <n v="1738"/>
    <n v="3452"/>
    <n v="936408"/>
    <n v="636805"/>
    <n v="1573213"/>
    <n v="70596"/>
    <n v="50782"/>
    <n v="121378"/>
    <n v="30136"/>
    <n v="24795"/>
    <n v="54931"/>
    <n v="95.58"/>
    <n v="94.78"/>
    <n v="95.25"/>
    <n v="90.26"/>
    <n v="88.76"/>
    <n v="89.63"/>
    <n v="94.39"/>
    <n v="94.13"/>
    <n v="94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6003"/>
    <n v="-136070"/>
    <n v="-1573213"/>
    <n v="-121378"/>
    <n v="-54931"/>
  </r>
  <r>
    <x v="18"/>
    <x v="19"/>
    <s v="Secondary School Examination (Class-X)"/>
    <d v="2017-03-09T00:00:00"/>
    <d v="2017-04-10T00:00:00"/>
    <d v="2017-07-17T00:00:00"/>
    <d v="2017-07-24T00:00:00"/>
    <n v="1821"/>
    <n v="228"/>
    <n v="12617"/>
    <n v="14666"/>
    <n v="274381"/>
    <n v="18915"/>
    <n v="1222290"/>
    <n v="1515586"/>
    <n v="207681"/>
    <n v="18112"/>
    <n v="1211350"/>
    <n v="1437143"/>
    <n v="94.82"/>
    <n v="11413"/>
    <n v="3498"/>
    <n v="790"/>
    <n v="304"/>
    <n v="131"/>
    <n v="67"/>
    <n v="145"/>
    <n v="-1682"/>
    <n v="979745"/>
    <n v="671844"/>
    <n v="1651589"/>
    <n v="78213"/>
    <n v="57214"/>
    <n v="135427"/>
    <n v="31927"/>
    <n v="26341"/>
    <n v="58268"/>
    <n v="919505"/>
    <n v="624862"/>
    <n v="1544367"/>
    <n v="68926"/>
    <n v="49190"/>
    <n v="118116"/>
    <n v="28422"/>
    <n v="23057"/>
    <n v="51479"/>
    <n v="16903"/>
    <n v="11943"/>
    <n v="28846"/>
    <n v="1670"/>
    <n v="1592"/>
    <n v="3262"/>
    <n v="1714"/>
    <n v="1738"/>
    <n v="3452"/>
    <n v="936408"/>
    <n v="636805"/>
    <n v="1573213"/>
    <n v="70596"/>
    <n v="50782"/>
    <n v="121378"/>
    <n v="30136"/>
    <n v="24795"/>
    <n v="54931"/>
    <n v="95.58"/>
    <n v="94.78"/>
    <n v="95.25"/>
    <n v="90.26"/>
    <n v="88.76"/>
    <n v="89.63"/>
    <n v="94.39"/>
    <n v="94.13"/>
    <n v="94.27"/>
    <n v="3946"/>
    <n v="3511"/>
    <n v="7457"/>
    <n v="48"/>
    <n v="90"/>
    <n v="138"/>
    <n v="15"/>
    <n v="5"/>
    <n v="20"/>
    <n v="298"/>
    <n v="201"/>
    <n v="499"/>
    <n v="27"/>
    <n v="9"/>
    <n v="36"/>
    <n v="4"/>
    <n v="3"/>
    <n v="7"/>
    <n v="341"/>
    <n v="315"/>
    <n v="656"/>
    <n v="5"/>
    <n v="8"/>
    <n v="13"/>
    <n v="2"/>
    <n v="0"/>
    <n v="2"/>
    <n v="639"/>
    <n v="516"/>
    <n v="1155"/>
    <n v="32"/>
    <n v="17"/>
    <n v="49"/>
    <n v="6"/>
    <n v="3"/>
    <n v="9"/>
    <n v="16.190000000000001"/>
    <n v="14.7"/>
    <n v="15.49"/>
    <n v="66.67"/>
    <n v="18.89"/>
    <n v="35.51"/>
    <n v="40"/>
    <n v="60"/>
    <n v="45"/>
    <x v="17"/>
    <x v="17"/>
    <x v="16"/>
    <x v="16"/>
    <x v="16"/>
    <n v="82258"/>
    <x v="15"/>
    <x v="16"/>
    <n v="33514"/>
    <n v="197345"/>
    <n v="112084"/>
    <n v="309429"/>
    <n v="20642"/>
    <n v="15206"/>
    <n v="35848"/>
    <n v="9996"/>
    <n v="7969"/>
    <n v="17965"/>
    <n v="-143460"/>
    <n v="-137225"/>
    <n v="-30123"/>
    <n v="-3321"/>
    <n v="-3461"/>
  </r>
  <r>
    <x v="19"/>
    <x v="20"/>
    <s v="High School Leaving Certificate Examination"/>
    <d v="2017-02-15T00:00:00"/>
    <d v="2017-02-27T00:00:00"/>
    <d v="2017-05-06T00:00:00"/>
    <d v="2017-10-06T00:00:00"/>
    <n v="294"/>
    <n v="0"/>
    <n v="422"/>
    <n v="716"/>
    <n v="4296"/>
    <n v="0"/>
    <n v="14673"/>
    <n v="18969"/>
    <n v="1830"/>
    <n v="0"/>
    <n v="13085"/>
    <n v="14915"/>
    <n v="78.63"/>
    <n v="72"/>
    <n v="154"/>
    <n v="60"/>
    <n v="68"/>
    <n v="48"/>
    <n v="49"/>
    <n v="223"/>
    <n v="42"/>
    <n v="10699"/>
    <n v="11747"/>
    <n v="22446"/>
    <n v="106"/>
    <n v="92"/>
    <n v="198"/>
    <n v="9677"/>
    <n v="10721"/>
    <n v="20398"/>
    <n v="7577"/>
    <n v="8178"/>
    <n v="15755"/>
    <n v="85"/>
    <n v="70"/>
    <n v="155"/>
    <n v="6767"/>
    <n v="7377"/>
    <n v="14144"/>
    <n v="0"/>
    <n v="0"/>
    <n v="0"/>
    <n v="0"/>
    <n v="0"/>
    <n v="0"/>
    <n v="0"/>
    <n v="0"/>
    <n v="0"/>
    <n v="7577"/>
    <n v="8178"/>
    <n v="15755"/>
    <n v="85"/>
    <n v="70"/>
    <n v="155"/>
    <n v="6767"/>
    <n v="7377"/>
    <n v="14144"/>
    <n v="70.819999999999993"/>
    <n v="69.62"/>
    <n v="70.19"/>
    <n v="80.19"/>
    <n v="76.09"/>
    <n v="78.28"/>
    <n v="69.930000000000007"/>
    <n v="68.81"/>
    <n v="69.34"/>
    <n v="452"/>
    <n v="467"/>
    <n v="919"/>
    <n v="0"/>
    <n v="0"/>
    <n v="0"/>
    <n v="0"/>
    <n v="0"/>
    <n v="0"/>
    <n v="172"/>
    <n v="186"/>
    <n v="358"/>
    <n v="0"/>
    <n v="0"/>
    <n v="0"/>
    <n v="0"/>
    <n v="0"/>
    <n v="0"/>
    <n v="0"/>
    <n v="0"/>
    <n v="0"/>
    <n v="0"/>
    <n v="0"/>
    <n v="0"/>
    <n v="0"/>
    <n v="0"/>
    <n v="0"/>
    <n v="172"/>
    <n v="186"/>
    <n v="358"/>
    <n v="0"/>
    <n v="0"/>
    <n v="0"/>
    <n v="0"/>
    <n v="0"/>
    <n v="0"/>
    <n v="38.049999999999997"/>
    <n v="39.83"/>
    <n v="38.96"/>
    <e v="#DIV/0!"/>
    <e v="#DIV/0!"/>
    <e v="#DIV/0!"/>
    <e v="#DIV/0!"/>
    <e v="#DIV/0!"/>
    <e v="#DIV/0!"/>
    <x v="18"/>
    <x v="18"/>
    <x v="17"/>
    <x v="17"/>
    <x v="17"/>
    <n v="70"/>
    <x v="16"/>
    <x v="17"/>
    <n v="5484"/>
    <n v="4807"/>
    <n v="4653"/>
    <n v="9460"/>
    <n v="42"/>
    <n v="43"/>
    <n v="85"/>
    <n v="4410"/>
    <n v="4250"/>
    <n v="8660"/>
    <n v="-4396"/>
    <n v="-1198"/>
    <n v="-358"/>
    <n v="0"/>
    <n v="0"/>
  </r>
  <r>
    <x v="20"/>
    <x v="21"/>
    <s v="Secondary School Certificate Examination (Part-II)"/>
    <d v="2017-03-04T00:00:00"/>
    <d v="2017-03-29T00:00:00"/>
    <d v="2017-06-30T00:00:00"/>
    <d v="2017-07-05T00:00:00"/>
    <n v="8"/>
    <n v="0"/>
    <n v="0"/>
    <n v="8"/>
    <n v="1638"/>
    <n v="0"/>
    <n v="0"/>
    <n v="1638"/>
    <n v="1588"/>
    <n v="0"/>
    <n v="0"/>
    <n v="1588"/>
    <n v="96.95"/>
    <n v="0"/>
    <n v="326"/>
    <n v="405"/>
    <n v="348"/>
    <n v="303"/>
    <n v="204"/>
    <n v="52"/>
    <n v="-1630"/>
    <n v="876"/>
    <n v="762"/>
    <n v="1638"/>
    <n v="10"/>
    <n v="7"/>
    <n v="17"/>
    <n v="0"/>
    <n v="0"/>
    <n v="0"/>
    <n v="854"/>
    <n v="719"/>
    <n v="1573"/>
    <n v="10"/>
    <n v="7"/>
    <n v="17"/>
    <n v="0"/>
    <n v="0"/>
    <n v="0"/>
    <n v="8"/>
    <n v="7"/>
    <n v="15"/>
    <n v="0"/>
    <n v="0"/>
    <n v="0"/>
    <n v="0"/>
    <n v="0"/>
    <n v="0"/>
    <n v="862"/>
    <n v="726"/>
    <n v="1588"/>
    <n v="10"/>
    <n v="7"/>
    <n v="17"/>
    <n v="0"/>
    <n v="0"/>
    <n v="0"/>
    <n v="98.4"/>
    <n v="95.28"/>
    <n v="96.95"/>
    <n v="100"/>
    <n v="100"/>
    <n v="100"/>
    <e v="#DIV/0!"/>
    <e v="#DIV/0!"/>
    <e v="#DIV/0!"/>
    <n v="0"/>
    <n v="400"/>
    <n v="400"/>
    <n v="0"/>
    <n v="0"/>
    <n v="0"/>
    <n v="0"/>
    <n v="0"/>
    <n v="0"/>
    <n v="0"/>
    <n v="150"/>
    <n v="150"/>
    <n v="0"/>
    <n v="0"/>
    <n v="0"/>
    <n v="0"/>
    <n v="0"/>
    <n v="0"/>
    <n v="0"/>
    <n v="324"/>
    <n v="324"/>
    <n v="0"/>
    <n v="0"/>
    <n v="0"/>
    <n v="0"/>
    <n v="0"/>
    <n v="0"/>
    <n v="0"/>
    <n v="474"/>
    <n v="474"/>
    <n v="0"/>
    <n v="0"/>
    <n v="0"/>
    <n v="0"/>
    <n v="0"/>
    <n v="0"/>
    <e v="#DIV/0!"/>
    <n v="118.5"/>
    <n v="118.5"/>
    <e v="#DIV/0!"/>
    <e v="#DIV/0!"/>
    <e v="#DIV/0!"/>
    <e v="#DIV/0!"/>
    <e v="#DIV/0!"/>
    <e v="#DIV/0!"/>
    <x v="19"/>
    <x v="19"/>
    <x v="18"/>
    <x v="18"/>
    <x v="18"/>
    <n v="17"/>
    <x v="2"/>
    <x v="3"/>
    <n v="0"/>
    <n v="23"/>
    <n v="29"/>
    <n v="52"/>
    <n v="0"/>
    <n v="0"/>
    <n v="0"/>
    <n v="0"/>
    <n v="0"/>
    <n v="0"/>
    <n v="-400"/>
    <n v="-474"/>
    <n v="-424"/>
    <n v="0"/>
    <n v="0"/>
  </r>
  <r>
    <x v="21"/>
    <x v="22"/>
    <s v="Secondary School Certificate Public Examination"/>
    <d v="2017-03-14T00:00:00"/>
    <d v="2017-03-30T00:00:00"/>
    <d v="2017-06-05T00:00:00"/>
    <d v="2017-06-19T00:00:00"/>
    <n v="5560"/>
    <n v="230"/>
    <n v="5420"/>
    <n v="11210"/>
    <n v="256305"/>
    <n v="11357"/>
    <n v="240276"/>
    <n v="507938"/>
    <n v="207122"/>
    <n v="9029"/>
    <n v="211263"/>
    <n v="427414"/>
    <n v="84.15"/>
    <n v="2005"/>
    <n v="5369"/>
    <n v="2282"/>
    <n v="1521"/>
    <n v="936"/>
    <n v="709"/>
    <n v="724"/>
    <n v="-2336"/>
    <n v="257095"/>
    <n v="250843"/>
    <n v="507938"/>
    <n v="44539"/>
    <n v="45083"/>
    <n v="89622"/>
    <n v="25213"/>
    <n v="24041"/>
    <n v="49254"/>
    <n v="213264"/>
    <n v="214150"/>
    <n v="427414"/>
    <n v="35489"/>
    <n v="37046"/>
    <n v="72535"/>
    <n v="20652"/>
    <n v="19558"/>
    <n v="40210"/>
    <n v="29122"/>
    <n v="24333"/>
    <n v="53455"/>
    <n v="5852"/>
    <n v="5331"/>
    <n v="11183"/>
    <n v="2692"/>
    <n v="2629"/>
    <n v="5321"/>
    <n v="242386"/>
    <n v="238483"/>
    <n v="480869"/>
    <n v="41341"/>
    <n v="42377"/>
    <n v="83718"/>
    <n v="23344"/>
    <n v="22187"/>
    <n v="45531"/>
    <n v="94.28"/>
    <n v="95.07"/>
    <n v="94.67"/>
    <n v="92.82"/>
    <n v="94"/>
    <n v="93.41"/>
    <n v="92.59"/>
    <n v="92.29"/>
    <n v="92.44"/>
    <n v="55114"/>
    <n v="43428"/>
    <n v="98542"/>
    <n v="11243"/>
    <n v="9427"/>
    <n v="20670"/>
    <n v="5501"/>
    <n v="5197"/>
    <n v="10698"/>
    <n v="29122"/>
    <n v="24333"/>
    <n v="53455"/>
    <n v="5852"/>
    <n v="5331"/>
    <n v="11183"/>
    <n v="2692"/>
    <n v="2629"/>
    <n v="5321"/>
    <n v="0"/>
    <n v="0"/>
    <n v="0"/>
    <n v="0"/>
    <n v="0"/>
    <n v="0"/>
    <n v="0"/>
    <n v="0"/>
    <n v="0"/>
    <n v="29122"/>
    <n v="24333"/>
    <n v="53455"/>
    <n v="5852"/>
    <n v="5331"/>
    <n v="11183"/>
    <n v="2692"/>
    <n v="2629"/>
    <n v="5321"/>
    <n v="52.84"/>
    <n v="56.03"/>
    <n v="54.25"/>
    <n v="52.05"/>
    <n v="56.55"/>
    <n v="54.1"/>
    <n v="48.94"/>
    <n v="50.59"/>
    <n v="49.74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98542"/>
    <n v="-106910"/>
    <n v="-534324"/>
    <n v="-94901"/>
    <n v="-50852"/>
  </r>
  <r>
    <x v="22"/>
    <x v="23"/>
    <s v="High School Correspondence Course Examination"/>
    <d v="2017-10-05T00:00:00"/>
    <d v="2017-10-12T00:00:00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n v="111"/>
    <n v="69"/>
    <n v="180"/>
    <n v="0"/>
    <n v="0"/>
    <n v="0"/>
    <n v="0"/>
    <n v="0"/>
    <n v="0"/>
    <n v="63"/>
    <n v="59"/>
    <n v="122"/>
    <n v="0"/>
    <n v="0"/>
    <n v="0"/>
    <n v="0"/>
    <n v="0"/>
    <n v="0"/>
    <n v="25"/>
    <n v="5"/>
    <n v="30"/>
    <n v="0"/>
    <n v="0"/>
    <n v="0"/>
    <n v="0"/>
    <n v="0"/>
    <n v="0"/>
    <n v="88"/>
    <n v="64"/>
    <n v="152"/>
    <n v="0"/>
    <n v="0"/>
    <n v="0"/>
    <n v="0"/>
    <n v="0"/>
    <n v="0"/>
    <n v="79.28"/>
    <n v="92.75"/>
    <n v="84.44"/>
    <e v="#DIV/0!"/>
    <e v="#DIV/0!"/>
    <e v="#DIV/0!"/>
    <e v="#DIV/0!"/>
    <e v="#DIV/0!"/>
    <e v="#DIV/0!"/>
    <x v="3"/>
    <x v="20"/>
    <x v="19"/>
    <x v="3"/>
    <x v="3"/>
    <n v="0"/>
    <x v="2"/>
    <x v="3"/>
    <n v="0"/>
    <n v="80"/>
    <n v="60"/>
    <n v="140"/>
    <n v="0"/>
    <n v="0"/>
    <n v="0"/>
    <n v="0"/>
    <n v="0"/>
    <n v="0"/>
    <n v="-180"/>
    <n v="-152"/>
    <n v="-9"/>
    <n v="0"/>
    <n v="0"/>
  </r>
  <r>
    <x v="23"/>
    <x v="24"/>
    <s v="Board of Academic Council -2017"/>
    <s v="Nil"/>
    <s v="Nil"/>
    <s v="Nil"/>
    <s v="Nil"/>
    <n v="2187"/>
    <n v="1065"/>
    <n v="11"/>
    <n v="3263"/>
    <n v="274572"/>
    <n v="187113"/>
    <n v="1085"/>
    <n v="462770"/>
    <n v="171212"/>
    <n v="136299"/>
    <n v="776"/>
    <n v="308287"/>
    <n v="66.62"/>
    <n v="141"/>
    <n v="362"/>
    <n v="536"/>
    <n v="544"/>
    <n v="530"/>
    <n v="509"/>
    <n v="641"/>
    <n v="0"/>
    <n v="184745"/>
    <n v="195038"/>
    <n v="379783"/>
    <n v="22504"/>
    <n v="22404"/>
    <n v="44908"/>
    <n v="42485"/>
    <n v="44999"/>
    <n v="87484"/>
    <n v="137459"/>
    <n v="135209"/>
    <n v="272668"/>
    <n v="15869"/>
    <n v="13748"/>
    <n v="29617"/>
    <n v="29146"/>
    <n v="28391"/>
    <n v="57537"/>
    <n v="0"/>
    <n v="0"/>
    <n v="0"/>
    <n v="0"/>
    <n v="1"/>
    <n v="1"/>
    <n v="0"/>
    <n v="0"/>
    <n v="0"/>
    <n v="137459"/>
    <n v="135209"/>
    <n v="272668"/>
    <n v="15869"/>
    <n v="13749"/>
    <n v="29618"/>
    <n v="29146"/>
    <n v="28391"/>
    <n v="57537"/>
    <n v="74.400000000000006"/>
    <n v="69.319999999999993"/>
    <n v="71.8"/>
    <n v="70.52"/>
    <n v="61.37"/>
    <n v="65.95"/>
    <n v="68.599999999999994"/>
    <n v="63.09"/>
    <n v="65.77"/>
    <n v="43767"/>
    <n v="39220"/>
    <n v="82987"/>
    <n v="6122"/>
    <n v="5666"/>
    <n v="11788"/>
    <n v="13534"/>
    <n v="13892"/>
    <n v="27426"/>
    <n v="23518"/>
    <n v="18101"/>
    <n v="41619"/>
    <n v="3050"/>
    <n v="2281"/>
    <n v="5331"/>
    <n v="6094"/>
    <n v="6011"/>
    <n v="12105"/>
    <n v="0"/>
    <n v="0"/>
    <n v="0"/>
    <n v="0"/>
    <n v="0"/>
    <n v="0"/>
    <n v="0"/>
    <n v="0"/>
    <n v="0"/>
    <n v="23518"/>
    <n v="18101"/>
    <n v="41619"/>
    <n v="3050"/>
    <n v="2281"/>
    <n v="5331"/>
    <n v="6094"/>
    <n v="6011"/>
    <n v="12105"/>
    <n v="53.73"/>
    <n v="46.15"/>
    <n v="50.15"/>
    <n v="49.82"/>
    <n v="40.26"/>
    <n v="45.22"/>
    <n v="45.03"/>
    <n v="43.27"/>
    <n v="44.14"/>
    <x v="20"/>
    <x v="21"/>
    <x v="20"/>
    <x v="19"/>
    <x v="19"/>
    <n v="11480"/>
    <x v="17"/>
    <x v="18"/>
    <n v="23000"/>
    <n v="95314"/>
    <n v="93572"/>
    <n v="188886"/>
    <n v="12393"/>
    <n v="11076"/>
    <n v="23469"/>
    <n v="24160"/>
    <n v="0"/>
    <n v="24160"/>
    <n v="0"/>
    <n v="-6000"/>
    <n v="0"/>
    <n v="0"/>
    <n v="-22482"/>
  </r>
  <r>
    <x v="24"/>
    <x v="25"/>
    <s v="Jammu and Kashmir board Class - X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75356"/>
    <n v="66388"/>
    <n v="141744"/>
    <n v="0"/>
    <n v="0"/>
    <n v="0"/>
    <n v="0"/>
    <n v="0"/>
    <n v="0"/>
    <n v="46549"/>
    <n v="41265"/>
    <n v="87814"/>
    <n v="0"/>
    <n v="0"/>
    <n v="0"/>
    <n v="0"/>
    <n v="0"/>
    <n v="0"/>
    <n v="0"/>
    <n v="0"/>
    <n v="0"/>
    <n v="0"/>
    <n v="0"/>
    <n v="0"/>
    <n v="0"/>
    <n v="0"/>
    <n v="0"/>
    <n v="46549"/>
    <n v="41265"/>
    <n v="87814"/>
    <n v="0"/>
    <n v="0"/>
    <n v="0"/>
    <n v="0"/>
    <n v="0"/>
    <n v="0"/>
    <n v="61.77"/>
    <n v="62.16"/>
    <n v="61.95"/>
    <e v="#DIV/0!"/>
    <e v="#DIV/0!"/>
    <e v="#DIV/0!"/>
    <e v="#DIV/0!"/>
    <e v="#DIV/0!"/>
    <e v="#DIV/0!"/>
    <n v="81979"/>
    <n v="55099"/>
    <n v="137078"/>
    <n v="0"/>
    <n v="0"/>
    <n v="0"/>
    <n v="0"/>
    <n v="0"/>
    <n v="0"/>
    <n v="37673"/>
    <n v="28593"/>
    <n v="66266"/>
    <n v="0"/>
    <n v="0"/>
    <n v="0"/>
    <n v="0"/>
    <n v="0"/>
    <n v="0"/>
    <n v="0"/>
    <n v="0"/>
    <n v="0"/>
    <n v="0"/>
    <n v="0"/>
    <n v="0"/>
    <n v="0"/>
    <n v="0"/>
    <n v="0"/>
    <n v="37673"/>
    <n v="28593"/>
    <n v="66266"/>
    <n v="0"/>
    <n v="0"/>
    <n v="0"/>
    <n v="0"/>
    <n v="0"/>
    <n v="0"/>
    <n v="45.95"/>
    <n v="51.89"/>
    <n v="48.34"/>
    <e v="#DIV/0!"/>
    <e v="#DIV/0!"/>
    <e v="#DIV/0!"/>
    <e v="#DIV/0!"/>
    <e v="#DIV/0!"/>
    <e v="#DIV/0!"/>
    <x v="21"/>
    <x v="22"/>
    <x v="21"/>
    <x v="3"/>
    <x v="3"/>
    <n v="0"/>
    <x v="2"/>
    <x v="3"/>
    <n v="0"/>
    <n v="62806"/>
    <n v="49407"/>
    <n v="112213"/>
    <n v="0"/>
    <n v="0"/>
    <n v="0"/>
    <n v="0"/>
    <n v="0"/>
    <n v="0"/>
    <n v="-278822"/>
    <n v="-154080"/>
    <n v="0"/>
    <n v="0"/>
    <n v="0"/>
  </r>
  <r>
    <x v="25"/>
    <x v="26"/>
    <s v="Indian Certificate of Secondary Education"/>
    <d v="2017-03-10T00:00:00"/>
    <d v="2017-04-21T00:00:00"/>
    <s v="Nil"/>
    <s v="Nil"/>
    <n v="9"/>
    <n v="8"/>
    <n v="2089"/>
    <n v="2106"/>
    <n v="343"/>
    <n v="993"/>
    <n v="173963"/>
    <n v="175299"/>
    <n v="336"/>
    <n v="975"/>
    <n v="171421"/>
    <n v="172732"/>
    <n v="98.54"/>
    <n v="1598"/>
    <n v="403"/>
    <n v="67"/>
    <n v="25"/>
    <n v="7"/>
    <n v="5"/>
    <n v="1"/>
    <n v="0"/>
    <n v="96566"/>
    <n v="78428"/>
    <n v="174994"/>
    <n v="4666"/>
    <n v="3537"/>
    <n v="8203"/>
    <n v="3058"/>
    <n v="2729"/>
    <n v="5787"/>
    <n v="94841"/>
    <n v="77703"/>
    <n v="172544"/>
    <n v="4541"/>
    <n v="3473"/>
    <n v="8014"/>
    <n v="2972"/>
    <n v="2661"/>
    <n v="5633"/>
    <n v="0"/>
    <n v="0"/>
    <n v="0"/>
    <n v="0"/>
    <n v="0"/>
    <n v="0"/>
    <n v="0"/>
    <n v="0"/>
    <n v="0"/>
    <n v="94841"/>
    <n v="77703"/>
    <n v="172544"/>
    <n v="4541"/>
    <n v="3473"/>
    <n v="8014"/>
    <n v="2972"/>
    <n v="2661"/>
    <n v="5633"/>
    <n v="98.21"/>
    <n v="99.08"/>
    <n v="98.6"/>
    <n v="97.32"/>
    <n v="98.19"/>
    <n v="97.7"/>
    <n v="97.19"/>
    <n v="97.51"/>
    <n v="97.34"/>
    <n v="203"/>
    <n v="102"/>
    <n v="305"/>
    <n v="18"/>
    <n v="7"/>
    <n v="25"/>
    <n v="14"/>
    <n v="9"/>
    <n v="23"/>
    <n v="121"/>
    <n v="67"/>
    <n v="188"/>
    <n v="14"/>
    <n v="6"/>
    <n v="20"/>
    <n v="6"/>
    <n v="7"/>
    <n v="13"/>
    <n v="0"/>
    <n v="0"/>
    <n v="0"/>
    <n v="0"/>
    <n v="0"/>
    <n v="0"/>
    <n v="0"/>
    <n v="0"/>
    <n v="0"/>
    <n v="121"/>
    <n v="67"/>
    <n v="188"/>
    <n v="14"/>
    <n v="6"/>
    <n v="20"/>
    <n v="6"/>
    <n v="7"/>
    <n v="13"/>
    <n v="59.61"/>
    <n v="65.69"/>
    <n v="61.64"/>
    <n v="77.78"/>
    <n v="85.71"/>
    <n v="80"/>
    <n v="42.86"/>
    <n v="77.78"/>
    <n v="56.52"/>
    <x v="22"/>
    <x v="23"/>
    <x v="22"/>
    <x v="20"/>
    <x v="20"/>
    <n v="6697"/>
    <x v="18"/>
    <x v="19"/>
    <n v="4323"/>
    <n v="11693"/>
    <n v="5987"/>
    <n v="17680"/>
    <n v="823"/>
    <n v="514"/>
    <n v="1337"/>
    <n v="828"/>
    <n v="495"/>
    <n v="1323"/>
    <n v="0"/>
    <n v="0"/>
    <n v="0"/>
    <n v="0"/>
    <n v="0"/>
  </r>
  <r>
    <x v="26"/>
    <x v="27"/>
    <s v="Madhyamik Pariksha(Secondary Examination)"/>
    <d v="2017-03-03T00:00:00"/>
    <d v="2017-03-23T00:00:00"/>
    <s v="Nil"/>
    <s v="Nil"/>
    <n v="956"/>
    <n v="0"/>
    <n v="0"/>
    <n v="956"/>
    <n v="49374"/>
    <n v="0"/>
    <n v="0"/>
    <n v="49374"/>
    <n v="29289"/>
    <n v="0"/>
    <n v="0"/>
    <n v="29289"/>
    <n v="59.32"/>
    <n v="1598"/>
    <n v="51"/>
    <n v="67"/>
    <n v="119"/>
    <n v="126"/>
    <n v="139"/>
    <n v="335"/>
    <n v="-1479"/>
    <n v="23837"/>
    <n v="24516"/>
    <n v="48353"/>
    <n v="4644"/>
    <n v="4581"/>
    <n v="9225"/>
    <n v="7905"/>
    <n v="7934"/>
    <n v="15839"/>
    <n v="14724"/>
    <n v="14279"/>
    <n v="29003"/>
    <n v="3091"/>
    <n v="2989"/>
    <n v="6080"/>
    <n v="3614"/>
    <n v="3023"/>
    <n v="6637"/>
    <n v="0"/>
    <n v="0"/>
    <n v="0"/>
    <n v="0"/>
    <n v="0"/>
    <n v="0"/>
    <n v="0"/>
    <n v="0"/>
    <n v="0"/>
    <n v="14724"/>
    <n v="14279"/>
    <n v="29003"/>
    <n v="3091"/>
    <n v="2989"/>
    <n v="6080"/>
    <n v="3614"/>
    <n v="3023"/>
    <n v="6637"/>
    <n v="61.77"/>
    <n v="58.24"/>
    <n v="59.98"/>
    <n v="66.56"/>
    <n v="65.25"/>
    <n v="65.91"/>
    <n v="45.72"/>
    <n v="38.1"/>
    <n v="41.9"/>
    <n v="488"/>
    <n v="533"/>
    <n v="1021"/>
    <n v="95"/>
    <n v="84"/>
    <n v="179"/>
    <n v="139"/>
    <n v="170"/>
    <n v="309"/>
    <n v="98"/>
    <n v="188"/>
    <n v="286"/>
    <n v="16"/>
    <n v="36"/>
    <n v="52"/>
    <n v="29"/>
    <n v="40"/>
    <n v="69"/>
    <n v="0"/>
    <n v="0"/>
    <n v="0"/>
    <n v="0"/>
    <n v="0"/>
    <n v="0"/>
    <n v="0"/>
    <n v="0"/>
    <n v="0"/>
    <n v="98"/>
    <n v="188"/>
    <n v="286"/>
    <n v="16"/>
    <n v="36"/>
    <n v="52"/>
    <n v="29"/>
    <n v="40"/>
    <n v="69"/>
    <n v="20.079999999999998"/>
    <n v="35.270000000000003"/>
    <n v="28.01"/>
    <n v="16.84"/>
    <n v="42.86"/>
    <n v="29.05"/>
    <n v="20.86"/>
    <n v="23.53"/>
    <n v="22.33"/>
    <x v="23"/>
    <x v="24"/>
    <x v="23"/>
    <x v="21"/>
    <x v="21"/>
    <n v="966"/>
    <x v="19"/>
    <x v="20"/>
    <n v="232"/>
    <n v="12497"/>
    <n v="12312"/>
    <n v="24809"/>
    <n v="2597"/>
    <n v="2569"/>
    <n v="5166"/>
    <n v="3515"/>
    <n v="2959"/>
    <n v="6474"/>
    <n v="0"/>
    <n v="0"/>
    <n v="0"/>
    <n v="0"/>
    <n v="0"/>
  </r>
  <r>
    <x v="27"/>
    <x v="28"/>
    <s v="Board of Secondary education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473003"/>
    <n v="587495"/>
    <n v="1060498"/>
    <n v="139447"/>
    <n v="164679"/>
    <n v="304126"/>
    <n v="27618"/>
    <n v="35521"/>
    <n v="63139"/>
    <n v="412446"/>
    <n v="462117"/>
    <n v="874563"/>
    <n v="116600"/>
    <n v="122050"/>
    <n v="238650"/>
    <n v="20038"/>
    <n v="21529"/>
    <n v="41567"/>
    <n v="0"/>
    <n v="0"/>
    <n v="0"/>
    <n v="0"/>
    <n v="0"/>
    <n v="0"/>
    <n v="0"/>
    <n v="0"/>
    <n v="0"/>
    <n v="412446"/>
    <n v="462117"/>
    <n v="874563"/>
    <n v="116600"/>
    <n v="122050"/>
    <n v="238650"/>
    <n v="20038"/>
    <n v="21529"/>
    <n v="41567"/>
    <n v="87.2"/>
    <n v="78.66"/>
    <n v="82.47"/>
    <n v="83.62"/>
    <n v="74.11"/>
    <n v="78.47"/>
    <n v="72.55"/>
    <n v="60.61"/>
    <n v="65.83"/>
    <n v="466"/>
    <n v="159"/>
    <n v="625"/>
    <n v="83"/>
    <n v="22"/>
    <n v="105"/>
    <n v="28"/>
    <n v="10"/>
    <n v="38"/>
    <n v="358"/>
    <n v="63"/>
    <n v="421"/>
    <n v="70"/>
    <n v="10"/>
    <n v="80"/>
    <n v="13"/>
    <n v="5"/>
    <n v="18"/>
    <n v="0"/>
    <n v="0"/>
    <n v="0"/>
    <n v="0"/>
    <n v="0"/>
    <n v="0"/>
    <n v="0"/>
    <n v="0"/>
    <n v="0"/>
    <n v="358"/>
    <n v="63"/>
    <n v="421"/>
    <n v="70"/>
    <n v="10"/>
    <n v="80"/>
    <n v="13"/>
    <n v="5"/>
    <n v="18"/>
    <n v="76.819999999999993"/>
    <n v="39.619999999999997"/>
    <n v="67.36"/>
    <n v="84.34"/>
    <n v="45.45"/>
    <n v="76.19"/>
    <n v="46.43"/>
    <n v="50"/>
    <n v="47.37"/>
    <x v="24"/>
    <x v="25"/>
    <x v="24"/>
    <x v="22"/>
    <x v="22"/>
    <n v="6840"/>
    <x v="20"/>
    <x v="21"/>
    <n v="433"/>
    <n v="36860"/>
    <n v="33974"/>
    <n v="70834"/>
    <n v="7165"/>
    <n v="5667"/>
    <n v="12832"/>
    <n v="722"/>
    <n v="517"/>
    <n v="1239"/>
    <n v="-1061123"/>
    <n v="-874984"/>
    <n v="-755738"/>
    <n v="-219058"/>
    <n v="-39913"/>
  </r>
  <r>
    <x v="28"/>
    <x v="29"/>
    <s v="Board of Secondary education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16119"/>
    <n v="19116"/>
    <n v="35235"/>
    <n v="125"/>
    <n v="141"/>
    <n v="266"/>
    <n v="14310"/>
    <n v="17452"/>
    <n v="31762"/>
    <n v="11240"/>
    <n v="13046"/>
    <n v="24286"/>
    <n v="76"/>
    <n v="95"/>
    <n v="171"/>
    <n v="9925"/>
    <n v="11851"/>
    <n v="21776"/>
    <n v="0"/>
    <n v="0"/>
    <n v="0"/>
    <n v="0"/>
    <n v="0"/>
    <n v="0"/>
    <n v="0"/>
    <n v="0"/>
    <n v="0"/>
    <n v="11240"/>
    <n v="13046"/>
    <n v="24286"/>
    <n v="76"/>
    <n v="95"/>
    <n v="171"/>
    <n v="9925"/>
    <n v="11851"/>
    <n v="21776"/>
    <n v="69.73"/>
    <n v="68.25"/>
    <n v="68.930000000000007"/>
    <n v="60.8"/>
    <n v="67.38"/>
    <n v="64.290000000000006"/>
    <n v="69.36"/>
    <n v="67.91"/>
    <n v="68.56"/>
    <n v="7536"/>
    <n v="8202"/>
    <n v="15738"/>
    <n v="15"/>
    <n v="16"/>
    <n v="31"/>
    <n v="7379"/>
    <n v="8020"/>
    <n v="15399"/>
    <n v="1449"/>
    <n v="1823"/>
    <n v="3272"/>
    <n v="4"/>
    <n v="12"/>
    <n v="16"/>
    <n v="1385"/>
    <n v="1739"/>
    <n v="3124"/>
    <n v="0"/>
    <n v="0"/>
    <n v="0"/>
    <n v="0"/>
    <n v="0"/>
    <n v="0"/>
    <n v="0"/>
    <n v="0"/>
    <n v="0"/>
    <n v="1449"/>
    <n v="1823"/>
    <n v="3272"/>
    <n v="4"/>
    <n v="12"/>
    <n v="16"/>
    <n v="1385"/>
    <n v="1739"/>
    <n v="3124"/>
    <n v="19.23"/>
    <n v="22.23"/>
    <n v="20.79"/>
    <n v="26.67"/>
    <n v="75"/>
    <n v="51.61"/>
    <n v="18.77"/>
    <n v="21.68"/>
    <n v="20.29"/>
    <x v="25"/>
    <x v="26"/>
    <x v="25"/>
    <x v="23"/>
    <x v="23"/>
    <n v="13"/>
    <x v="21"/>
    <x v="22"/>
    <n v="1211"/>
    <n v="2177"/>
    <n v="2482"/>
    <n v="4659"/>
    <n v="15"/>
    <n v="18"/>
    <n v="33"/>
    <n v="1889"/>
    <n v="2232"/>
    <n v="4121"/>
    <n v="-50973"/>
    <n v="-27558"/>
    <n v="-21394"/>
    <n v="-141"/>
    <n v="-19568"/>
  </r>
  <r>
    <x v="29"/>
    <x v="30"/>
    <s v="Board of Secondary education"/>
    <d v="2017-03-17T00:00:00"/>
    <d v="2017-01-04T00:00:00"/>
    <d v="2017-06-14T00:00:00"/>
    <d v="2017-06-28T00:00:00"/>
    <n v="5991"/>
    <n v="416"/>
    <n v="4736"/>
    <n v="11143"/>
    <n v="356314"/>
    <n v="21689"/>
    <n v="231499"/>
    <n v="609502"/>
    <n v="316337"/>
    <n v="18763"/>
    <n v="225153"/>
    <n v="560253"/>
    <n v="91.92"/>
    <n v="4102"/>
    <n v="8188"/>
    <n v="1555"/>
    <n v="686"/>
    <n v="370"/>
    <n v="251"/>
    <n v="268"/>
    <n v="-4277"/>
    <n v="314471"/>
    <n v="295031"/>
    <n v="609502"/>
    <n v="58595"/>
    <n v="57980"/>
    <n v="116575"/>
    <n v="14898"/>
    <n v="14787"/>
    <n v="29685"/>
    <n v="288909"/>
    <n v="271344"/>
    <n v="560253"/>
    <n v="51610"/>
    <n v="51191"/>
    <n v="102801"/>
    <n v="12543"/>
    <n v="12328"/>
    <n v="24871"/>
    <n v="0"/>
    <n v="0"/>
    <n v="0"/>
    <n v="0"/>
    <n v="0"/>
    <n v="0"/>
    <n v="0"/>
    <n v="0"/>
    <n v="0"/>
    <n v="288909"/>
    <n v="271344"/>
    <n v="560253"/>
    <n v="51610"/>
    <n v="51191"/>
    <n v="102801"/>
    <n v="12543"/>
    <n v="12328"/>
    <n v="24871"/>
    <n v="91.87"/>
    <n v="91.97"/>
    <n v="91.92"/>
    <n v="88.08"/>
    <n v="88.29"/>
    <n v="88.18"/>
    <n v="84.19"/>
    <n v="83.37"/>
    <n v="83.78"/>
    <n v="8340"/>
    <n v="4696"/>
    <n v="13036"/>
    <n v="2425"/>
    <n v="1517"/>
    <n v="3942"/>
    <n v="441"/>
    <n v="336"/>
    <n v="777"/>
    <n v="5095"/>
    <n v="3167"/>
    <n v="8262"/>
    <n v="1379"/>
    <n v="964"/>
    <n v="2343"/>
    <n v="256"/>
    <n v="209"/>
    <n v="465"/>
    <n v="0"/>
    <n v="0"/>
    <n v="0"/>
    <n v="0"/>
    <n v="0"/>
    <n v="0"/>
    <n v="0"/>
    <n v="0"/>
    <n v="0"/>
    <n v="5095"/>
    <n v="3167"/>
    <n v="8262"/>
    <n v="1379"/>
    <n v="964"/>
    <n v="2343"/>
    <n v="256"/>
    <n v="209"/>
    <n v="465"/>
    <n v="61.09"/>
    <n v="67.44"/>
    <n v="63.38"/>
    <n v="56.87"/>
    <n v="63.55"/>
    <n v="59.44"/>
    <n v="58.05"/>
    <n v="62.2"/>
    <n v="59.85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-13036"/>
    <n v="-8262"/>
    <n v="-568515"/>
    <n v="-105144"/>
    <n v="-25336"/>
  </r>
  <r>
    <x v="30"/>
    <x v="31"/>
    <s v="Secondary School Certificate Examination"/>
    <d v="2017-03-07T00:00:00"/>
    <d v="2017-04-01T00:00:00"/>
    <d v="2017-07-18T00:00:00"/>
    <d v="2017-08-02T00:00:00"/>
    <n v="0"/>
    <n v="21684"/>
    <n v="0"/>
    <n v="21684"/>
    <n v="0"/>
    <n v="1755005"/>
    <n v="0"/>
    <n v="1755005"/>
    <n v="0"/>
    <n v="1537034"/>
    <n v="0"/>
    <n v="1537034"/>
    <n v="87.58"/>
    <n v="3676"/>
    <n v="8029"/>
    <n v="5025"/>
    <n v="2578"/>
    <n v="1154"/>
    <n v="581"/>
    <n v="641"/>
    <n v="0"/>
    <n v="949323"/>
    <n v="759013"/>
    <n v="1708336"/>
    <n v="138887"/>
    <n v="112343"/>
    <n v="251230"/>
    <n v="83241"/>
    <n v="66302"/>
    <n v="149543"/>
    <n v="799260"/>
    <n v="685002"/>
    <n v="1484262"/>
    <n v="108819"/>
    <n v="95959"/>
    <n v="204778"/>
    <n v="63430"/>
    <n v="54168"/>
    <n v="117598"/>
    <n v="18565"/>
    <n v="9782"/>
    <n v="28347"/>
    <n v="3795"/>
    <n v="2302"/>
    <n v="6097"/>
    <n v="1653"/>
    <n v="1083"/>
    <n v="2736"/>
    <n v="817825"/>
    <n v="694784"/>
    <n v="1512609"/>
    <n v="112614"/>
    <n v="98261"/>
    <n v="210875"/>
    <n v="65083"/>
    <n v="55251"/>
    <n v="120334"/>
    <n v="86.15"/>
    <n v="91.54"/>
    <n v="88.54"/>
    <n v="81.08"/>
    <n v="87.47"/>
    <n v="83.94"/>
    <n v="78.19"/>
    <n v="83.33"/>
    <n v="80.47"/>
    <n v="33623"/>
    <n v="13046"/>
    <n v="46669"/>
    <n v="4522"/>
    <n v="1983"/>
    <n v="6505"/>
    <n v="1560"/>
    <n v="695"/>
    <n v="2255"/>
    <n v="14966"/>
    <n v="7251"/>
    <n v="22217"/>
    <n v="1625"/>
    <n v="918"/>
    <n v="2543"/>
    <n v="684"/>
    <n v="383"/>
    <n v="1067"/>
    <n v="1609"/>
    <n v="599"/>
    <n v="2208"/>
    <n v="267"/>
    <n v="108"/>
    <n v="375"/>
    <n v="71"/>
    <n v="33"/>
    <n v="104"/>
    <n v="16575"/>
    <n v="7850"/>
    <n v="24425"/>
    <n v="1892"/>
    <n v="1026"/>
    <n v="2918"/>
    <n v="755"/>
    <n v="416"/>
    <n v="1171"/>
    <n v="49.3"/>
    <n v="60.17"/>
    <n v="52.34"/>
    <n v="41.84"/>
    <n v="51.74"/>
    <n v="44.86"/>
    <n v="48.4"/>
    <n v="59.86"/>
    <n v="51.93"/>
    <x v="26"/>
    <x v="27"/>
    <x v="26"/>
    <x v="24"/>
    <x v="24"/>
    <n v="106157"/>
    <x v="22"/>
    <x v="23"/>
    <n v="53442"/>
    <n v="388807"/>
    <n v="250038"/>
    <n v="638845"/>
    <n v="63447"/>
    <n v="43901"/>
    <n v="107348"/>
    <n v="38706"/>
    <n v="29357"/>
    <n v="68063"/>
    <n v="0"/>
    <n v="0"/>
    <n v="0"/>
    <n v="-288"/>
    <n v="0"/>
  </r>
  <r>
    <x v="31"/>
    <x v="32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231537"/>
    <n v="223916"/>
    <n v="455453"/>
    <n v="23902"/>
    <n v="22842"/>
    <n v="46744"/>
    <n v="4264"/>
    <n v="4192"/>
    <n v="8456"/>
    <n v="220053"/>
    <n v="217103"/>
    <n v="437156"/>
    <n v="21533"/>
    <n v="21493"/>
    <n v="43026"/>
    <n v="3482"/>
    <n v="3514"/>
    <n v="6996"/>
    <n v="7454"/>
    <n v="4715"/>
    <n v="12169"/>
    <n v="1437"/>
    <n v="956"/>
    <n v="2393"/>
    <n v="289"/>
    <n v="313"/>
    <n v="602"/>
    <n v="227507"/>
    <n v="221818"/>
    <n v="449325"/>
    <n v="22970"/>
    <n v="22449"/>
    <n v="45419"/>
    <n v="3771"/>
    <n v="3827"/>
    <n v="7598"/>
    <n v="98.26"/>
    <n v="99.06"/>
    <n v="98.65"/>
    <n v="96.1"/>
    <n v="98.28"/>
    <n v="97.17"/>
    <n v="88.44"/>
    <n v="91.29"/>
    <n v="89.85"/>
    <n v="1953"/>
    <n v="685"/>
    <n v="2638"/>
    <n v="0"/>
    <n v="0"/>
    <n v="0"/>
    <n v="0"/>
    <n v="0"/>
    <n v="0"/>
    <n v="991"/>
    <n v="396"/>
    <n v="1387"/>
    <n v="0"/>
    <n v="0"/>
    <n v="0"/>
    <n v="0"/>
    <n v="0"/>
    <n v="0"/>
    <n v="0"/>
    <n v="0"/>
    <n v="0"/>
    <n v="0"/>
    <n v="0"/>
    <n v="0"/>
    <n v="0"/>
    <n v="0"/>
    <n v="0"/>
    <n v="991"/>
    <n v="396"/>
    <n v="1387"/>
    <n v="0"/>
    <n v="0"/>
    <n v="0"/>
    <n v="0"/>
    <n v="0"/>
    <n v="0"/>
    <n v="50.74"/>
    <n v="57.81"/>
    <n v="52.58"/>
    <e v="#DIV/0!"/>
    <e v="#DIV/0!"/>
    <e v="#DIV/0!"/>
    <e v="#DIV/0!"/>
    <e v="#DIV/0!"/>
    <e v="#DIV/0!"/>
    <x v="3"/>
    <x v="3"/>
    <x v="27"/>
    <x v="3"/>
    <x v="3"/>
    <n v="1409"/>
    <x v="2"/>
    <x v="3"/>
    <n v="112"/>
    <n v="0"/>
    <n v="0"/>
    <n v="120478"/>
    <n v="0"/>
    <n v="0"/>
    <n v="2948"/>
    <n v="0"/>
    <n v="0"/>
    <n v="282"/>
    <n v="-458091"/>
    <n v="-450712"/>
    <n v="-257863"/>
    <n v="-41062"/>
    <n v="-7204"/>
  </r>
  <r>
    <x v="32"/>
    <x v="33"/>
    <s v="High Madrasah Examination"/>
    <d v="2017-02-06T00:00:00"/>
    <d v="2017-02-18T00:00:00"/>
    <d v="2017-02-06T00:00:00"/>
    <d v="2017-02-18T00:00:00"/>
    <n v="0"/>
    <n v="404"/>
    <n v="4"/>
    <n v="408"/>
    <n v="0"/>
    <n v="52058"/>
    <n v="57"/>
    <n v="52115"/>
    <n v="0"/>
    <n v="40085"/>
    <n v="31"/>
    <n v="40116"/>
    <n v="76.98"/>
    <n v="8"/>
    <n v="100"/>
    <n v="103"/>
    <n v="79"/>
    <n v="59"/>
    <n v="32"/>
    <n v="27"/>
    <n v="0"/>
    <n v="14322"/>
    <n v="35489"/>
    <n v="49811"/>
    <n v="308"/>
    <n v="602"/>
    <n v="910"/>
    <n v="150"/>
    <n v="183"/>
    <n v="333"/>
    <n v="11937"/>
    <n v="26315"/>
    <n v="38252"/>
    <n v="244"/>
    <n v="394"/>
    <n v="638"/>
    <n v="114"/>
    <n v="98"/>
    <n v="212"/>
    <n v="0"/>
    <n v="0"/>
    <n v="0"/>
    <n v="0"/>
    <n v="0"/>
    <n v="0"/>
    <n v="0"/>
    <n v="0"/>
    <n v="0"/>
    <n v="11937"/>
    <n v="26315"/>
    <n v="38252"/>
    <n v="244"/>
    <n v="394"/>
    <n v="638"/>
    <n v="114"/>
    <n v="98"/>
    <n v="212"/>
    <n v="83.35"/>
    <n v="74.150000000000006"/>
    <n v="76.790000000000006"/>
    <n v="79.22"/>
    <n v="65.45"/>
    <n v="70.11"/>
    <n v="76"/>
    <n v="53.55"/>
    <n v="63.66"/>
    <n v="1517"/>
    <n v="787"/>
    <n v="2304"/>
    <n v="104"/>
    <n v="36"/>
    <n v="140"/>
    <n v="39"/>
    <n v="26"/>
    <n v="65"/>
    <n v="1212"/>
    <n v="652"/>
    <n v="1864"/>
    <n v="58"/>
    <n v="23"/>
    <n v="81"/>
    <n v="24"/>
    <n v="15"/>
    <n v="39"/>
    <n v="0"/>
    <n v="0"/>
    <n v="0"/>
    <n v="0"/>
    <n v="0"/>
    <n v="0"/>
    <n v="0"/>
    <n v="0"/>
    <n v="0"/>
    <n v="1212"/>
    <n v="652"/>
    <n v="1864"/>
    <n v="58"/>
    <n v="23"/>
    <n v="81"/>
    <n v="24"/>
    <n v="15"/>
    <n v="39"/>
    <n v="79.89"/>
    <n v="82.85"/>
    <n v="80.900000000000006"/>
    <n v="55.77"/>
    <n v="63.89"/>
    <n v="57.86"/>
    <n v="61.54"/>
    <n v="57.69"/>
    <n v="60"/>
    <x v="27"/>
    <x v="28"/>
    <x v="28"/>
    <x v="18"/>
    <x v="25"/>
    <n v="21"/>
    <x v="23"/>
    <x v="1"/>
    <n v="7"/>
    <n v="11842"/>
    <n v="25121"/>
    <n v="36963"/>
    <n v="292"/>
    <n v="406"/>
    <n v="698"/>
    <n v="136"/>
    <n v="108"/>
    <n v="244"/>
    <n v="0"/>
    <n v="0"/>
    <n v="0"/>
    <n v="0"/>
    <n v="0"/>
  </r>
  <r>
    <x v="33"/>
    <x v="34"/>
    <s v="Secondary School Leaving Certificate"/>
    <d v="2017-03-30T00:00:00"/>
    <d v="2017-04-12T00:00:00"/>
    <d v="2017-06-15T00:00:00"/>
    <d v="2017-06-22T00:00:00"/>
    <n v="5161"/>
    <n v="3285"/>
    <n v="5712"/>
    <n v="14158"/>
    <n v="338853"/>
    <n v="248476"/>
    <n v="268697"/>
    <n v="856026"/>
    <n v="311812"/>
    <n v="231297"/>
    <n v="259892"/>
    <n v="803001"/>
    <n v="93.81"/>
    <n v="835"/>
    <n v="2019"/>
    <n v="2406"/>
    <n v="2321"/>
    <n v="2044"/>
    <n v="1749"/>
    <n v="2784"/>
    <n v="0"/>
    <n v="434503"/>
    <n v="394363"/>
    <n v="828866"/>
    <n v="82799"/>
    <n v="73748"/>
    <n v="156547"/>
    <n v="31091"/>
    <n v="26965"/>
    <n v="58056"/>
    <n v="284727"/>
    <n v="296734"/>
    <n v="581461"/>
    <n v="48918"/>
    <n v="48772"/>
    <n v="97690"/>
    <n v="18809"/>
    <n v="18603"/>
    <n v="37412"/>
    <n v="66564"/>
    <n v="45902"/>
    <n v="112466"/>
    <n v="14209"/>
    <n v="10915"/>
    <n v="25124"/>
    <n v="5425"/>
    <n v="4027"/>
    <n v="9452"/>
    <n v="351291"/>
    <n v="342636"/>
    <n v="693927"/>
    <n v="63127"/>
    <n v="59687"/>
    <n v="122814"/>
    <n v="24234"/>
    <n v="22630"/>
    <n v="46864"/>
    <n v="80.849999999999994"/>
    <n v="86.88"/>
    <n v="83.72"/>
    <n v="76.239999999999995"/>
    <n v="80.930000000000007"/>
    <n v="78.45"/>
    <n v="77.95"/>
    <n v="83.92"/>
    <n v="80.72"/>
    <n v="21465"/>
    <n v="5695"/>
    <n v="27160"/>
    <n v="5467"/>
    <n v="1766"/>
    <n v="7233"/>
    <n v="1416"/>
    <n v="329"/>
    <n v="1745"/>
    <n v="806"/>
    <n v="316"/>
    <n v="1122"/>
    <n v="154"/>
    <n v="49"/>
    <n v="203"/>
    <n v="42"/>
    <n v="12"/>
    <n v="54"/>
    <n v="2016"/>
    <n v="689"/>
    <n v="2705"/>
    <n v="471"/>
    <n v="177"/>
    <n v="648"/>
    <n v="135"/>
    <n v="40"/>
    <n v="175"/>
    <n v="2822"/>
    <n v="1005"/>
    <n v="3827"/>
    <n v="625"/>
    <n v="226"/>
    <n v="851"/>
    <n v="177"/>
    <n v="52"/>
    <n v="229"/>
    <n v="13.15"/>
    <n v="17.649999999999999"/>
    <n v="14.09"/>
    <n v="11.43"/>
    <n v="12.8"/>
    <n v="11.77"/>
    <n v="12.5"/>
    <n v="15.81"/>
    <n v="13.12"/>
    <x v="28"/>
    <x v="29"/>
    <x v="29"/>
    <x v="25"/>
    <x v="26"/>
    <n v="64776"/>
    <x v="24"/>
    <x v="24"/>
    <n v="24664"/>
    <n v="91972"/>
    <n v="64028"/>
    <n v="156000"/>
    <n v="18621"/>
    <n v="14496"/>
    <n v="33117"/>
    <n v="7489"/>
    <n v="5313"/>
    <n v="12802"/>
    <n v="0"/>
    <n v="105247"/>
    <n v="-115171"/>
    <n v="-25772"/>
    <n v="-9627"/>
  </r>
  <r>
    <x v="34"/>
    <x v="35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n v="30550"/>
    <n v="5038"/>
    <n v="35588"/>
    <n v="18878"/>
    <n v="30511"/>
    <n v="493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x v="29"/>
    <x v="30"/>
    <x v="30"/>
    <x v="3"/>
    <x v="3"/>
    <n v="0"/>
    <x v="2"/>
    <x v="3"/>
    <n v="0"/>
    <n v="18875"/>
    <n v="30510"/>
    <n v="49385"/>
    <n v="0"/>
    <n v="0"/>
    <n v="0"/>
    <n v="0"/>
    <n v="0"/>
    <n v="0"/>
    <n v="-35588"/>
    <n v="0"/>
    <n v="49389"/>
    <n v="0"/>
    <n v="0"/>
  </r>
  <r>
    <x v="35"/>
    <x v="5"/>
    <s v="Purva Madhyama class (X)"/>
    <d v="2017-02-14T00:00:00"/>
    <d v="2017-03-01T00:00:00"/>
    <d v="2017-07-17T00:00:00"/>
    <d v="2017-07-19T00:00:00"/>
    <n v="1"/>
    <n v="5"/>
    <n v="31"/>
    <n v="37"/>
    <n v="6"/>
    <n v="196"/>
    <n v="561"/>
    <n v="763"/>
    <n v="6"/>
    <n v="196"/>
    <n v="517"/>
    <n v="719"/>
    <n v="94.23"/>
    <n v="0"/>
    <n v="0"/>
    <n v="0"/>
    <n v="1"/>
    <n v="218"/>
    <n v="386"/>
    <n v="114"/>
    <n v="-682"/>
    <n v="440"/>
    <n v="312"/>
    <n v="752"/>
    <n v="38"/>
    <n v="50"/>
    <n v="88"/>
    <n v="179"/>
    <n v="106"/>
    <n v="285"/>
    <n v="399"/>
    <n v="297"/>
    <n v="696"/>
    <n v="35"/>
    <n v="46"/>
    <n v="81"/>
    <n v="174"/>
    <n v="102"/>
    <n v="276"/>
    <n v="10"/>
    <n v="2"/>
    <n v="12"/>
    <n v="1"/>
    <n v="2"/>
    <n v="3"/>
    <n v="1"/>
    <n v="1"/>
    <n v="2"/>
    <n v="409"/>
    <n v="299"/>
    <n v="708"/>
    <n v="36"/>
    <n v="48"/>
    <n v="84"/>
    <n v="175"/>
    <n v="103"/>
    <n v="278"/>
    <n v="92.95"/>
    <n v="95.83"/>
    <n v="94.15"/>
    <n v="94.74"/>
    <n v="96"/>
    <n v="95.45"/>
    <n v="97.77"/>
    <n v="97.17"/>
    <n v="97.54"/>
    <n v="10"/>
    <n v="1"/>
    <n v="11"/>
    <n v="0"/>
    <n v="1"/>
    <n v="1"/>
    <n v="1"/>
    <n v="0"/>
    <n v="1"/>
    <n v="10"/>
    <n v="1"/>
    <n v="11"/>
    <n v="0"/>
    <n v="1"/>
    <n v="1"/>
    <n v="1"/>
    <n v="0"/>
    <n v="1"/>
    <n v="0"/>
    <n v="0"/>
    <n v="0"/>
    <n v="0"/>
    <n v="0"/>
    <n v="0"/>
    <n v="0"/>
    <n v="0"/>
    <n v="0"/>
    <n v="10"/>
    <n v="1"/>
    <n v="11"/>
    <n v="0"/>
    <n v="1"/>
    <n v="1"/>
    <n v="1"/>
    <n v="0"/>
    <n v="1"/>
    <n v="100"/>
    <n v="100"/>
    <n v="100"/>
    <e v="#DIV/0!"/>
    <n v="100"/>
    <n v="100"/>
    <n v="100"/>
    <e v="#DIV/0!"/>
    <n v="100"/>
    <x v="3"/>
    <x v="3"/>
    <x v="3"/>
    <x v="3"/>
    <x v="3"/>
    <n v="0"/>
    <x v="2"/>
    <x v="3"/>
    <n v="0"/>
    <n v="10"/>
    <n v="1"/>
    <n v="11"/>
    <n v="0"/>
    <n v="1"/>
    <n v="1"/>
    <n v="1"/>
    <n v="0"/>
    <n v="1"/>
    <n v="0"/>
    <n v="0"/>
    <n v="-708"/>
    <n v="-84"/>
    <n v="-278"/>
  </r>
  <r>
    <x v="36"/>
    <x v="36"/>
    <s v="Board of Secondary education (Class X)"/>
    <d v="2017-03-09T00:00:00"/>
    <d v="2017-03-21T00:00:00"/>
    <d v="2017-08-10T00:00:00"/>
    <d v="2017-08-12T00:00:00"/>
    <n v="13414"/>
    <n v="0"/>
    <n v="13344"/>
    <n v="26758"/>
    <n v="504107"/>
    <n v="0"/>
    <n v="550574"/>
    <n v="1054681"/>
    <n v="395078"/>
    <n v="0"/>
    <n v="465051"/>
    <n v="860129"/>
    <n v="81.55"/>
    <n v="2647"/>
    <n v="5518"/>
    <n v="6237"/>
    <n v="4518"/>
    <n v="3344"/>
    <n v="2163"/>
    <n v="2197"/>
    <n v="134"/>
    <n v="608759"/>
    <n v="458629"/>
    <n v="1067388"/>
    <n v="113624"/>
    <n v="86029"/>
    <n v="199653"/>
    <n v="77656"/>
    <n v="67356"/>
    <n v="145012"/>
    <n v="482743"/>
    <n v="363450"/>
    <n v="846193"/>
    <n v="86356"/>
    <n v="63950"/>
    <n v="150306"/>
    <n v="56155"/>
    <n v="46530"/>
    <n v="102685"/>
    <n v="0"/>
    <n v="0"/>
    <n v="0"/>
    <n v="0"/>
    <n v="0"/>
    <n v="0"/>
    <n v="0"/>
    <n v="0"/>
    <n v="0"/>
    <n v="482743"/>
    <n v="363450"/>
    <n v="846193"/>
    <n v="86356"/>
    <n v="63950"/>
    <n v="150306"/>
    <n v="56155"/>
    <n v="46530"/>
    <n v="102685"/>
    <n v="79.3"/>
    <n v="79.25"/>
    <n v="79.28"/>
    <n v="76"/>
    <n v="74.34"/>
    <n v="75.28"/>
    <n v="72.31"/>
    <n v="69.08"/>
    <n v="70.81"/>
    <n v="2930"/>
    <n v="2481"/>
    <n v="5411"/>
    <n v="590"/>
    <n v="493"/>
    <n v="1083"/>
    <n v="158"/>
    <n v="135"/>
    <n v="293"/>
    <n v="539"/>
    <n v="331"/>
    <n v="870"/>
    <n v="59"/>
    <n v="34"/>
    <n v="93"/>
    <n v="8"/>
    <n v="9"/>
    <n v="17"/>
    <n v="0"/>
    <n v="0"/>
    <n v="0"/>
    <n v="0"/>
    <n v="0"/>
    <n v="0"/>
    <n v="0"/>
    <n v="0"/>
    <n v="0"/>
    <n v="539"/>
    <n v="331"/>
    <n v="870"/>
    <n v="59"/>
    <n v="34"/>
    <n v="93"/>
    <n v="8"/>
    <n v="9"/>
    <n v="17"/>
    <n v="18.399999999999999"/>
    <n v="13.34"/>
    <n v="16.079999999999998"/>
    <n v="10"/>
    <n v="6.9"/>
    <n v="8.59"/>
    <n v="5.0599999999999996"/>
    <n v="6.67"/>
    <n v="5.8"/>
    <x v="30"/>
    <x v="31"/>
    <x v="31"/>
    <x v="26"/>
    <x v="27"/>
    <n v="43411"/>
    <x v="25"/>
    <x v="25"/>
    <n v="23166"/>
    <n v="429055"/>
    <n v="319223"/>
    <n v="748278"/>
    <n v="86920"/>
    <n v="67160"/>
    <n v="154080"/>
    <n v="63129"/>
    <n v="57447"/>
    <n v="120576"/>
    <n v="-18118"/>
    <n v="13066"/>
    <n v="211783"/>
    <n v="47092"/>
    <n v="41040"/>
  </r>
  <r>
    <x v="37"/>
    <x v="37"/>
    <s v="High School Leaving Certificate Examination(HSLC)"/>
    <d v="2017-02-17T00:00:00"/>
    <s v="10-013-2017"/>
    <d v="2017-07-27T00:00:00"/>
    <d v="2017-07-31T00:00:00"/>
    <n v="4067"/>
    <n v="0"/>
    <n v="2531"/>
    <n v="6598"/>
    <n v="283943"/>
    <n v="0"/>
    <n v="98813"/>
    <n v="382756"/>
    <n v="133688"/>
    <n v="0"/>
    <n v="50255"/>
    <n v="183943"/>
    <n v="48.06"/>
    <n v="214"/>
    <n v="401"/>
    <n v="429"/>
    <n v="510"/>
    <n v="669"/>
    <n v="846"/>
    <n v="3565"/>
    <n v="-36"/>
    <n v="188722"/>
    <n v="194034"/>
    <n v="382756"/>
    <n v="17883"/>
    <n v="18381"/>
    <n v="36264"/>
    <n v="37511"/>
    <n v="37893"/>
    <n v="75404"/>
    <n v="93470"/>
    <n v="90464"/>
    <n v="183934"/>
    <n v="7656"/>
    <n v="7191"/>
    <n v="14847"/>
    <n v="15255"/>
    <n v="14072"/>
    <n v="29327"/>
    <n v="17722"/>
    <n v="16531"/>
    <n v="34253"/>
    <n v="1889"/>
    <n v="1770"/>
    <n v="3659"/>
    <n v="4510"/>
    <n v="3957"/>
    <n v="8467"/>
    <n v="111192"/>
    <n v="106995"/>
    <n v="218187"/>
    <n v="9545"/>
    <n v="8961"/>
    <n v="18506"/>
    <n v="19765"/>
    <n v="18029"/>
    <n v="37794"/>
    <n v="58.92"/>
    <n v="55.14"/>
    <n v="57"/>
    <n v="53.37"/>
    <n v="48.75"/>
    <n v="51.03"/>
    <n v="52.69"/>
    <n v="47.58"/>
    <n v="50.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6"/>
    <x v="16"/>
    <x v="15"/>
    <x v="15"/>
    <x v="15"/>
    <n v="3648"/>
    <x v="14"/>
    <x v="15"/>
    <n v="7047"/>
    <n v="74372"/>
    <n v="87306"/>
    <n v="161678"/>
    <n v="7624"/>
    <n v="7235"/>
    <n v="14859"/>
    <n v="15968"/>
    <n v="14779"/>
    <n v="30747"/>
    <n v="0"/>
    <n v="-34244"/>
    <n v="0"/>
    <n v="1"/>
    <n v="0"/>
  </r>
  <r>
    <x v="38"/>
    <x v="38"/>
    <s v="Nil"/>
    <s v="Nil"/>
    <s v="Nil"/>
    <s v="Nil"/>
    <s v="Nil"/>
    <n v="0"/>
    <n v="0"/>
    <n v="0"/>
    <n v="0"/>
    <n v="0"/>
    <n v="0"/>
    <n v="0"/>
    <n v="0"/>
    <n v="0"/>
    <n v="0"/>
    <n v="0"/>
    <n v="0"/>
    <e v="#DIV/0!"/>
    <n v="0"/>
    <n v="0"/>
    <n v="0"/>
    <n v="0"/>
    <n v="0"/>
    <n v="0"/>
    <n v="0"/>
    <n v="0"/>
    <n v="17374"/>
    <n v="17774"/>
    <n v="35148"/>
    <n v="625"/>
    <n v="729"/>
    <n v="1354"/>
    <n v="6771"/>
    <n v="7070"/>
    <n v="13841"/>
    <n v="11931"/>
    <n v="11313"/>
    <n v="23244"/>
    <n v="449"/>
    <n v="513"/>
    <n v="962"/>
    <n v="4549"/>
    <n v="4327"/>
    <n v="8876"/>
    <n v="2057"/>
    <n v="2319"/>
    <n v="4376"/>
    <n v="67"/>
    <n v="67"/>
    <n v="134"/>
    <n v="922"/>
    <n v="1058"/>
    <n v="1980"/>
    <n v="13988"/>
    <n v="13632"/>
    <n v="27620"/>
    <n v="516"/>
    <n v="580"/>
    <n v="1096"/>
    <n v="5471"/>
    <n v="5385"/>
    <n v="10856"/>
    <n v="80.510000000000005"/>
    <n v="76.7"/>
    <n v="78.58"/>
    <n v="82.56"/>
    <n v="79.56"/>
    <n v="80.95"/>
    <n v="80.8"/>
    <n v="76.17"/>
    <n v="78.430000000000007"/>
    <n v="25"/>
    <n v="13"/>
    <n v="38"/>
    <n v="1"/>
    <n v="0"/>
    <n v="1"/>
    <n v="5"/>
    <n v="3"/>
    <n v="8"/>
    <n v="7"/>
    <n v="4"/>
    <n v="11"/>
    <n v="0"/>
    <n v="0"/>
    <n v="0"/>
    <n v="1"/>
    <n v="1"/>
    <n v="2"/>
    <n v="1"/>
    <n v="0"/>
    <n v="1"/>
    <n v="0"/>
    <n v="0"/>
    <n v="0"/>
    <n v="0"/>
    <n v="0"/>
    <n v="0"/>
    <n v="8"/>
    <n v="4"/>
    <n v="12"/>
    <n v="0"/>
    <n v="0"/>
    <n v="0"/>
    <n v="1"/>
    <n v="1"/>
    <n v="2"/>
    <n v="32"/>
    <n v="30.77"/>
    <n v="31.58"/>
    <n v="0"/>
    <e v="#DIV/0!"/>
    <n v="0"/>
    <n v="20"/>
    <n v="33.33"/>
    <n v="25"/>
    <x v="31"/>
    <x v="32"/>
    <x v="32"/>
    <x v="27"/>
    <x v="28"/>
    <n v="58"/>
    <x v="26"/>
    <x v="26"/>
    <n v="166"/>
    <n v="3863"/>
    <n v="3824"/>
    <n v="7687"/>
    <n v="135"/>
    <n v="184"/>
    <n v="319"/>
    <n v="1321"/>
    <n v="1373"/>
    <n v="2694"/>
    <n v="-35186"/>
    <n v="-27632"/>
    <n v="-18986"/>
    <n v="-719"/>
    <n v="-7998"/>
  </r>
  <r>
    <x v="39"/>
    <x v="39"/>
    <s v="High School Leaving Certificate Examination(HSLC)"/>
    <d v="2017-02-03T00:00:00"/>
    <d v="2017-03-24T00:00:00"/>
    <d v="2017-06-21T00:00:00"/>
    <d v="2017-06-22T00:00:00"/>
    <n v="182"/>
    <n v="84"/>
    <n v="63"/>
    <n v="329"/>
    <n v="4880"/>
    <n v="3789"/>
    <n v="5959"/>
    <n v="14628"/>
    <n v="3153"/>
    <n v="2891"/>
    <n v="4596"/>
    <n v="10640"/>
    <n v="72.739999999999995"/>
    <n v="74"/>
    <n v="78"/>
    <n v="99"/>
    <n v="74"/>
    <n v="49"/>
    <n v="62"/>
    <n v="194"/>
    <n v="-301"/>
    <n v="6892"/>
    <n v="7636"/>
    <n v="14528"/>
    <n v="12"/>
    <n v="19"/>
    <n v="31"/>
    <n v="6791"/>
    <n v="7517"/>
    <n v="14308"/>
    <n v="5099"/>
    <n v="5438"/>
    <n v="10537"/>
    <n v="10"/>
    <n v="13"/>
    <n v="23"/>
    <n v="5012"/>
    <n v="5351"/>
    <n v="10363"/>
    <n v="45"/>
    <n v="38"/>
    <n v="83"/>
    <n v="0"/>
    <n v="0"/>
    <n v="0"/>
    <n v="45"/>
    <n v="38"/>
    <n v="83"/>
    <n v="5144"/>
    <n v="5476"/>
    <n v="10620"/>
    <n v="10"/>
    <n v="13"/>
    <n v="23"/>
    <n v="5057"/>
    <n v="5389"/>
    <n v="10446"/>
    <n v="74.64"/>
    <n v="71.709999999999994"/>
    <n v="73.099999999999994"/>
    <n v="83.33"/>
    <n v="68.42"/>
    <n v="74.19"/>
    <n v="74.47"/>
    <n v="71.69"/>
    <n v="73.010000000000005"/>
    <n v="53"/>
    <n v="47"/>
    <n v="100"/>
    <n v="0"/>
    <n v="0"/>
    <n v="0"/>
    <n v="53"/>
    <n v="47"/>
    <n v="100"/>
    <n v="14"/>
    <n v="6"/>
    <n v="20"/>
    <n v="0"/>
    <n v="0"/>
    <n v="0"/>
    <n v="14"/>
    <n v="6"/>
    <n v="20"/>
    <n v="0"/>
    <n v="0"/>
    <n v="0"/>
    <n v="0"/>
    <n v="0"/>
    <n v="0"/>
    <n v="0"/>
    <n v="0"/>
    <n v="0"/>
    <n v="14"/>
    <n v="6"/>
    <n v="20"/>
    <n v="0"/>
    <n v="0"/>
    <n v="0"/>
    <n v="14"/>
    <n v="6"/>
    <n v="20"/>
    <n v="26.42"/>
    <n v="12.77"/>
    <n v="20"/>
    <e v="#DIV/0!"/>
    <e v="#DIV/0!"/>
    <e v="#DIV/0!"/>
    <n v="26.42"/>
    <n v="12.77"/>
    <n v="20"/>
    <x v="32"/>
    <x v="33"/>
    <x v="33"/>
    <x v="28"/>
    <x v="29"/>
    <n v="13"/>
    <x v="27"/>
    <x v="27"/>
    <n v="4059"/>
    <n v="3273"/>
    <n v="3249"/>
    <n v="6522"/>
    <n v="5"/>
    <n v="5"/>
    <n v="10"/>
    <n v="3208"/>
    <n v="3199"/>
    <n v="6407"/>
    <n v="0"/>
    <n v="0"/>
    <n v="0"/>
    <n v="0"/>
    <n v="0"/>
  </r>
  <r>
    <x v="40"/>
    <x v="40"/>
    <s v="High School Leaving Certificate Examination(HSLC)"/>
    <s v="Nil"/>
    <s v="Nil"/>
    <s v="Nil"/>
    <s v="Nil"/>
    <n v="0"/>
    <n v="0"/>
    <n v="0"/>
    <n v="0"/>
    <n v="0"/>
    <n v="0"/>
    <n v="0"/>
    <n v="0"/>
    <n v="0"/>
    <n v="0"/>
    <n v="283725"/>
    <n v="283725"/>
    <e v="#DIV/0!"/>
    <n v="5059"/>
    <n v="4841"/>
    <n v="1506"/>
    <n v="489"/>
    <n v="182"/>
    <n v="69"/>
    <n v="42"/>
    <n v="-12188"/>
    <n v="490870"/>
    <n v="491227"/>
    <n v="982097"/>
    <n v="117953"/>
    <n v="123166"/>
    <n v="241119"/>
    <n v="4798"/>
    <n v="4849"/>
    <n v="9647"/>
    <n v="454212"/>
    <n v="472499"/>
    <n v="926711"/>
    <n v="103904"/>
    <n v="11458"/>
    <n v="115362"/>
    <n v="4200"/>
    <n v="4357"/>
    <n v="8557"/>
    <m/>
    <m/>
    <n v="0"/>
    <m/>
    <m/>
    <n v="0"/>
    <m/>
    <m/>
    <n v="0"/>
    <m/>
    <m/>
    <n v="0"/>
    <m/>
    <m/>
    <n v="0"/>
    <m/>
    <m/>
    <n v="0"/>
    <n v="0"/>
    <n v="0"/>
    <n v="0"/>
    <n v="0"/>
    <n v="0"/>
    <n v="0"/>
    <n v="0"/>
    <n v="0"/>
    <n v="0"/>
    <n v="31867"/>
    <n v="11940"/>
    <n v="43807"/>
    <n v="10394"/>
    <n v="3967"/>
    <n v="14361"/>
    <n v="327"/>
    <n v="150"/>
    <n v="477"/>
    <n v="7495"/>
    <n v="4347"/>
    <n v="11842"/>
    <n v="2183"/>
    <n v="1211"/>
    <n v="3394"/>
    <n v="69"/>
    <n v="46"/>
    <n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3"/>
    <x v="34"/>
    <x v="34"/>
    <x v="29"/>
    <x v="30"/>
    <n v="159819"/>
    <x v="28"/>
    <x v="28"/>
    <n v="5780"/>
    <n v="105609"/>
    <n v="65705"/>
    <n v="171314"/>
    <n v="33941"/>
    <n v="25002"/>
    <n v="58943"/>
    <n v="1449"/>
    <n v="1328"/>
    <n v="2777"/>
    <n v="-1025904"/>
    <n v="283725"/>
    <n v="926711"/>
    <n v="218762"/>
    <n v="8557"/>
  </r>
  <r>
    <x v="41"/>
    <x v="41"/>
    <s v="High School"/>
    <d v="2017-03-20T00:00:00"/>
    <d v="2017-03-30T00:00:00"/>
    <d v="2017-07-28T00:00:00"/>
    <d v="2017-08-05T00:00:00"/>
    <m/>
    <m/>
    <m/>
    <n v="0"/>
    <m/>
    <n v="162"/>
    <n v="80"/>
    <n v="242"/>
    <m/>
    <n v="159"/>
    <n v="77"/>
    <n v="236"/>
    <n v="97.52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0"/>
    <n v="0"/>
    <n v="0"/>
    <n v="0"/>
    <n v="0"/>
  </r>
  <r>
    <x v="42"/>
    <x v="42"/>
    <s v="Poorv Madhyama (X)"/>
    <d v="2017-04-12T00:00:00"/>
    <d v="2017-04-20T00:00:00"/>
    <d v="2017-07-14T00:00:00"/>
    <d v="2017-07-20T00:00:00"/>
    <n v="29"/>
    <n v="0"/>
    <n v="139"/>
    <n v="168"/>
    <n v="316"/>
    <n v="0"/>
    <n v="1538"/>
    <n v="1854"/>
    <n v="203"/>
    <n v="0"/>
    <n v="649"/>
    <n v="852"/>
    <n v="45.95"/>
    <n v="0"/>
    <n v="0"/>
    <n v="0"/>
    <n v="0"/>
    <n v="0"/>
    <n v="0"/>
    <n v="0"/>
    <n v="168"/>
    <n v="1406"/>
    <n v="448"/>
    <n v="1854"/>
    <n v="104"/>
    <n v="71"/>
    <n v="175"/>
    <n v="52"/>
    <n v="56"/>
    <n v="108"/>
    <n v="519"/>
    <n v="32"/>
    <n v="551"/>
    <n v="11"/>
    <n v="5"/>
    <n v="16"/>
    <n v="16"/>
    <n v="1"/>
    <n v="17"/>
    <n v="560"/>
    <n v="303"/>
    <n v="863"/>
    <n v="64"/>
    <n v="45"/>
    <n v="109"/>
    <n v="36"/>
    <n v="44"/>
    <n v="80"/>
    <n v="837"/>
    <n v="115"/>
    <n v="952"/>
    <n v="31"/>
    <n v="18"/>
    <n v="49"/>
    <n v="7"/>
    <n v="18"/>
    <n v="25"/>
    <n v="59.53"/>
    <n v="25.67"/>
    <n v="51.35"/>
    <n v="29.81"/>
    <n v="25.35"/>
    <n v="28"/>
    <n v="13.46"/>
    <n v="32.14"/>
    <n v="23.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3"/>
    <x v="3"/>
    <x v="3"/>
    <x v="3"/>
    <x v="3"/>
    <n v="0"/>
    <x v="2"/>
    <x v="3"/>
    <n v="0"/>
    <n v="0"/>
    <n v="0"/>
    <n v="0"/>
    <n v="0"/>
    <n v="0"/>
    <n v="0"/>
    <n v="0"/>
    <n v="0"/>
    <n v="0"/>
    <n v="0"/>
    <n v="-100"/>
    <n v="-952"/>
    <n v="-49"/>
    <n v="-25"/>
  </r>
  <r>
    <x v="43"/>
    <x v="43"/>
    <s v="Purva Madhyma"/>
    <d v="2017-04-18T00:00:00"/>
    <d v="2017-04-27T00:00:00"/>
    <s v="N.A"/>
    <s v="N.A"/>
    <n v="2"/>
    <n v="971"/>
    <n v="118"/>
    <n v="1091"/>
    <n v="25"/>
    <n v="12957"/>
    <n v="5900"/>
    <n v="18882"/>
    <n v="20"/>
    <n v="12245"/>
    <n v="5892"/>
    <n v="18157"/>
    <n v="96.16"/>
    <n v="0"/>
    <n v="598"/>
    <n v="349"/>
    <n v="46"/>
    <n v="97"/>
    <n v="1"/>
    <n v="0"/>
    <n v="0"/>
    <n v="11829"/>
    <n v="4870"/>
    <n v="16699"/>
    <n v="1499"/>
    <n v="787"/>
    <n v="2286"/>
    <n v="5"/>
    <n v="0"/>
    <n v="5"/>
    <n v="11328"/>
    <n v="4673"/>
    <n v="16001"/>
    <n v="1280"/>
    <n v="702"/>
    <n v="1982"/>
    <n v="4"/>
    <n v="0"/>
    <n v="4"/>
    <n v="0"/>
    <n v="0"/>
    <n v="0"/>
    <n v="0"/>
    <n v="0"/>
    <n v="0"/>
    <n v="0"/>
    <n v="0"/>
    <n v="0"/>
    <n v="11328"/>
    <n v="4673"/>
    <n v="16001"/>
    <n v="1280"/>
    <n v="702"/>
    <n v="1982"/>
    <n v="4"/>
    <n v="0"/>
    <n v="4"/>
    <n v="95.76"/>
    <n v="95.95"/>
    <n v="95.82"/>
    <n v="85.39"/>
    <n v="89.2"/>
    <n v="86.7"/>
    <n v="80"/>
    <e v="#DIV/0!"/>
    <n v="80"/>
    <n v="1128"/>
    <n v="516"/>
    <n v="1644"/>
    <n v="63"/>
    <n v="60"/>
    <n v="123"/>
    <n v="0"/>
    <n v="0"/>
    <n v="0"/>
    <n v="917"/>
    <n v="423"/>
    <n v="1340"/>
    <n v="44"/>
    <n v="53"/>
    <n v="97"/>
    <n v="0"/>
    <n v="0"/>
    <n v="0"/>
    <n v="0"/>
    <n v="0"/>
    <n v="0"/>
    <n v="0"/>
    <n v="0"/>
    <n v="0"/>
    <n v="0"/>
    <n v="0"/>
    <n v="0"/>
    <n v="917"/>
    <n v="423"/>
    <n v="1340"/>
    <n v="44"/>
    <n v="53"/>
    <n v="97"/>
    <n v="0"/>
    <n v="0"/>
    <n v="0"/>
    <n v="81.290000000000006"/>
    <n v="81.98"/>
    <n v="81.510000000000005"/>
    <n v="69.84"/>
    <n v="88.33"/>
    <n v="78.86"/>
    <e v="#DIV/0!"/>
    <e v="#DIV/0!"/>
    <e v="#DIV/0!"/>
    <x v="34"/>
    <x v="35"/>
    <x v="35"/>
    <x v="30"/>
    <x v="31"/>
    <n v="1230"/>
    <x v="29"/>
    <x v="3"/>
    <n v="3"/>
    <n v="5715"/>
    <n v="2016"/>
    <n v="7731"/>
    <n v="774"/>
    <n v="75"/>
    <n v="849"/>
    <n v="1"/>
    <n v="0"/>
    <n v="1"/>
    <n v="539"/>
    <n v="816"/>
    <n v="0"/>
    <n v="0"/>
    <n v="0"/>
  </r>
  <r>
    <x v="44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  <r>
    <x v="11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  <r>
    <x v="11"/>
    <x v="44"/>
    <m/>
    <m/>
    <m/>
    <m/>
    <m/>
    <m/>
    <m/>
    <m/>
    <m/>
    <m/>
    <m/>
    <m/>
    <m/>
    <m/>
    <m/>
    <m/>
    <m/>
    <e v="#DIV/0!"/>
    <n v="5059"/>
    <n v="4841"/>
    <n v="1506"/>
    <n v="489"/>
    <n v="182"/>
    <n v="69"/>
    <n v="42"/>
    <n v="-12188"/>
    <n v="125"/>
    <n v="117"/>
    <n v="242"/>
    <n v="20"/>
    <n v="20"/>
    <n v="40"/>
    <n v="13"/>
    <n v="20"/>
    <n v="33"/>
    <n v="120"/>
    <n v="110"/>
    <n v="230"/>
    <n v="19"/>
    <n v="17"/>
    <n v="36"/>
    <n v="12"/>
    <n v="19"/>
    <n v="31"/>
    <n v="2"/>
    <n v="4"/>
    <n v="6"/>
    <n v="1"/>
    <n v="1"/>
    <n v="2"/>
    <m/>
    <m/>
    <n v="0"/>
    <n v="122"/>
    <n v="114"/>
    <n v="236"/>
    <n v="20"/>
    <n v="18"/>
    <n v="38"/>
    <n v="12"/>
    <n v="19"/>
    <n v="31"/>
    <n v="97.6"/>
    <n v="97.44"/>
    <n v="97.52"/>
    <n v="100"/>
    <n v="90"/>
    <n v="95"/>
    <n v="92.31"/>
    <n v="95"/>
    <n v="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e v="#DIV/0!"/>
    <e v="#DIV/0!"/>
    <e v="#DIV/0!"/>
    <e v="#DIV/0!"/>
    <e v="#DIV/0!"/>
    <e v="#DIV/0!"/>
    <e v="#DIV/0!"/>
    <e v="#DIV/0!"/>
    <e v="#DIV/0!"/>
    <x v="13"/>
    <x v="13"/>
    <x v="12"/>
    <x v="13"/>
    <x v="13"/>
    <n v="27"/>
    <x v="12"/>
    <x v="13"/>
    <n v="22"/>
    <n v="29"/>
    <n v="20"/>
    <n v="49"/>
    <n v="5"/>
    <n v="6"/>
    <n v="11"/>
    <n v="3"/>
    <n v="6"/>
    <n v="9"/>
    <n v="-242"/>
    <n v="-236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50" firstHeaderRow="1" firstDataRow="2" firstDataCol="1"/>
  <pivotFields count="141">
    <pivotField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1"/>
        <item t="default"/>
      </items>
    </pivotField>
    <pivotField axis="axisRow" showAll="0">
      <items count="46">
        <item x="36"/>
        <item x="21"/>
        <item x="30"/>
        <item x="37"/>
        <item x="18"/>
        <item x="2"/>
        <item x="41"/>
        <item x="3"/>
        <item x="35"/>
        <item x="8"/>
        <item x="38"/>
        <item x="12"/>
        <item x="19"/>
        <item x="5"/>
        <item x="4"/>
        <item x="23"/>
        <item x="26"/>
        <item x="22"/>
        <item x="6"/>
        <item x="7"/>
        <item x="9"/>
        <item x="25"/>
        <item x="24"/>
        <item x="34"/>
        <item x="32"/>
        <item x="11"/>
        <item x="10"/>
        <item x="31"/>
        <item x="42"/>
        <item x="29"/>
        <item x="39"/>
        <item x="20"/>
        <item x="1"/>
        <item x="13"/>
        <item x="17"/>
        <item x="40"/>
        <item x="27"/>
        <item x="14"/>
        <item x="43"/>
        <item x="0"/>
        <item x="16"/>
        <item x="15"/>
        <item x="33"/>
        <item x="28"/>
        <item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6">
        <item x="3"/>
        <item x="29"/>
        <item x="2"/>
        <item x="13"/>
        <item x="14"/>
        <item x="1"/>
        <item x="31"/>
        <item x="25"/>
        <item x="19"/>
        <item x="27"/>
        <item x="32"/>
        <item x="23"/>
        <item x="18"/>
        <item x="5"/>
        <item x="34"/>
        <item x="15"/>
        <item x="21"/>
        <item x="4"/>
        <item x="16"/>
        <item x="8"/>
        <item x="24"/>
        <item x="7"/>
        <item x="20"/>
        <item x="22"/>
        <item x="11"/>
        <item x="12"/>
        <item x="10"/>
        <item x="6"/>
        <item x="30"/>
        <item x="28"/>
        <item x="33"/>
        <item x="26"/>
        <item x="17"/>
        <item x="0"/>
        <item x="9"/>
        <item t="default"/>
      </items>
    </pivotField>
    <pivotField dataField="1" showAll="0">
      <items count="37">
        <item x="3"/>
        <item x="30"/>
        <item x="20"/>
        <item x="14"/>
        <item x="13"/>
        <item x="1"/>
        <item x="2"/>
        <item x="32"/>
        <item x="19"/>
        <item x="26"/>
        <item x="28"/>
        <item x="24"/>
        <item x="33"/>
        <item x="35"/>
        <item x="18"/>
        <item x="5"/>
        <item x="15"/>
        <item x="22"/>
        <item x="25"/>
        <item x="4"/>
        <item x="8"/>
        <item x="16"/>
        <item x="21"/>
        <item x="7"/>
        <item x="23"/>
        <item x="6"/>
        <item x="12"/>
        <item x="11"/>
        <item x="10"/>
        <item x="31"/>
        <item x="29"/>
        <item x="34"/>
        <item x="27"/>
        <item x="17"/>
        <item x="0"/>
        <item x="9"/>
        <item t="default"/>
      </items>
    </pivotField>
    <pivotField dataField="1" showAll="0">
      <items count="37">
        <item x="3"/>
        <item x="19"/>
        <item x="30"/>
        <item x="13"/>
        <item x="12"/>
        <item x="2"/>
        <item x="1"/>
        <item x="32"/>
        <item x="25"/>
        <item x="18"/>
        <item x="28"/>
        <item x="33"/>
        <item x="23"/>
        <item x="17"/>
        <item x="5"/>
        <item x="35"/>
        <item x="14"/>
        <item x="21"/>
        <item x="24"/>
        <item x="4"/>
        <item x="15"/>
        <item x="8"/>
        <item x="27"/>
        <item x="20"/>
        <item x="7"/>
        <item x="22"/>
        <item x="11"/>
        <item x="10"/>
        <item x="6"/>
        <item x="9"/>
        <item x="31"/>
        <item x="29"/>
        <item x="34"/>
        <item x="26"/>
        <item x="16"/>
        <item x="0"/>
        <item t="default"/>
      </items>
    </pivotField>
    <pivotField dataField="1" showAll="0">
      <items count="32">
        <item x="3"/>
        <item x="2"/>
        <item x="28"/>
        <item x="23"/>
        <item x="18"/>
        <item x="13"/>
        <item x="1"/>
        <item x="27"/>
        <item x="5"/>
        <item x="17"/>
        <item x="21"/>
        <item x="30"/>
        <item x="15"/>
        <item x="14"/>
        <item x="4"/>
        <item x="20"/>
        <item x="22"/>
        <item x="6"/>
        <item x="8"/>
        <item x="19"/>
        <item x="7"/>
        <item x="11"/>
        <item x="10"/>
        <item x="26"/>
        <item x="12"/>
        <item x="25"/>
        <item x="16"/>
        <item x="24"/>
        <item x="29"/>
        <item x="0"/>
        <item x="9"/>
        <item t="default"/>
      </items>
    </pivotField>
    <pivotField dataField="1" showAll="0">
      <items count="33">
        <item x="3"/>
        <item x="2"/>
        <item x="23"/>
        <item x="18"/>
        <item x="29"/>
        <item x="25"/>
        <item x="13"/>
        <item x="17"/>
        <item x="28"/>
        <item x="1"/>
        <item x="5"/>
        <item x="21"/>
        <item x="31"/>
        <item x="15"/>
        <item x="22"/>
        <item x="20"/>
        <item x="4"/>
        <item x="14"/>
        <item x="19"/>
        <item x="6"/>
        <item x="8"/>
        <item x="7"/>
        <item x="10"/>
        <item x="11"/>
        <item x="27"/>
        <item x="12"/>
        <item x="16"/>
        <item x="26"/>
        <item x="24"/>
        <item x="30"/>
        <item x="0"/>
        <item x="9"/>
        <item t="default"/>
      </items>
    </pivotField>
    <pivotField dataField="1" showAll="0"/>
    <pivotField dataField="1" showAll="0">
      <items count="31">
        <item x="2"/>
        <item x="23"/>
        <item x="29"/>
        <item x="1"/>
        <item x="12"/>
        <item x="11"/>
        <item x="6"/>
        <item x="26"/>
        <item x="19"/>
        <item x="20"/>
        <item x="4"/>
        <item x="13"/>
        <item x="21"/>
        <item x="7"/>
        <item x="27"/>
        <item x="18"/>
        <item x="16"/>
        <item x="28"/>
        <item x="14"/>
        <item x="3"/>
        <item x="0"/>
        <item x="5"/>
        <item x="9"/>
        <item x="24"/>
        <item x="17"/>
        <item x="10"/>
        <item x="25"/>
        <item x="15"/>
        <item x="22"/>
        <item x="8"/>
        <item t="default"/>
      </items>
    </pivotField>
    <pivotField dataField="1" showAll="0">
      <items count="30">
        <item x="3"/>
        <item x="2"/>
        <item x="1"/>
        <item x="13"/>
        <item x="12"/>
        <item x="7"/>
        <item x="26"/>
        <item x="20"/>
        <item x="21"/>
        <item x="5"/>
        <item x="14"/>
        <item x="22"/>
        <item x="8"/>
        <item x="19"/>
        <item x="27"/>
        <item x="28"/>
        <item x="17"/>
        <item x="15"/>
        <item x="4"/>
        <item x="0"/>
        <item x="10"/>
        <item x="6"/>
        <item x="25"/>
        <item x="18"/>
        <item x="24"/>
        <item x="16"/>
        <item x="11"/>
        <item x="23"/>
        <item x="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pas All Boys" fld="118" baseField="0" baseItem="0"/>
    <dataField name="Sum of Pas All girls" fld="119" baseField="0" baseItem="0"/>
    <dataField name="Sum of All 11" fld="120" baseField="0" baseItem="0"/>
    <dataField name="Sum of SC Boys 11" fld="121" baseField="0" baseItem="0"/>
    <dataField name="Sum of SC all11" fld="123" baseField="0" baseItem="0"/>
    <dataField name="Sum of ST All11" fld="126" baseField="0" baseItem="0"/>
    <dataField name="Sum of SC Girls11" fld="122" baseField="0" baseItem="0"/>
    <dataField name="Sum of ST Boys 11" fld="124" baseField="0" baseItem="0"/>
    <dataField name="Sum of ST girls11" fld="12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mhrd.gov.in/statistics-new?shs_term_node_tid_depth=38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mhrd.gov.in/statistics-new?shs_term_node_tid_depth=381" TargetMode="External"/><Relationship Id="rId1" Type="http://schemas.openxmlformats.org/officeDocument/2006/relationships/hyperlink" Target="http://mhrd.gov.in/statistics-new?shs_term_node_tid_depth=38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mhrd.gov.in/statistics-new?shs_term_node_tid_depth=381" TargetMode="External"/><Relationship Id="rId1" Type="http://schemas.openxmlformats.org/officeDocument/2006/relationships/hyperlink" Target="http://mhrd.gov.in/statistics-new?shs_term_node_tid_depth=38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mhrd.gov.in/statistics-new?shs_term_node_tid_depth=381" TargetMode="External"/><Relationship Id="rId1" Type="http://schemas.openxmlformats.org/officeDocument/2006/relationships/hyperlink" Target="http://mhrd.gov.in/statistics-new?shs_term_node_tid_depth=38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mhrd.gov.in/statistics-new?shs_term_node_tid_depth=381" TargetMode="External"/><Relationship Id="rId1" Type="http://schemas.openxmlformats.org/officeDocument/2006/relationships/hyperlink" Target="http://mhrd.gov.in/statistics-new?shs_term_node_tid_depth=381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mhrd.gov.in/statistics-new?shs_term_node_tid_depth=381" TargetMode="External"/><Relationship Id="rId1" Type="http://schemas.openxmlformats.org/officeDocument/2006/relationships/hyperlink" Target="http://mhrd.gov.in/statistics-new?shs_term_node_tid_depth=38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opLeftCell="A27" workbookViewId="0">
      <selection activeCell="B5" sqref="B5:D48"/>
    </sheetView>
  </sheetViews>
  <sheetFormatPr defaultRowHeight="15"/>
  <cols>
    <col min="1" max="1" width="69.140625" customWidth="1"/>
    <col min="2" max="2" width="18.28515625" customWidth="1"/>
    <col min="3" max="3" width="17.85546875" customWidth="1"/>
    <col min="4" max="4" width="12.42578125" customWidth="1"/>
    <col min="5" max="5" width="16.85546875" customWidth="1"/>
    <col min="6" max="6" width="14.42578125" customWidth="1"/>
    <col min="7" max="7" width="14.5703125" customWidth="1"/>
    <col min="8" max="8" width="16.42578125" customWidth="1"/>
    <col min="9" max="9" width="16.7109375" customWidth="1"/>
    <col min="10" max="10" width="15.85546875" customWidth="1"/>
    <col min="11" max="16" width="5" customWidth="1"/>
    <col min="17" max="27" width="6" customWidth="1"/>
    <col min="28" max="35" width="7" customWidth="1"/>
    <col min="36" max="36" width="7.28515625" customWidth="1"/>
    <col min="37" max="37" width="11.28515625" customWidth="1"/>
    <col min="38" max="38" width="10.85546875" customWidth="1"/>
    <col min="39" max="39" width="7.85546875" customWidth="1"/>
    <col min="40" max="40" width="10.85546875" customWidth="1"/>
    <col min="41" max="41" width="7.85546875" customWidth="1"/>
    <col min="42" max="42" width="10.85546875" customWidth="1"/>
    <col min="43" max="43" width="7.85546875" customWidth="1"/>
    <col min="44" max="44" width="10.85546875" customWidth="1"/>
    <col min="45" max="45" width="7.85546875" customWidth="1"/>
    <col min="46" max="46" width="10.85546875" customWidth="1"/>
    <col min="47" max="47" width="7.85546875" customWidth="1"/>
    <col min="48" max="48" width="10.85546875" customWidth="1"/>
    <col min="49" max="49" width="7.85546875" customWidth="1"/>
    <col min="50" max="50" width="10.85546875" customWidth="1"/>
    <col min="51" max="51" width="7.85546875" customWidth="1"/>
    <col min="52" max="52" width="10.85546875" customWidth="1"/>
    <col min="53" max="53" width="7.85546875" customWidth="1"/>
    <col min="54" max="54" width="10.85546875" customWidth="1"/>
    <col min="55" max="55" width="8.85546875" customWidth="1"/>
    <col min="56" max="56" width="11.85546875" customWidth="1"/>
    <col min="57" max="57" width="8.85546875" customWidth="1"/>
    <col min="58" max="58" width="11.85546875" customWidth="1"/>
    <col min="59" max="59" width="8.85546875" customWidth="1"/>
    <col min="60" max="60" width="11.85546875" customWidth="1"/>
    <col min="61" max="61" width="8.85546875" customWidth="1"/>
    <col min="62" max="62" width="11.85546875" customWidth="1"/>
    <col min="63" max="63" width="8.85546875" customWidth="1"/>
    <col min="64" max="64" width="11.85546875" customWidth="1"/>
    <col min="65" max="65" width="8.85546875" customWidth="1"/>
    <col min="66" max="66" width="11.85546875" customWidth="1"/>
    <col min="67" max="67" width="8.85546875" customWidth="1"/>
    <col min="68" max="68" width="11.85546875" customWidth="1"/>
    <col min="69" max="69" width="8.85546875" customWidth="1"/>
    <col min="70" max="70" width="11.85546875" customWidth="1"/>
    <col min="71" max="71" width="9.140625" customWidth="1"/>
    <col min="72" max="72" width="12.140625" customWidth="1"/>
    <col min="73" max="73" width="11.28515625" customWidth="1"/>
    <col min="74" max="74" width="7.85546875" customWidth="1"/>
    <col min="75" max="76" width="10.85546875" customWidth="1"/>
    <col min="77" max="77" width="7.85546875" customWidth="1"/>
    <col min="78" max="79" width="10.85546875" customWidth="1"/>
    <col min="80" max="80" width="7.85546875" customWidth="1"/>
    <col min="81" max="82" width="10.85546875" customWidth="1"/>
    <col min="83" max="83" width="8.85546875" customWidth="1"/>
    <col min="84" max="85" width="11.85546875" customWidth="1"/>
    <col min="86" max="86" width="8.85546875" customWidth="1"/>
    <col min="87" max="87" width="10.85546875" customWidth="1"/>
    <col min="88" max="88" width="11.85546875" customWidth="1"/>
    <col min="89" max="89" width="8.85546875" customWidth="1"/>
    <col min="90" max="91" width="11.85546875" customWidth="1"/>
    <col min="92" max="92" width="8.85546875" customWidth="1"/>
    <col min="93" max="94" width="11.85546875" customWidth="1"/>
    <col min="95" max="95" width="8.85546875" customWidth="1"/>
    <col min="96" max="97" width="11.85546875" customWidth="1"/>
    <col min="98" max="98" width="8.85546875" customWidth="1"/>
    <col min="99" max="100" width="11.85546875" customWidth="1"/>
    <col min="101" max="101" width="8.85546875" customWidth="1"/>
    <col min="102" max="103" width="11.85546875" customWidth="1"/>
    <col min="104" max="104" width="8.85546875" customWidth="1"/>
    <col min="105" max="106" width="11.85546875" customWidth="1"/>
    <col min="107" max="107" width="9.140625" customWidth="1"/>
    <col min="108" max="109" width="12.140625" customWidth="1"/>
    <col min="110" max="110" width="11.28515625" customWidth="1"/>
    <col min="111" max="111" width="8.85546875" customWidth="1"/>
    <col min="112" max="114" width="11.85546875" customWidth="1"/>
    <col min="115" max="115" width="8.85546875" customWidth="1"/>
    <col min="116" max="116" width="11.85546875" bestFit="1" customWidth="1"/>
    <col min="117" max="117" width="10.85546875" bestFit="1" customWidth="1"/>
    <col min="118" max="118" width="11.85546875" customWidth="1"/>
    <col min="119" max="119" width="8.85546875" customWidth="1"/>
    <col min="120" max="120" width="11.85546875" customWidth="1"/>
    <col min="121" max="121" width="11.85546875" bestFit="1" customWidth="1"/>
    <col min="122" max="122" width="11.85546875" customWidth="1"/>
    <col min="123" max="123" width="8.85546875" customWidth="1"/>
    <col min="124" max="125" width="11.85546875" customWidth="1"/>
    <col min="126" max="126" width="11.85546875" bestFit="1" customWidth="1"/>
    <col min="127" max="127" width="8.85546875" customWidth="1"/>
    <col min="128" max="130" width="11.85546875" customWidth="1"/>
    <col min="131" max="131" width="8.85546875" customWidth="1"/>
    <col min="132" max="134" width="11.85546875" customWidth="1"/>
    <col min="135" max="135" width="9.85546875" customWidth="1"/>
    <col min="136" max="136" width="12.85546875" customWidth="1"/>
    <col min="137" max="138" width="11.85546875" customWidth="1"/>
    <col min="139" max="139" width="9.85546875" customWidth="1"/>
    <col min="140" max="140" width="12.85546875" customWidth="1"/>
    <col min="141" max="142" width="11.85546875" bestFit="1" customWidth="1"/>
    <col min="143" max="143" width="9.140625" customWidth="1"/>
    <col min="144" max="144" width="6.85546875" customWidth="1"/>
    <col min="145" max="146" width="12.140625" customWidth="1"/>
    <col min="147" max="147" width="11.28515625" customWidth="1"/>
    <col min="148" max="148" width="11.85546875" bestFit="1" customWidth="1"/>
    <col min="149" max="149" width="8.85546875" customWidth="1"/>
    <col min="150" max="150" width="10.85546875" bestFit="1" customWidth="1"/>
    <col min="151" max="153" width="11.85546875" bestFit="1" customWidth="1"/>
    <col min="154" max="154" width="8.85546875" customWidth="1"/>
    <col min="155" max="155" width="10.85546875" bestFit="1" customWidth="1"/>
    <col min="156" max="158" width="11.85546875" bestFit="1" customWidth="1"/>
    <col min="159" max="159" width="8.85546875" customWidth="1"/>
    <col min="160" max="160" width="10.85546875" bestFit="1" customWidth="1"/>
    <col min="161" max="163" width="11.85546875" bestFit="1" customWidth="1"/>
    <col min="164" max="164" width="8.85546875" customWidth="1"/>
    <col min="165" max="165" width="10.85546875" bestFit="1" customWidth="1"/>
    <col min="166" max="168" width="11.85546875" bestFit="1" customWidth="1"/>
    <col min="169" max="169" width="9.85546875" bestFit="1" customWidth="1"/>
    <col min="170" max="170" width="10.85546875" bestFit="1" customWidth="1"/>
    <col min="171" max="171" width="12.85546875" bestFit="1" customWidth="1"/>
    <col min="172" max="173" width="11.85546875" bestFit="1" customWidth="1"/>
    <col min="174" max="174" width="9.85546875" bestFit="1" customWidth="1"/>
    <col min="175" max="175" width="11.85546875" bestFit="1" customWidth="1"/>
    <col min="176" max="176" width="12.85546875" bestFit="1" customWidth="1"/>
    <col min="177" max="178" width="11.85546875" bestFit="1" customWidth="1"/>
    <col min="180" max="180" width="12.140625" bestFit="1" customWidth="1"/>
    <col min="181" max="181" width="6.85546875" customWidth="1"/>
    <col min="182" max="183" width="12.140625" bestFit="1" customWidth="1"/>
    <col min="184" max="184" width="11.28515625" bestFit="1" customWidth="1"/>
  </cols>
  <sheetData>
    <row r="3" spans="1:10">
      <c r="B3" s="72" t="s">
        <v>178</v>
      </c>
    </row>
    <row r="4" spans="1:10">
      <c r="A4" s="72" t="s">
        <v>130</v>
      </c>
      <c r="B4" t="s">
        <v>202</v>
      </c>
      <c r="C4" t="s">
        <v>203</v>
      </c>
      <c r="D4" t="s">
        <v>199</v>
      </c>
      <c r="E4" t="s">
        <v>204</v>
      </c>
      <c r="F4" t="s">
        <v>200</v>
      </c>
      <c r="G4" t="s">
        <v>201</v>
      </c>
      <c r="H4" t="s">
        <v>205</v>
      </c>
      <c r="I4" t="s">
        <v>206</v>
      </c>
      <c r="J4" t="s">
        <v>207</v>
      </c>
    </row>
    <row r="5" spans="1:10">
      <c r="A5" s="73" t="s">
        <v>131</v>
      </c>
      <c r="B5" s="74">
        <v>176070</v>
      </c>
      <c r="C5" s="74">
        <v>134498</v>
      </c>
      <c r="D5" s="74">
        <v>310568</v>
      </c>
      <c r="E5" s="74">
        <v>25724</v>
      </c>
      <c r="F5" s="74">
        <v>43411</v>
      </c>
      <c r="G5" s="74">
        <v>23166</v>
      </c>
      <c r="H5" s="74">
        <v>17687</v>
      </c>
      <c r="I5" s="74">
        <v>13960</v>
      </c>
      <c r="J5" s="74">
        <v>9206</v>
      </c>
    </row>
    <row r="6" spans="1:10">
      <c r="A6" s="73" t="s">
        <v>132</v>
      </c>
      <c r="B6" s="74">
        <v>853</v>
      </c>
      <c r="C6" s="74">
        <v>733</v>
      </c>
      <c r="D6" s="74">
        <v>1586</v>
      </c>
      <c r="E6" s="74">
        <v>10</v>
      </c>
      <c r="F6" s="74">
        <v>17</v>
      </c>
      <c r="G6" s="74">
        <v>0</v>
      </c>
      <c r="H6" s="74">
        <v>7</v>
      </c>
      <c r="I6" s="74">
        <v>0</v>
      </c>
      <c r="J6" s="74">
        <v>0</v>
      </c>
    </row>
    <row r="7" spans="1:10">
      <c r="A7" s="73" t="s">
        <v>133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</row>
    <row r="8" spans="1:10">
      <c r="A8" s="73" t="s">
        <v>134</v>
      </c>
      <c r="B8" s="74">
        <v>25995</v>
      </c>
      <c r="C8" s="74">
        <v>30514</v>
      </c>
      <c r="D8" s="74">
        <v>56509</v>
      </c>
      <c r="E8" s="74">
        <v>1922</v>
      </c>
      <c r="F8" s="74">
        <v>3648</v>
      </c>
      <c r="G8" s="74">
        <v>7047</v>
      </c>
      <c r="H8" s="74">
        <v>1726</v>
      </c>
      <c r="I8" s="74">
        <v>3797</v>
      </c>
      <c r="J8" s="74">
        <v>3250</v>
      </c>
    </row>
    <row r="9" spans="1:10">
      <c r="A9" s="73" t="s">
        <v>135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spans="1:10">
      <c r="A10" s="73" t="s">
        <v>136</v>
      </c>
      <c r="B10" s="74">
        <v>16</v>
      </c>
      <c r="C10" s="74">
        <v>189</v>
      </c>
      <c r="D10" s="74">
        <v>205</v>
      </c>
      <c r="E10" s="74">
        <v>1</v>
      </c>
      <c r="F10" s="74">
        <v>4</v>
      </c>
      <c r="G10" s="74">
        <v>3</v>
      </c>
      <c r="H10" s="74">
        <v>3</v>
      </c>
      <c r="I10" s="74">
        <v>0</v>
      </c>
      <c r="J10" s="74">
        <v>3</v>
      </c>
    </row>
    <row r="11" spans="1:10">
      <c r="A11" s="73" t="s">
        <v>137</v>
      </c>
      <c r="B11" s="74">
        <v>93</v>
      </c>
      <c r="C11" s="74">
        <v>94</v>
      </c>
      <c r="D11" s="74">
        <v>187</v>
      </c>
      <c r="E11" s="74">
        <v>15</v>
      </c>
      <c r="F11" s="74">
        <v>27</v>
      </c>
      <c r="G11" s="74">
        <v>22</v>
      </c>
      <c r="H11" s="74">
        <v>12</v>
      </c>
      <c r="I11" s="74">
        <v>9</v>
      </c>
      <c r="J11" s="74">
        <v>13</v>
      </c>
    </row>
    <row r="12" spans="1:10">
      <c r="A12" s="73" t="s">
        <v>138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>
      <c r="A13" s="73" t="s">
        <v>139</v>
      </c>
      <c r="B13" s="74">
        <v>3</v>
      </c>
      <c r="C13" s="74">
        <v>1</v>
      </c>
      <c r="D13" s="74">
        <v>4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spans="1:10">
      <c r="A14" s="73" t="s">
        <v>140</v>
      </c>
      <c r="B14" s="74">
        <v>61969</v>
      </c>
      <c r="C14" s="74">
        <v>65106</v>
      </c>
      <c r="D14" s="74">
        <v>127075</v>
      </c>
      <c r="E14" s="74">
        <v>10210</v>
      </c>
      <c r="F14" s="74">
        <v>21486</v>
      </c>
      <c r="G14" s="74">
        <v>51</v>
      </c>
      <c r="H14" s="74">
        <v>11276</v>
      </c>
      <c r="I14" s="74">
        <v>26</v>
      </c>
      <c r="J14" s="74">
        <v>25</v>
      </c>
    </row>
    <row r="15" spans="1:10">
      <c r="A15" s="73" t="s">
        <v>141</v>
      </c>
      <c r="B15" s="74">
        <v>486</v>
      </c>
      <c r="C15" s="74">
        <v>473</v>
      </c>
      <c r="D15" s="74">
        <v>959</v>
      </c>
      <c r="E15" s="74">
        <v>20</v>
      </c>
      <c r="F15" s="74">
        <v>58</v>
      </c>
      <c r="G15" s="74">
        <v>166</v>
      </c>
      <c r="H15" s="74">
        <v>38</v>
      </c>
      <c r="I15" s="74">
        <v>85</v>
      </c>
      <c r="J15" s="74">
        <v>81</v>
      </c>
    </row>
    <row r="16" spans="1:10">
      <c r="A16" s="73" t="s">
        <v>142</v>
      </c>
      <c r="B16" s="74">
        <v>91109</v>
      </c>
      <c r="C16" s="74">
        <v>99385</v>
      </c>
      <c r="D16" s="74">
        <v>190494</v>
      </c>
      <c r="E16" s="74">
        <v>13736</v>
      </c>
      <c r="F16" s="74">
        <v>28357</v>
      </c>
      <c r="G16" s="74">
        <v>28229</v>
      </c>
      <c r="H16" s="74">
        <v>14621</v>
      </c>
      <c r="I16" s="74">
        <v>12231</v>
      </c>
      <c r="J16" s="74">
        <v>15998</v>
      </c>
    </row>
    <row r="17" spans="1:10">
      <c r="A17" s="73" t="s">
        <v>143</v>
      </c>
      <c r="B17" s="74">
        <v>722065</v>
      </c>
      <c r="C17" s="74">
        <v>512751</v>
      </c>
      <c r="D17" s="74">
        <v>1234816</v>
      </c>
      <c r="E17" s="74">
        <v>48276</v>
      </c>
      <c r="F17" s="74">
        <v>82258</v>
      </c>
      <c r="G17" s="74">
        <v>33514</v>
      </c>
      <c r="H17" s="74">
        <v>33982</v>
      </c>
      <c r="I17" s="74">
        <v>18426</v>
      </c>
      <c r="J17" s="74">
        <v>15088</v>
      </c>
    </row>
    <row r="18" spans="1:10">
      <c r="A18" s="73" t="s">
        <v>144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>
      <c r="A19" s="73" t="s">
        <v>145</v>
      </c>
      <c r="B19" s="74">
        <v>23202</v>
      </c>
      <c r="C19" s="74">
        <v>25872</v>
      </c>
      <c r="D19" s="74">
        <v>49074</v>
      </c>
      <c r="E19" s="74">
        <v>3074</v>
      </c>
      <c r="F19" s="74">
        <v>6228</v>
      </c>
      <c r="G19" s="74">
        <v>8558</v>
      </c>
      <c r="H19" s="74">
        <v>3154</v>
      </c>
      <c r="I19" s="74">
        <v>4162</v>
      </c>
      <c r="J19" s="74">
        <v>4396</v>
      </c>
    </row>
    <row r="20" spans="1:10">
      <c r="A20" s="73" t="s">
        <v>93</v>
      </c>
      <c r="B20" s="74">
        <v>0</v>
      </c>
      <c r="C20" s="74">
        <v>3</v>
      </c>
      <c r="D20" s="74">
        <v>3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</row>
    <row r="21" spans="1:10">
      <c r="A21" s="73" t="s">
        <v>146</v>
      </c>
      <c r="B21" s="74">
        <v>83269</v>
      </c>
      <c r="C21" s="74">
        <v>71783</v>
      </c>
      <c r="D21" s="74">
        <v>155052</v>
      </c>
      <c r="E21" s="74">
        <v>3732</v>
      </c>
      <c r="F21" s="74">
        <v>6697</v>
      </c>
      <c r="G21" s="74">
        <v>4323</v>
      </c>
      <c r="H21" s="74">
        <v>2965</v>
      </c>
      <c r="I21" s="74">
        <v>2150</v>
      </c>
      <c r="J21" s="74">
        <v>2173</v>
      </c>
    </row>
    <row r="22" spans="1:10">
      <c r="A22" s="73" t="s">
        <v>147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</row>
    <row r="23" spans="1:10">
      <c r="A23" s="73" t="s">
        <v>148</v>
      </c>
      <c r="B23" s="74">
        <v>3978</v>
      </c>
      <c r="C23" s="74">
        <v>5501</v>
      </c>
      <c r="D23" s="74">
        <v>9479</v>
      </c>
      <c r="E23" s="74">
        <v>33</v>
      </c>
      <c r="F23" s="74">
        <v>92</v>
      </c>
      <c r="G23" s="74">
        <v>881</v>
      </c>
      <c r="H23" s="74">
        <v>59</v>
      </c>
      <c r="I23" s="74">
        <v>357</v>
      </c>
      <c r="J23" s="74">
        <v>524</v>
      </c>
    </row>
    <row r="24" spans="1:10">
      <c r="A24" s="73" t="s">
        <v>149</v>
      </c>
      <c r="B24" s="74">
        <v>110087</v>
      </c>
      <c r="C24" s="74">
        <v>95894</v>
      </c>
      <c r="D24" s="74">
        <v>205981</v>
      </c>
      <c r="E24" s="74">
        <v>6300</v>
      </c>
      <c r="F24" s="74">
        <v>12116</v>
      </c>
      <c r="G24" s="74">
        <v>15844</v>
      </c>
      <c r="H24" s="74">
        <v>5816</v>
      </c>
      <c r="I24" s="74">
        <v>7337</v>
      </c>
      <c r="J24" s="74">
        <v>8507</v>
      </c>
    </row>
    <row r="25" spans="1:10">
      <c r="A25" s="73" t="s">
        <v>150</v>
      </c>
      <c r="B25" s="74">
        <v>27097</v>
      </c>
      <c r="C25" s="74">
        <v>29637</v>
      </c>
      <c r="D25" s="74">
        <v>56734</v>
      </c>
      <c r="E25" s="74">
        <v>6430</v>
      </c>
      <c r="F25" s="74">
        <v>14168</v>
      </c>
      <c r="G25" s="74">
        <v>3303</v>
      </c>
      <c r="H25" s="74">
        <v>7738</v>
      </c>
      <c r="I25" s="74">
        <v>1572</v>
      </c>
      <c r="J25" s="74">
        <v>1731</v>
      </c>
    </row>
    <row r="26" spans="1:10">
      <c r="A26" s="73" t="s">
        <v>151</v>
      </c>
      <c r="B26" s="74">
        <v>21416</v>
      </c>
      <c r="C26" s="74">
        <v>20451</v>
      </c>
      <c r="D26" s="74">
        <v>41867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</row>
    <row r="27" spans="1:10">
      <c r="A27" s="73" t="s">
        <v>152</v>
      </c>
      <c r="B27" s="74">
        <v>65663</v>
      </c>
      <c r="C27" s="74">
        <v>59738</v>
      </c>
      <c r="D27" s="74">
        <v>125401</v>
      </c>
      <c r="E27" s="74">
        <v>6526</v>
      </c>
      <c r="F27" s="74">
        <v>11480</v>
      </c>
      <c r="G27" s="74">
        <v>23000</v>
      </c>
      <c r="H27" s="74">
        <v>4954</v>
      </c>
      <c r="I27" s="74">
        <v>11880</v>
      </c>
      <c r="J27" s="74">
        <v>11120</v>
      </c>
    </row>
    <row r="28" spans="1:10">
      <c r="A28" s="73" t="s">
        <v>153</v>
      </c>
      <c r="B28" s="74">
        <v>193561</v>
      </c>
      <c r="C28" s="74">
        <v>233022</v>
      </c>
      <c r="D28" s="74">
        <v>426583</v>
      </c>
      <c r="E28" s="74">
        <v>30451</v>
      </c>
      <c r="F28" s="74">
        <v>64776</v>
      </c>
      <c r="G28" s="74">
        <v>24664</v>
      </c>
      <c r="H28" s="74">
        <v>34325</v>
      </c>
      <c r="I28" s="74">
        <v>11362</v>
      </c>
      <c r="J28" s="74">
        <v>13302</v>
      </c>
    </row>
    <row r="29" spans="1:10">
      <c r="A29" s="73" t="s">
        <v>154</v>
      </c>
      <c r="B29" s="74">
        <v>0</v>
      </c>
      <c r="C29" s="74">
        <v>0</v>
      </c>
      <c r="D29" s="74">
        <v>72371</v>
      </c>
      <c r="E29" s="74">
        <v>0</v>
      </c>
      <c r="F29" s="74">
        <v>1409</v>
      </c>
      <c r="G29" s="74">
        <v>112</v>
      </c>
      <c r="H29" s="74">
        <v>0</v>
      </c>
      <c r="I29" s="74">
        <v>0</v>
      </c>
      <c r="J29" s="74">
        <v>0</v>
      </c>
    </row>
    <row r="30" spans="1:10">
      <c r="A30" s="73" t="s">
        <v>155</v>
      </c>
      <c r="B30" s="74">
        <v>107790</v>
      </c>
      <c r="C30" s="74">
        <v>104394</v>
      </c>
      <c r="D30" s="74">
        <v>212184</v>
      </c>
      <c r="E30" s="74">
        <v>15997</v>
      </c>
      <c r="F30" s="74">
        <v>29133</v>
      </c>
      <c r="G30" s="74">
        <v>17712</v>
      </c>
      <c r="H30" s="74">
        <v>13136</v>
      </c>
      <c r="I30" s="74">
        <v>9372</v>
      </c>
      <c r="J30" s="74">
        <v>8340</v>
      </c>
    </row>
    <row r="31" spans="1:10">
      <c r="A31" s="73" t="s">
        <v>156</v>
      </c>
      <c r="B31" s="74"/>
      <c r="C31" s="74"/>
      <c r="D31" s="74">
        <v>0</v>
      </c>
      <c r="E31" s="74"/>
      <c r="F31" s="74">
        <v>0</v>
      </c>
      <c r="G31" s="74">
        <v>0</v>
      </c>
      <c r="H31" s="74"/>
      <c r="I31" s="74"/>
      <c r="J31" s="74"/>
    </row>
    <row r="32" spans="1:10">
      <c r="A32" s="73" t="s">
        <v>109</v>
      </c>
      <c r="B32" s="74">
        <v>445593</v>
      </c>
      <c r="C32" s="74">
        <v>452596</v>
      </c>
      <c r="D32" s="74">
        <v>898189</v>
      </c>
      <c r="E32" s="74">
        <v>50994</v>
      </c>
      <c r="F32" s="74">
        <v>106157</v>
      </c>
      <c r="G32" s="74">
        <v>53442</v>
      </c>
      <c r="H32" s="74">
        <v>55163</v>
      </c>
      <c r="I32" s="74">
        <v>27132</v>
      </c>
      <c r="J32" s="74">
        <v>26310</v>
      </c>
    </row>
    <row r="33" spans="1:10">
      <c r="A33" s="73" t="s">
        <v>157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</row>
    <row r="34" spans="1:10">
      <c r="A34" s="73" t="s">
        <v>158</v>
      </c>
      <c r="B34" s="74">
        <v>677</v>
      </c>
      <c r="C34" s="74">
        <v>828</v>
      </c>
      <c r="D34" s="74">
        <v>1505</v>
      </c>
      <c r="E34" s="74">
        <v>7</v>
      </c>
      <c r="F34" s="74">
        <v>13</v>
      </c>
      <c r="G34" s="74">
        <v>1211</v>
      </c>
      <c r="H34" s="74">
        <v>6</v>
      </c>
      <c r="I34" s="74">
        <v>528</v>
      </c>
      <c r="J34" s="74">
        <v>683</v>
      </c>
    </row>
    <row r="35" spans="1:10">
      <c r="A35" s="73" t="s">
        <v>159</v>
      </c>
      <c r="B35" s="74">
        <v>1885</v>
      </c>
      <c r="C35" s="74">
        <v>2233</v>
      </c>
      <c r="D35" s="74">
        <v>4118</v>
      </c>
      <c r="E35" s="74">
        <v>5</v>
      </c>
      <c r="F35" s="74">
        <v>13</v>
      </c>
      <c r="G35" s="74">
        <v>4059</v>
      </c>
      <c r="H35" s="74">
        <v>8</v>
      </c>
      <c r="I35" s="74">
        <v>1850</v>
      </c>
      <c r="J35" s="74">
        <v>2209</v>
      </c>
    </row>
    <row r="36" spans="1:10">
      <c r="A36" s="73" t="s">
        <v>160</v>
      </c>
      <c r="B36" s="74">
        <v>2770</v>
      </c>
      <c r="C36" s="74">
        <v>3525</v>
      </c>
      <c r="D36" s="74">
        <v>6295</v>
      </c>
      <c r="E36" s="74">
        <v>43</v>
      </c>
      <c r="F36" s="74">
        <v>70</v>
      </c>
      <c r="G36" s="74">
        <v>5484</v>
      </c>
      <c r="H36" s="74">
        <v>27</v>
      </c>
      <c r="I36" s="74">
        <v>2357</v>
      </c>
      <c r="J36" s="74">
        <v>3127</v>
      </c>
    </row>
    <row r="37" spans="1:10">
      <c r="A37" s="73" t="s">
        <v>161</v>
      </c>
      <c r="B37" s="74">
        <v>249</v>
      </c>
      <c r="C37" s="74">
        <v>165</v>
      </c>
      <c r="D37" s="74">
        <v>414</v>
      </c>
      <c r="E37" s="74">
        <v>16</v>
      </c>
      <c r="F37" s="74">
        <v>55</v>
      </c>
      <c r="G37" s="74">
        <v>9</v>
      </c>
      <c r="H37" s="74">
        <v>39</v>
      </c>
      <c r="I37" s="74">
        <v>4</v>
      </c>
      <c r="J37" s="74">
        <v>5</v>
      </c>
    </row>
    <row r="38" spans="1:10">
      <c r="A38" s="73" t="s">
        <v>162</v>
      </c>
      <c r="B38" s="74">
        <v>92147</v>
      </c>
      <c r="C38" s="74">
        <v>98190</v>
      </c>
      <c r="D38" s="74">
        <v>190337</v>
      </c>
      <c r="E38" s="74">
        <v>26097</v>
      </c>
      <c r="F38" s="74">
        <v>59842</v>
      </c>
      <c r="G38" s="74">
        <v>35</v>
      </c>
      <c r="H38" s="74">
        <v>33745</v>
      </c>
      <c r="I38" s="74">
        <v>18</v>
      </c>
      <c r="J38" s="74">
        <v>17</v>
      </c>
    </row>
    <row r="39" spans="1:10">
      <c r="A39" s="73" t="s">
        <v>163</v>
      </c>
      <c r="B39" s="74">
        <v>25995</v>
      </c>
      <c r="C39" s="74">
        <v>30514</v>
      </c>
      <c r="D39" s="74">
        <v>56509</v>
      </c>
      <c r="E39" s="74">
        <v>1922</v>
      </c>
      <c r="F39" s="74">
        <v>3648</v>
      </c>
      <c r="G39" s="74">
        <v>7047</v>
      </c>
      <c r="H39" s="74">
        <v>1726</v>
      </c>
      <c r="I39" s="74">
        <v>3797</v>
      </c>
      <c r="J39" s="74">
        <v>3250</v>
      </c>
    </row>
    <row r="40" spans="1:10">
      <c r="A40" s="73" t="s">
        <v>164</v>
      </c>
      <c r="B40" s="74">
        <v>348603</v>
      </c>
      <c r="C40" s="74">
        <v>406794</v>
      </c>
      <c r="D40" s="74">
        <v>755397</v>
      </c>
      <c r="E40" s="74">
        <v>69963</v>
      </c>
      <c r="F40" s="74">
        <v>159819</v>
      </c>
      <c r="G40" s="74">
        <v>5780</v>
      </c>
      <c r="H40" s="74">
        <v>89856</v>
      </c>
      <c r="I40" s="74">
        <v>2751</v>
      </c>
      <c r="J40" s="74">
        <v>3029</v>
      </c>
    </row>
    <row r="41" spans="1:10">
      <c r="A41" s="73" t="s">
        <v>165</v>
      </c>
      <c r="B41" s="74">
        <v>2325</v>
      </c>
      <c r="C41" s="74">
        <v>2155</v>
      </c>
      <c r="D41" s="74">
        <v>4480</v>
      </c>
      <c r="E41" s="74">
        <v>510</v>
      </c>
      <c r="F41" s="74">
        <v>966</v>
      </c>
      <c r="G41" s="74">
        <v>232</v>
      </c>
      <c r="H41" s="74">
        <v>456</v>
      </c>
      <c r="I41" s="74">
        <v>128</v>
      </c>
      <c r="J41" s="74">
        <v>104</v>
      </c>
    </row>
    <row r="42" spans="1:10">
      <c r="A42" s="73" t="s">
        <v>166</v>
      </c>
      <c r="B42" s="74">
        <v>93</v>
      </c>
      <c r="C42" s="74">
        <v>94</v>
      </c>
      <c r="D42" s="74">
        <v>187</v>
      </c>
      <c r="E42" s="74">
        <v>15</v>
      </c>
      <c r="F42" s="74">
        <v>27</v>
      </c>
      <c r="G42" s="74">
        <v>22</v>
      </c>
      <c r="H42" s="74">
        <v>12</v>
      </c>
      <c r="I42" s="74">
        <v>9</v>
      </c>
      <c r="J42" s="74">
        <v>13</v>
      </c>
    </row>
    <row r="43" spans="1:10">
      <c r="A43" s="73" t="s">
        <v>167</v>
      </c>
      <c r="B43" s="74">
        <v>6530</v>
      </c>
      <c r="C43" s="74">
        <v>3080</v>
      </c>
      <c r="D43" s="74">
        <v>9610</v>
      </c>
      <c r="E43" s="74">
        <v>550</v>
      </c>
      <c r="F43" s="74">
        <v>1230</v>
      </c>
      <c r="G43" s="74">
        <v>3</v>
      </c>
      <c r="H43" s="74">
        <v>680</v>
      </c>
      <c r="I43" s="74">
        <v>3</v>
      </c>
      <c r="J43" s="74">
        <v>0</v>
      </c>
    </row>
    <row r="44" spans="1:10">
      <c r="A44" s="73" t="s">
        <v>168</v>
      </c>
      <c r="B44" s="74">
        <v>823632</v>
      </c>
      <c r="C44" s="74">
        <v>887607</v>
      </c>
      <c r="D44" s="74">
        <v>1711239</v>
      </c>
      <c r="E44" s="74">
        <v>154120</v>
      </c>
      <c r="F44" s="74">
        <v>318140</v>
      </c>
      <c r="G44" s="74">
        <v>11529</v>
      </c>
      <c r="H44" s="74">
        <v>164020</v>
      </c>
      <c r="I44" s="74">
        <v>6079</v>
      </c>
      <c r="J44" s="74">
        <v>5450</v>
      </c>
    </row>
    <row r="45" spans="1:10">
      <c r="A45" s="73" t="s">
        <v>169</v>
      </c>
      <c r="B45" s="74">
        <v>12783</v>
      </c>
      <c r="C45" s="74">
        <v>18737</v>
      </c>
      <c r="D45" s="74">
        <v>31520</v>
      </c>
      <c r="E45" s="74">
        <v>2194</v>
      </c>
      <c r="F45" s="74">
        <v>5583</v>
      </c>
      <c r="G45" s="74">
        <v>1086</v>
      </c>
      <c r="H45" s="74">
        <v>3389</v>
      </c>
      <c r="I45" s="74">
        <v>454</v>
      </c>
      <c r="J45" s="74">
        <v>632</v>
      </c>
    </row>
    <row r="46" spans="1:10">
      <c r="A46" s="73" t="s">
        <v>170</v>
      </c>
      <c r="B46" s="74">
        <v>145</v>
      </c>
      <c r="C46" s="74">
        <v>13</v>
      </c>
      <c r="D46" s="74">
        <v>158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</row>
    <row r="47" spans="1:10">
      <c r="A47" s="73" t="s">
        <v>171</v>
      </c>
      <c r="B47" s="74">
        <v>1307</v>
      </c>
      <c r="C47" s="74">
        <v>1846</v>
      </c>
      <c r="D47" s="74">
        <v>3153</v>
      </c>
      <c r="E47" s="74">
        <v>10</v>
      </c>
      <c r="F47" s="74">
        <v>21</v>
      </c>
      <c r="G47" s="74">
        <v>7</v>
      </c>
      <c r="H47" s="74">
        <v>11</v>
      </c>
      <c r="I47" s="74">
        <v>2</v>
      </c>
      <c r="J47" s="74">
        <v>5</v>
      </c>
    </row>
    <row r="48" spans="1:10">
      <c r="A48" s="73" t="s">
        <v>172</v>
      </c>
      <c r="B48" s="74">
        <v>27813</v>
      </c>
      <c r="C48" s="74">
        <v>20599</v>
      </c>
      <c r="D48" s="74">
        <v>48412</v>
      </c>
      <c r="E48" s="74">
        <v>4152</v>
      </c>
      <c r="F48" s="74">
        <v>6840</v>
      </c>
      <c r="G48" s="74">
        <v>433</v>
      </c>
      <c r="H48" s="74">
        <v>2688</v>
      </c>
      <c r="I48" s="74">
        <v>253</v>
      </c>
      <c r="J48" s="74">
        <v>180</v>
      </c>
    </row>
    <row r="49" spans="1:10">
      <c r="A49" s="73" t="s">
        <v>177</v>
      </c>
      <c r="B49" s="74">
        <v>279</v>
      </c>
      <c r="C49" s="74">
        <v>282</v>
      </c>
      <c r="D49" s="74">
        <v>561</v>
      </c>
      <c r="E49" s="74">
        <v>45</v>
      </c>
      <c r="F49" s="74">
        <v>81</v>
      </c>
      <c r="G49" s="74">
        <v>66</v>
      </c>
      <c r="H49" s="74">
        <v>36</v>
      </c>
      <c r="I49" s="74">
        <v>27</v>
      </c>
      <c r="J49" s="74">
        <v>39</v>
      </c>
    </row>
    <row r="50" spans="1:10">
      <c r="A50" s="73" t="s">
        <v>173</v>
      </c>
      <c r="B50" s="74">
        <v>3507548</v>
      </c>
      <c r="C50" s="74">
        <v>3419297</v>
      </c>
      <c r="D50" s="74">
        <v>6999216</v>
      </c>
      <c r="E50" s="74">
        <v>483100</v>
      </c>
      <c r="F50" s="74">
        <v>987870</v>
      </c>
      <c r="G50" s="74">
        <v>281040</v>
      </c>
      <c r="H50" s="74">
        <v>503361</v>
      </c>
      <c r="I50" s="74">
        <v>142118</v>
      </c>
      <c r="J50" s="74">
        <v>138810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60" zoomScaleNormal="70" workbookViewId="0">
      <selection activeCell="I35" sqref="I35"/>
    </sheetView>
  </sheetViews>
  <sheetFormatPr defaultRowHeight="15"/>
  <cols>
    <col min="2" max="2" width="13.28515625" customWidth="1"/>
    <col min="3" max="14" width="13.5703125" customWidth="1"/>
    <col min="15" max="20" width="21.5703125" customWidth="1"/>
  </cols>
  <sheetData>
    <row r="1" spans="1:20" ht="18">
      <c r="A1" s="131"/>
      <c r="B1" s="131"/>
      <c r="C1" s="132" t="s">
        <v>329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 t="s">
        <v>329</v>
      </c>
      <c r="P1" s="133"/>
      <c r="Q1" s="133"/>
      <c r="R1" s="133"/>
      <c r="S1" s="133"/>
      <c r="T1" s="133"/>
    </row>
    <row r="2" spans="1:20" ht="20.25" customHeight="1">
      <c r="A2" s="604" t="s">
        <v>218</v>
      </c>
      <c r="B2" s="588" t="s">
        <v>327</v>
      </c>
      <c r="C2" s="604" t="s">
        <v>188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 t="s">
        <v>188</v>
      </c>
      <c r="P2" s="604"/>
      <c r="Q2" s="604"/>
      <c r="R2" s="604"/>
      <c r="S2" s="604"/>
      <c r="T2" s="604"/>
    </row>
    <row r="3" spans="1:20" ht="20.25" customHeight="1">
      <c r="A3" s="604"/>
      <c r="B3" s="589"/>
      <c r="C3" s="604" t="s">
        <v>219</v>
      </c>
      <c r="D3" s="604"/>
      <c r="E3" s="604"/>
      <c r="F3" s="604"/>
      <c r="G3" s="604"/>
      <c r="H3" s="604"/>
      <c r="I3" s="604" t="s">
        <v>220</v>
      </c>
      <c r="J3" s="604"/>
      <c r="K3" s="604"/>
      <c r="L3" s="604"/>
      <c r="M3" s="604"/>
      <c r="N3" s="604"/>
      <c r="O3" s="604" t="s">
        <v>221</v>
      </c>
      <c r="P3" s="604"/>
      <c r="Q3" s="604"/>
      <c r="R3" s="604"/>
      <c r="S3" s="604"/>
      <c r="T3" s="604"/>
    </row>
    <row r="4" spans="1:20" ht="20.25" customHeight="1">
      <c r="A4" s="604"/>
      <c r="B4" s="589"/>
      <c r="C4" s="604" t="s">
        <v>5</v>
      </c>
      <c r="D4" s="604"/>
      <c r="E4" s="604"/>
      <c r="F4" s="604" t="s">
        <v>6</v>
      </c>
      <c r="G4" s="604"/>
      <c r="H4" s="604"/>
      <c r="I4" s="604" t="s">
        <v>5</v>
      </c>
      <c r="J4" s="604"/>
      <c r="K4" s="604"/>
      <c r="L4" s="604" t="s">
        <v>6</v>
      </c>
      <c r="M4" s="604"/>
      <c r="N4" s="604"/>
      <c r="O4" s="604" t="s">
        <v>5</v>
      </c>
      <c r="P4" s="604"/>
      <c r="Q4" s="604"/>
      <c r="R4" s="604" t="s">
        <v>6</v>
      </c>
      <c r="S4" s="604"/>
      <c r="T4" s="604"/>
    </row>
    <row r="5" spans="1:20" ht="20.25" customHeight="1">
      <c r="A5" s="604"/>
      <c r="B5" s="589"/>
      <c r="C5" s="130" t="s">
        <v>43</v>
      </c>
      <c r="D5" s="130" t="s">
        <v>44</v>
      </c>
      <c r="E5" s="130" t="s">
        <v>3</v>
      </c>
      <c r="F5" s="130" t="s">
        <v>43</v>
      </c>
      <c r="G5" s="130" t="s">
        <v>44</v>
      </c>
      <c r="H5" s="130" t="s">
        <v>3</v>
      </c>
      <c r="I5" s="130" t="s">
        <v>43</v>
      </c>
      <c r="J5" s="130" t="s">
        <v>44</v>
      </c>
      <c r="K5" s="130" t="s">
        <v>3</v>
      </c>
      <c r="L5" s="130" t="s">
        <v>43</v>
      </c>
      <c r="M5" s="130" t="s">
        <v>44</v>
      </c>
      <c r="N5" s="130" t="s">
        <v>3</v>
      </c>
      <c r="O5" s="130" t="s">
        <v>43</v>
      </c>
      <c r="P5" s="130" t="s">
        <v>44</v>
      </c>
      <c r="Q5" s="130" t="s">
        <v>3</v>
      </c>
      <c r="R5" s="130" t="s">
        <v>43</v>
      </c>
      <c r="S5" s="130" t="s">
        <v>44</v>
      </c>
      <c r="T5" s="130" t="s">
        <v>3</v>
      </c>
    </row>
    <row r="6" spans="1:20" ht="20.25" customHeight="1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34">
        <v>17</v>
      </c>
      <c r="R6" s="134">
        <v>18</v>
      </c>
      <c r="S6" s="134">
        <v>19</v>
      </c>
      <c r="T6" s="134">
        <v>20</v>
      </c>
    </row>
    <row r="7" spans="1:20" ht="15.75">
      <c r="A7" s="135">
        <v>2010</v>
      </c>
      <c r="B7" s="136">
        <v>34</v>
      </c>
      <c r="C7" s="137">
        <f>+[1]Board!AG44</f>
        <v>9374906</v>
      </c>
      <c r="D7" s="137">
        <f>+[1]Board!AH44</f>
        <v>7351211</v>
      </c>
      <c r="E7" s="137">
        <f>+[1]Board!AI44</f>
        <v>16726117</v>
      </c>
      <c r="F7" s="137">
        <f>+[1]Board!AP44</f>
        <v>6862354</v>
      </c>
      <c r="G7" s="137">
        <f>+[1]Board!AQ44</f>
        <v>5687118</v>
      </c>
      <c r="H7" s="137">
        <f>+[1]Board!AR44</f>
        <v>12549472</v>
      </c>
      <c r="I7" s="137">
        <f>+[1]Board!BZ44</f>
        <v>1517853</v>
      </c>
      <c r="J7" s="137">
        <f>+[1]Board!CA44</f>
        <v>1169643</v>
      </c>
      <c r="K7" s="137">
        <f>+[1]Board!CB44</f>
        <v>2687496</v>
      </c>
      <c r="L7" s="137">
        <f>+[1]Board!CI44</f>
        <v>1020344</v>
      </c>
      <c r="M7" s="137">
        <f>+[1]Board!CJ44</f>
        <v>834309</v>
      </c>
      <c r="N7" s="137">
        <f>+[1]Board!CK44</f>
        <v>1854653</v>
      </c>
      <c r="O7" s="137">
        <f>+[1]Board!DS44</f>
        <v>613490</v>
      </c>
      <c r="P7" s="137">
        <f>+[1]Board!DT44</f>
        <v>476366</v>
      </c>
      <c r="Q7" s="137">
        <f>+[1]Board!DU44</f>
        <v>1089856</v>
      </c>
      <c r="R7" s="137">
        <f>+[1]Board!EB44</f>
        <v>382583</v>
      </c>
      <c r="S7" s="137">
        <f>+[1]Board!EC44</f>
        <v>293139</v>
      </c>
      <c r="T7" s="137">
        <f>+[1]Board!ED44</f>
        <v>675722</v>
      </c>
    </row>
    <row r="8" spans="1:20" ht="15.75">
      <c r="A8" s="138">
        <v>2011</v>
      </c>
      <c r="B8" s="136">
        <v>34</v>
      </c>
      <c r="C8" s="137">
        <f>+[2]Board!AG44</f>
        <v>9799667</v>
      </c>
      <c r="D8" s="137">
        <f>+[2]Board!AH44</f>
        <v>7818871</v>
      </c>
      <c r="E8" s="137">
        <f>+[2]Board!AI44</f>
        <v>17623309</v>
      </c>
      <c r="F8" s="137">
        <f>+[2]Board!AP44</f>
        <v>7183560</v>
      </c>
      <c r="G8" s="137">
        <f>+[2]Board!AQ44</f>
        <v>6013853</v>
      </c>
      <c r="H8" s="137">
        <f>+[2]Board!AR44</f>
        <v>13199625</v>
      </c>
      <c r="I8" s="137">
        <f>+[2]Board!BZ44</f>
        <v>1687903</v>
      </c>
      <c r="J8" s="137">
        <f>+[2]Board!CA44</f>
        <v>1379568</v>
      </c>
      <c r="K8" s="137">
        <f>+[2]Board!CB44</f>
        <v>3067471</v>
      </c>
      <c r="L8" s="137">
        <f>+[2]Board!CI44</f>
        <v>1150634</v>
      </c>
      <c r="M8" s="137">
        <f>+[2]Board!CJ44</f>
        <v>977953</v>
      </c>
      <c r="N8" s="137">
        <f>+[2]Board!CK44</f>
        <v>2128587</v>
      </c>
      <c r="O8" s="137">
        <f>+[2]Board!DS44</f>
        <v>661275</v>
      </c>
      <c r="P8" s="137">
        <f>+[2]Board!DT44</f>
        <v>531300</v>
      </c>
      <c r="Q8" s="137">
        <f>+[2]Board!DU44</f>
        <v>1192575</v>
      </c>
      <c r="R8" s="137">
        <f>+[2]Board!EB44</f>
        <v>415430</v>
      </c>
      <c r="S8" s="137">
        <f>+[2]Board!EC44</f>
        <v>332993</v>
      </c>
      <c r="T8" s="137">
        <f>+[2]Board!ED44</f>
        <v>748423</v>
      </c>
    </row>
    <row r="9" spans="1:20" ht="15.75">
      <c r="A9" s="135">
        <v>2012</v>
      </c>
      <c r="B9" s="136">
        <v>34</v>
      </c>
      <c r="C9" s="139">
        <v>9939916</v>
      </c>
      <c r="D9" s="139">
        <v>8086742</v>
      </c>
      <c r="E9" s="139">
        <v>18026658</v>
      </c>
      <c r="F9" s="139">
        <v>7430776</v>
      </c>
      <c r="G9" s="139">
        <v>6334551</v>
      </c>
      <c r="H9" s="139">
        <v>13765327</v>
      </c>
      <c r="I9" s="139">
        <v>1596559</v>
      </c>
      <c r="J9" s="139">
        <v>1285426</v>
      </c>
      <c r="K9" s="139">
        <v>2881985</v>
      </c>
      <c r="L9" s="139">
        <v>1097023</v>
      </c>
      <c r="M9" s="139">
        <v>932159</v>
      </c>
      <c r="N9" s="139">
        <v>2029182</v>
      </c>
      <c r="O9" s="139">
        <v>638691</v>
      </c>
      <c r="P9" s="139">
        <v>547182</v>
      </c>
      <c r="Q9" s="139">
        <v>1185873</v>
      </c>
      <c r="R9" s="139">
        <v>395747</v>
      </c>
      <c r="S9" s="139">
        <v>334876</v>
      </c>
      <c r="T9" s="139">
        <v>730623</v>
      </c>
    </row>
    <row r="10" spans="1:20" ht="15.75">
      <c r="A10" s="138">
        <v>2013</v>
      </c>
      <c r="B10" s="136">
        <v>35</v>
      </c>
      <c r="C10" s="137">
        <f t="shared" ref="C10:T10" si="0">+C40-C25</f>
        <v>10507044</v>
      </c>
      <c r="D10" s="137">
        <f t="shared" si="0"/>
        <v>8617208</v>
      </c>
      <c r="E10" s="137">
        <f t="shared" si="0"/>
        <v>19124252</v>
      </c>
      <c r="F10" s="137">
        <f t="shared" si="0"/>
        <v>8037590</v>
      </c>
      <c r="G10" s="137">
        <f t="shared" si="0"/>
        <v>6932924</v>
      </c>
      <c r="H10" s="137">
        <f t="shared" si="0"/>
        <v>14970514</v>
      </c>
      <c r="I10" s="137">
        <f t="shared" si="0"/>
        <v>1765636</v>
      </c>
      <c r="J10" s="137">
        <f t="shared" si="0"/>
        <v>1459662</v>
      </c>
      <c r="K10" s="137">
        <f t="shared" si="0"/>
        <v>3225298</v>
      </c>
      <c r="L10" s="137">
        <f t="shared" si="0"/>
        <v>1232058</v>
      </c>
      <c r="M10" s="137">
        <f t="shared" si="0"/>
        <v>1076244</v>
      </c>
      <c r="N10" s="137">
        <f t="shared" si="0"/>
        <v>2308302</v>
      </c>
      <c r="O10" s="137">
        <f t="shared" si="0"/>
        <v>745569</v>
      </c>
      <c r="P10" s="137">
        <f t="shared" si="0"/>
        <v>656963</v>
      </c>
      <c r="Q10" s="137">
        <f t="shared" si="0"/>
        <v>1402532</v>
      </c>
      <c r="R10" s="137">
        <f t="shared" si="0"/>
        <v>480652</v>
      </c>
      <c r="S10" s="137">
        <f t="shared" si="0"/>
        <v>426303</v>
      </c>
      <c r="T10" s="137">
        <f t="shared" si="0"/>
        <v>906955</v>
      </c>
    </row>
    <row r="11" spans="1:20" ht="15.75">
      <c r="A11" s="138">
        <v>2014</v>
      </c>
      <c r="B11" s="136">
        <v>35</v>
      </c>
      <c r="C11" s="137">
        <f t="shared" ref="C11:T11" si="1">+C41-C26</f>
        <v>10229689</v>
      </c>
      <c r="D11" s="137">
        <f t="shared" si="1"/>
        <v>8625318</v>
      </c>
      <c r="E11" s="137">
        <f t="shared" si="1"/>
        <v>18855007</v>
      </c>
      <c r="F11" s="137">
        <f t="shared" si="1"/>
        <v>8041716</v>
      </c>
      <c r="G11" s="137">
        <f t="shared" si="1"/>
        <v>7053738</v>
      </c>
      <c r="H11" s="137">
        <f t="shared" si="1"/>
        <v>15095454</v>
      </c>
      <c r="I11" s="137">
        <f t="shared" si="1"/>
        <v>1756049</v>
      </c>
      <c r="J11" s="137">
        <f t="shared" si="1"/>
        <v>1485264</v>
      </c>
      <c r="K11" s="137">
        <f t="shared" si="1"/>
        <v>3241313</v>
      </c>
      <c r="L11" s="137">
        <f t="shared" si="1"/>
        <v>1268455</v>
      </c>
      <c r="M11" s="137">
        <f t="shared" si="1"/>
        <v>1124169</v>
      </c>
      <c r="N11" s="137">
        <f t="shared" si="1"/>
        <v>2392586</v>
      </c>
      <c r="O11" s="137">
        <f t="shared" si="1"/>
        <v>757751</v>
      </c>
      <c r="P11" s="137">
        <f t="shared" si="1"/>
        <v>694604</v>
      </c>
      <c r="Q11" s="137">
        <f t="shared" si="1"/>
        <v>1452355</v>
      </c>
      <c r="R11" s="137">
        <f t="shared" si="1"/>
        <v>501712</v>
      </c>
      <c r="S11" s="137">
        <f t="shared" si="1"/>
        <v>450920</v>
      </c>
      <c r="T11" s="137">
        <f t="shared" si="1"/>
        <v>952632</v>
      </c>
    </row>
    <row r="12" spans="1:20" ht="15.75">
      <c r="A12" s="138">
        <v>2015</v>
      </c>
      <c r="B12" s="136">
        <v>35</v>
      </c>
      <c r="C12" s="137">
        <f t="shared" ref="C12:T12" si="2">+C42-C27</f>
        <v>10078588</v>
      </c>
      <c r="D12" s="137">
        <f t="shared" si="2"/>
        <v>8708092</v>
      </c>
      <c r="E12" s="137">
        <f t="shared" si="2"/>
        <v>18786680</v>
      </c>
      <c r="F12" s="137">
        <f t="shared" si="2"/>
        <v>7830993</v>
      </c>
      <c r="G12" s="137">
        <f t="shared" si="2"/>
        <v>7038908</v>
      </c>
      <c r="H12" s="137">
        <f t="shared" si="2"/>
        <v>14869901</v>
      </c>
      <c r="I12" s="137">
        <f t="shared" si="2"/>
        <v>1728900</v>
      </c>
      <c r="J12" s="137">
        <f t="shared" si="2"/>
        <v>1495210</v>
      </c>
      <c r="K12" s="137">
        <f t="shared" si="2"/>
        <v>3224110</v>
      </c>
      <c r="L12" s="137">
        <f t="shared" si="2"/>
        <v>1244282</v>
      </c>
      <c r="M12" s="137">
        <f t="shared" si="2"/>
        <v>1119501</v>
      </c>
      <c r="N12" s="137">
        <f t="shared" si="2"/>
        <v>2363783</v>
      </c>
      <c r="O12" s="137">
        <f t="shared" si="2"/>
        <v>756299</v>
      </c>
      <c r="P12" s="137">
        <f t="shared" si="2"/>
        <v>711597</v>
      </c>
      <c r="Q12" s="137">
        <f t="shared" si="2"/>
        <v>1467896</v>
      </c>
      <c r="R12" s="137">
        <f t="shared" si="2"/>
        <v>491790</v>
      </c>
      <c r="S12" s="137">
        <f t="shared" si="2"/>
        <v>449720</v>
      </c>
      <c r="T12" s="137">
        <f t="shared" si="2"/>
        <v>941510</v>
      </c>
    </row>
    <row r="13" spans="1:20" ht="15.75">
      <c r="A13" s="138">
        <v>2016</v>
      </c>
      <c r="B13" s="144">
        <v>42</v>
      </c>
      <c r="C13" s="137">
        <v>10445057</v>
      </c>
      <c r="D13" s="137">
        <v>8941316</v>
      </c>
      <c r="E13" s="137">
        <v>19386373</v>
      </c>
      <c r="F13" s="137">
        <v>8117239</v>
      </c>
      <c r="G13" s="137">
        <v>7134819</v>
      </c>
      <c r="H13" s="137">
        <v>15252058</v>
      </c>
      <c r="I13" s="137">
        <v>1840809</v>
      </c>
      <c r="J13" s="137">
        <v>1590682</v>
      </c>
      <c r="K13" s="137">
        <v>3431491</v>
      </c>
      <c r="L13" s="137">
        <v>1324625</v>
      </c>
      <c r="M13" s="137">
        <v>1186951</v>
      </c>
      <c r="N13" s="137">
        <v>2511576</v>
      </c>
      <c r="O13" s="137">
        <v>779044</v>
      </c>
      <c r="P13" s="137">
        <v>734524</v>
      </c>
      <c r="Q13" s="137">
        <v>1513568</v>
      </c>
      <c r="R13" s="137">
        <v>507611</v>
      </c>
      <c r="S13" s="137">
        <v>476787</v>
      </c>
      <c r="T13" s="137">
        <v>984398</v>
      </c>
    </row>
    <row r="14" spans="1:20" ht="15.75">
      <c r="A14" s="138">
        <v>2017</v>
      </c>
      <c r="B14" s="136">
        <v>41</v>
      </c>
      <c r="C14" s="137">
        <f>+Board!AG51</f>
        <v>10348879</v>
      </c>
      <c r="D14" s="137">
        <f>+Board!AH51</f>
        <v>8980409</v>
      </c>
      <c r="E14" s="137">
        <f>+Board!AI51</f>
        <v>19329288</v>
      </c>
      <c r="F14" s="137">
        <f>+Board!AP51</f>
        <v>7875107</v>
      </c>
      <c r="G14" s="137">
        <f>+Board!AQ51</f>
        <v>7008989</v>
      </c>
      <c r="H14" s="137">
        <f>+Board!AR51</f>
        <v>14884096</v>
      </c>
      <c r="I14" s="137">
        <f>+Board!BZ51</f>
        <v>1821719</v>
      </c>
      <c r="J14" s="137">
        <f>+Board!CA51</f>
        <v>1619061</v>
      </c>
      <c r="K14" s="137">
        <f>+Board!CB51</f>
        <v>3440780</v>
      </c>
      <c r="L14" s="137">
        <f>+Board!CI51</f>
        <v>1268786</v>
      </c>
      <c r="M14" s="137">
        <f>+Board!CJ51</f>
        <v>1163597</v>
      </c>
      <c r="N14" s="137">
        <f>+Board!CK51</f>
        <v>2432383</v>
      </c>
      <c r="O14" s="137">
        <f>+Board!DS51</f>
        <v>760652</v>
      </c>
      <c r="P14" s="137">
        <f>+Board!DT51</f>
        <v>734458</v>
      </c>
      <c r="Q14" s="137">
        <f>+Board!DU51</f>
        <v>1495110</v>
      </c>
      <c r="R14" s="137">
        <f>+Board!EB51</f>
        <v>510976</v>
      </c>
      <c r="S14" s="137">
        <f>+Board!EC51</f>
        <v>493145</v>
      </c>
      <c r="T14" s="137">
        <f>+Board!ED51</f>
        <v>1004121</v>
      </c>
    </row>
    <row r="15" spans="1:20" ht="15.75">
      <c r="A15" s="141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18">
      <c r="A16" s="131"/>
      <c r="C16" s="132" t="s">
        <v>330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 t="s">
        <v>330</v>
      </c>
      <c r="P16" s="132"/>
      <c r="Q16" s="132"/>
      <c r="R16" s="132"/>
      <c r="S16" s="132"/>
      <c r="T16" s="132"/>
    </row>
    <row r="17" spans="1:20" ht="15" customHeight="1">
      <c r="A17" s="604" t="s">
        <v>218</v>
      </c>
      <c r="B17" s="588" t="s">
        <v>327</v>
      </c>
      <c r="C17" s="604" t="s">
        <v>188</v>
      </c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 t="s">
        <v>188</v>
      </c>
      <c r="P17" s="604"/>
      <c r="Q17" s="604"/>
      <c r="R17" s="604"/>
      <c r="S17" s="604"/>
      <c r="T17" s="604"/>
    </row>
    <row r="18" spans="1:20">
      <c r="A18" s="604"/>
      <c r="B18" s="589"/>
      <c r="C18" s="604" t="s">
        <v>219</v>
      </c>
      <c r="D18" s="604"/>
      <c r="E18" s="604"/>
      <c r="F18" s="604"/>
      <c r="G18" s="604"/>
      <c r="H18" s="604"/>
      <c r="I18" s="604" t="s">
        <v>220</v>
      </c>
      <c r="J18" s="604"/>
      <c r="K18" s="604"/>
      <c r="L18" s="604"/>
      <c r="M18" s="604"/>
      <c r="N18" s="604"/>
      <c r="O18" s="604" t="s">
        <v>221</v>
      </c>
      <c r="P18" s="604"/>
      <c r="Q18" s="604"/>
      <c r="R18" s="604"/>
      <c r="S18" s="604"/>
      <c r="T18" s="604"/>
    </row>
    <row r="19" spans="1:20">
      <c r="A19" s="604"/>
      <c r="B19" s="589"/>
      <c r="C19" s="604" t="s">
        <v>5</v>
      </c>
      <c r="D19" s="604"/>
      <c r="E19" s="604"/>
      <c r="F19" s="604" t="s">
        <v>6</v>
      </c>
      <c r="G19" s="604"/>
      <c r="H19" s="604"/>
      <c r="I19" s="604" t="s">
        <v>5</v>
      </c>
      <c r="J19" s="604"/>
      <c r="K19" s="604"/>
      <c r="L19" s="604" t="s">
        <v>6</v>
      </c>
      <c r="M19" s="604"/>
      <c r="N19" s="604"/>
      <c r="O19" s="604" t="s">
        <v>5</v>
      </c>
      <c r="P19" s="604"/>
      <c r="Q19" s="604"/>
      <c r="R19" s="604" t="s">
        <v>6</v>
      </c>
      <c r="S19" s="604"/>
      <c r="T19" s="604"/>
    </row>
    <row r="20" spans="1:20">
      <c r="A20" s="604"/>
      <c r="B20" s="589"/>
      <c r="C20" s="130" t="s">
        <v>43</v>
      </c>
      <c r="D20" s="130" t="s">
        <v>44</v>
      </c>
      <c r="E20" s="130" t="s">
        <v>3</v>
      </c>
      <c r="F20" s="130" t="s">
        <v>43</v>
      </c>
      <c r="G20" s="130" t="s">
        <v>44</v>
      </c>
      <c r="H20" s="130" t="s">
        <v>3</v>
      </c>
      <c r="I20" s="130" t="s">
        <v>43</v>
      </c>
      <c r="J20" s="130" t="s">
        <v>44</v>
      </c>
      <c r="K20" s="130" t="s">
        <v>3</v>
      </c>
      <c r="L20" s="130" t="s">
        <v>43</v>
      </c>
      <c r="M20" s="130" t="s">
        <v>44</v>
      </c>
      <c r="N20" s="130" t="s">
        <v>3</v>
      </c>
      <c r="O20" s="130" t="s">
        <v>43</v>
      </c>
      <c r="P20" s="130" t="s">
        <v>44</v>
      </c>
      <c r="Q20" s="130" t="s">
        <v>3</v>
      </c>
      <c r="R20" s="130" t="s">
        <v>43</v>
      </c>
      <c r="S20" s="130" t="s">
        <v>44</v>
      </c>
      <c r="T20" s="130" t="s">
        <v>3</v>
      </c>
    </row>
    <row r="21" spans="1:20">
      <c r="A21" s="142">
        <v>1</v>
      </c>
      <c r="B21" s="134">
        <v>2</v>
      </c>
      <c r="C21" s="142">
        <v>3</v>
      </c>
      <c r="D21" s="134">
        <v>4</v>
      </c>
      <c r="E21" s="142">
        <v>5</v>
      </c>
      <c r="F21" s="134">
        <v>6</v>
      </c>
      <c r="G21" s="142">
        <v>7</v>
      </c>
      <c r="H21" s="134">
        <v>8</v>
      </c>
      <c r="I21" s="142">
        <v>9</v>
      </c>
      <c r="J21" s="134">
        <v>10</v>
      </c>
      <c r="K21" s="142">
        <v>11</v>
      </c>
      <c r="L21" s="134">
        <v>12</v>
      </c>
      <c r="M21" s="142">
        <v>13</v>
      </c>
      <c r="N21" s="134">
        <v>14</v>
      </c>
      <c r="O21" s="142">
        <v>15</v>
      </c>
      <c r="P21" s="134">
        <v>16</v>
      </c>
      <c r="Q21" s="142">
        <v>17</v>
      </c>
      <c r="R21" s="134">
        <v>18</v>
      </c>
      <c r="S21" s="142">
        <v>19</v>
      </c>
      <c r="T21" s="142">
        <v>20</v>
      </c>
    </row>
    <row r="22" spans="1:20" ht="15.75">
      <c r="A22" s="138">
        <v>2010</v>
      </c>
      <c r="B22" s="136">
        <v>6</v>
      </c>
      <c r="C22" s="137">
        <f>+[1]OpenBoard!C14</f>
        <v>309135</v>
      </c>
      <c r="D22" s="137">
        <f>+[1]OpenBoard!D14</f>
        <v>214714</v>
      </c>
      <c r="E22" s="137">
        <f>+[1]OpenBoard!E14</f>
        <v>523849</v>
      </c>
      <c r="F22" s="137">
        <f>+[1]OpenBoard!F14</f>
        <v>166883</v>
      </c>
      <c r="G22" s="137">
        <f>+[1]OpenBoard!G14</f>
        <v>106029</v>
      </c>
      <c r="H22" s="137">
        <f>+[1]OpenBoard!H14</f>
        <v>272912</v>
      </c>
      <c r="I22" s="137">
        <f>+[1]OpenBoard!I14</f>
        <v>44666</v>
      </c>
      <c r="J22" s="137">
        <f>+[1]OpenBoard!J14</f>
        <v>27770</v>
      </c>
      <c r="K22" s="137">
        <f>+[1]OpenBoard!K14</f>
        <v>72436</v>
      </c>
      <c r="L22" s="137">
        <f>+[1]OpenBoard!L14</f>
        <v>23557</v>
      </c>
      <c r="M22" s="137">
        <f>+[1]OpenBoard!M14</f>
        <v>13670</v>
      </c>
      <c r="N22" s="137">
        <f>+[1]OpenBoard!N14</f>
        <v>37227</v>
      </c>
      <c r="O22" s="137">
        <f>+[1]OpenBoard!O14</f>
        <v>29962</v>
      </c>
      <c r="P22" s="137">
        <f>+[1]OpenBoard!P14</f>
        <v>25670</v>
      </c>
      <c r="Q22" s="137">
        <f>+[1]OpenBoard!Q14</f>
        <v>55632</v>
      </c>
      <c r="R22" s="137">
        <f>+[1]OpenBoard!R14</f>
        <v>14045</v>
      </c>
      <c r="S22" s="137">
        <f>+[1]OpenBoard!S14</f>
        <v>12019</v>
      </c>
      <c r="T22" s="137">
        <f>+[1]OpenBoard!T14</f>
        <v>26064</v>
      </c>
    </row>
    <row r="23" spans="1:20" ht="15.75">
      <c r="A23" s="138">
        <v>2011</v>
      </c>
      <c r="B23" s="136">
        <v>6</v>
      </c>
      <c r="C23" s="137">
        <f>+[2]OpenBoard!C14</f>
        <v>318896</v>
      </c>
      <c r="D23" s="137">
        <f>+[2]OpenBoard!D14</f>
        <v>219066</v>
      </c>
      <c r="E23" s="137">
        <f>+[2]OpenBoard!E14</f>
        <v>537962</v>
      </c>
      <c r="F23" s="137">
        <f>+[2]OpenBoard!F14</f>
        <v>187686</v>
      </c>
      <c r="G23" s="137">
        <f>+[2]OpenBoard!G14</f>
        <v>117295</v>
      </c>
      <c r="H23" s="137">
        <f>+[2]OpenBoard!H14</f>
        <v>304981</v>
      </c>
      <c r="I23" s="137">
        <f>+[2]OpenBoard!I14</f>
        <v>54250</v>
      </c>
      <c r="J23" s="137">
        <f>+[2]OpenBoard!J14</f>
        <v>33662</v>
      </c>
      <c r="K23" s="137">
        <f>+[2]OpenBoard!K14</f>
        <v>87912</v>
      </c>
      <c r="L23" s="137">
        <f>+[2]OpenBoard!L14</f>
        <v>30472</v>
      </c>
      <c r="M23" s="137">
        <f>+[2]OpenBoard!M14</f>
        <v>18269</v>
      </c>
      <c r="N23" s="137">
        <f>+[2]OpenBoard!N14</f>
        <v>48741</v>
      </c>
      <c r="O23" s="137">
        <f>+[2]OpenBoard!O14</f>
        <v>36915</v>
      </c>
      <c r="P23" s="137">
        <f>+[2]OpenBoard!P14</f>
        <v>31149</v>
      </c>
      <c r="Q23" s="137">
        <f>+[2]OpenBoard!Q14</f>
        <v>68064</v>
      </c>
      <c r="R23" s="137">
        <f>+[2]OpenBoard!R14</f>
        <v>22923</v>
      </c>
      <c r="S23" s="137">
        <f>+[2]OpenBoard!S14</f>
        <v>16365</v>
      </c>
      <c r="T23" s="137">
        <f>+[2]OpenBoard!T14</f>
        <v>39288</v>
      </c>
    </row>
    <row r="24" spans="1:20" ht="15.75">
      <c r="A24" s="138">
        <v>2012</v>
      </c>
      <c r="B24" s="136">
        <v>6</v>
      </c>
      <c r="C24" s="137">
        <f>+[3]OpenBoard!C14</f>
        <v>347228</v>
      </c>
      <c r="D24" s="137">
        <f>+[3]OpenBoard!D14</f>
        <v>200891</v>
      </c>
      <c r="E24" s="137">
        <f>+[3]OpenBoard!E14</f>
        <v>548119</v>
      </c>
      <c r="F24" s="137">
        <f>+[3]OpenBoard!F14</f>
        <v>217754</v>
      </c>
      <c r="G24" s="137">
        <f>+[3]OpenBoard!G14</f>
        <v>128039</v>
      </c>
      <c r="H24" s="137">
        <f>+[3]OpenBoard!H14</f>
        <v>345793</v>
      </c>
      <c r="I24" s="137">
        <f>+[3]OpenBoard!I14</f>
        <v>56716</v>
      </c>
      <c r="J24" s="137">
        <f>+[3]OpenBoard!J14</f>
        <v>29791</v>
      </c>
      <c r="K24" s="137">
        <f>+[3]OpenBoard!K14</f>
        <v>86507</v>
      </c>
      <c r="L24" s="137">
        <f>+[3]OpenBoard!L14</f>
        <v>35086</v>
      </c>
      <c r="M24" s="137">
        <f>+[3]OpenBoard!M14</f>
        <v>18274</v>
      </c>
      <c r="N24" s="137">
        <f>+[3]OpenBoard!N14</f>
        <v>53360</v>
      </c>
      <c r="O24" s="137">
        <f>+[3]OpenBoard!O14</f>
        <v>39167</v>
      </c>
      <c r="P24" s="137">
        <f>+[3]OpenBoard!P14</f>
        <v>28097</v>
      </c>
      <c r="Q24" s="137">
        <f>+[3]OpenBoard!Q14</f>
        <v>67264</v>
      </c>
      <c r="R24" s="137">
        <f>+[3]OpenBoard!R14</f>
        <v>21215</v>
      </c>
      <c r="S24" s="137">
        <f>+[3]OpenBoard!S14</f>
        <v>17900</v>
      </c>
      <c r="T24" s="137">
        <f>+[3]OpenBoard!T14</f>
        <v>39115</v>
      </c>
    </row>
    <row r="25" spans="1:20" ht="15.75">
      <c r="A25" s="138">
        <v>2013</v>
      </c>
      <c r="B25" s="136">
        <v>6</v>
      </c>
      <c r="C25" s="137">
        <f>+[4]OpenBoard!C14</f>
        <v>397611</v>
      </c>
      <c r="D25" s="137">
        <f>+[4]OpenBoard!D14</f>
        <v>212752</v>
      </c>
      <c r="E25" s="137">
        <f>+[4]OpenBoard!E14</f>
        <v>610363</v>
      </c>
      <c r="F25" s="137">
        <f>+[4]OpenBoard!F14</f>
        <v>220126</v>
      </c>
      <c r="G25" s="137">
        <f>+[4]OpenBoard!G14</f>
        <v>128848</v>
      </c>
      <c r="H25" s="137">
        <f>+[4]OpenBoard!H14</f>
        <v>348974</v>
      </c>
      <c r="I25" s="137">
        <f>+[4]OpenBoard!I14</f>
        <v>60124</v>
      </c>
      <c r="J25" s="137">
        <f>+[4]OpenBoard!J14</f>
        <v>29784</v>
      </c>
      <c r="K25" s="137">
        <f>+[4]OpenBoard!K14</f>
        <v>89908</v>
      </c>
      <c r="L25" s="137">
        <f>+[4]OpenBoard!L14</f>
        <v>33032</v>
      </c>
      <c r="M25" s="137">
        <f>+[4]OpenBoard!M14</f>
        <v>16829</v>
      </c>
      <c r="N25" s="137">
        <f>+[4]OpenBoard!N14</f>
        <v>49861</v>
      </c>
      <c r="O25" s="137">
        <f>+[4]OpenBoard!O14</f>
        <v>41501</v>
      </c>
      <c r="P25" s="137">
        <f>+[4]OpenBoard!P14</f>
        <v>34982</v>
      </c>
      <c r="Q25" s="137">
        <f>+[4]OpenBoard!Q14</f>
        <v>76483</v>
      </c>
      <c r="R25" s="137">
        <f>+[4]OpenBoard!R14</f>
        <v>22331</v>
      </c>
      <c r="S25" s="137">
        <f>+[4]OpenBoard!S14</f>
        <v>19759</v>
      </c>
      <c r="T25" s="137">
        <f>+[4]OpenBoard!T14</f>
        <v>42090</v>
      </c>
    </row>
    <row r="26" spans="1:20" ht="15.75">
      <c r="A26" s="138">
        <v>2014</v>
      </c>
      <c r="B26" s="136">
        <v>6</v>
      </c>
      <c r="C26" s="137">
        <v>372178</v>
      </c>
      <c r="D26" s="137">
        <v>239081</v>
      </c>
      <c r="E26" s="137">
        <v>611259</v>
      </c>
      <c r="F26" s="137">
        <v>179739</v>
      </c>
      <c r="G26" s="137">
        <v>118181</v>
      </c>
      <c r="H26" s="137">
        <v>297920</v>
      </c>
      <c r="I26" s="137">
        <v>52681</v>
      </c>
      <c r="J26" s="137">
        <v>33237</v>
      </c>
      <c r="K26" s="137">
        <v>85918</v>
      </c>
      <c r="L26" s="137">
        <v>26293</v>
      </c>
      <c r="M26" s="137">
        <v>18021</v>
      </c>
      <c r="N26" s="137">
        <v>44352</v>
      </c>
      <c r="O26" s="137">
        <v>43762</v>
      </c>
      <c r="P26" s="137">
        <v>40573</v>
      </c>
      <c r="Q26" s="137">
        <v>84335</v>
      </c>
      <c r="R26" s="137">
        <v>20411</v>
      </c>
      <c r="S26" s="137">
        <v>18876</v>
      </c>
      <c r="T26" s="137">
        <v>39287</v>
      </c>
    </row>
    <row r="27" spans="1:20" ht="15.75">
      <c r="A27" s="138">
        <v>2015</v>
      </c>
      <c r="B27" s="136">
        <v>6</v>
      </c>
      <c r="C27" s="137">
        <v>213979</v>
      </c>
      <c r="D27" s="137">
        <v>157478</v>
      </c>
      <c r="E27" s="137">
        <v>371457</v>
      </c>
      <c r="F27" s="137">
        <v>137173</v>
      </c>
      <c r="G27" s="137">
        <v>97881</v>
      </c>
      <c r="H27" s="137">
        <v>235054</v>
      </c>
      <c r="I27" s="137">
        <v>33829</v>
      </c>
      <c r="J27" s="137">
        <v>23828</v>
      </c>
      <c r="K27" s="137">
        <v>57657</v>
      </c>
      <c r="L27" s="137">
        <v>22432</v>
      </c>
      <c r="M27" s="137">
        <v>16629</v>
      </c>
      <c r="N27" s="137">
        <v>39061</v>
      </c>
      <c r="O27" s="137">
        <v>27689</v>
      </c>
      <c r="P27" s="137">
        <v>25193</v>
      </c>
      <c r="Q27" s="137">
        <v>53213</v>
      </c>
      <c r="R27" s="137">
        <v>18160</v>
      </c>
      <c r="S27" s="137">
        <v>16443</v>
      </c>
      <c r="T27" s="137">
        <v>34603</v>
      </c>
    </row>
    <row r="28" spans="1:20" ht="15.75">
      <c r="A28" s="138">
        <v>2016</v>
      </c>
      <c r="B28" s="136">
        <v>7</v>
      </c>
      <c r="C28" s="137">
        <v>368925</v>
      </c>
      <c r="D28" s="137">
        <v>229979</v>
      </c>
      <c r="E28" s="137">
        <v>598904</v>
      </c>
      <c r="F28" s="137">
        <v>149298</v>
      </c>
      <c r="G28" s="137">
        <v>107460</v>
      </c>
      <c r="H28" s="137">
        <v>256758</v>
      </c>
      <c r="I28" s="137">
        <v>117896</v>
      </c>
      <c r="J28" s="137">
        <v>66043</v>
      </c>
      <c r="K28" s="137">
        <v>183939</v>
      </c>
      <c r="L28" s="137">
        <v>47421</v>
      </c>
      <c r="M28" s="137">
        <v>28940</v>
      </c>
      <c r="N28" s="137">
        <v>76361</v>
      </c>
      <c r="O28" s="137">
        <v>53372</v>
      </c>
      <c r="P28" s="137">
        <v>38650</v>
      </c>
      <c r="Q28" s="137">
        <v>92022</v>
      </c>
      <c r="R28" s="137">
        <v>20420</v>
      </c>
      <c r="S28" s="137">
        <v>15165</v>
      </c>
      <c r="T28" s="137">
        <v>35585</v>
      </c>
    </row>
    <row r="29" spans="1:20" ht="15.75">
      <c r="A29" s="138">
        <v>2017</v>
      </c>
      <c r="B29" s="136">
        <v>7</v>
      </c>
      <c r="C29" s="137">
        <f>+'Open Board'!C15</f>
        <v>37664</v>
      </c>
      <c r="D29" s="137">
        <f>+'Open Board'!D15</f>
        <v>15433</v>
      </c>
      <c r="E29" s="137">
        <f>+'Open Board'!E15</f>
        <v>53097</v>
      </c>
      <c r="F29" s="137">
        <f>+'Open Board'!F15</f>
        <v>7878</v>
      </c>
      <c r="G29" s="137">
        <f>+'Open Board'!G15</f>
        <v>4068</v>
      </c>
      <c r="H29" s="137">
        <f>+'Open Board'!H15</f>
        <v>11946</v>
      </c>
      <c r="I29" s="137">
        <f>+'Open Board'!I15</f>
        <v>7056</v>
      </c>
      <c r="J29" s="137">
        <f>+'Open Board'!J15</f>
        <v>3592</v>
      </c>
      <c r="K29" s="137">
        <f>+'Open Board'!K15</f>
        <v>10648</v>
      </c>
      <c r="L29" s="137">
        <f>+'Open Board'!L15</f>
        <v>20470</v>
      </c>
      <c r="M29" s="137">
        <f>+'Open Board'!M15</f>
        <v>14514</v>
      </c>
      <c r="N29" s="137">
        <f>+'Open Board'!N15</f>
        <v>34984</v>
      </c>
      <c r="O29" s="137">
        <f>+'Open Board'!O15</f>
        <v>42401</v>
      </c>
      <c r="P29" s="137">
        <f>+'Open Board'!P15</f>
        <v>36072</v>
      </c>
      <c r="Q29" s="137">
        <f>+'Open Board'!Q15</f>
        <v>78473</v>
      </c>
      <c r="R29" s="137">
        <f>+'Open Board'!R15</f>
        <v>16663</v>
      </c>
      <c r="S29" s="137">
        <f>+'Open Board'!S15</f>
        <v>15624</v>
      </c>
      <c r="T29" s="137">
        <f>+'Open Board'!T15</f>
        <v>32287</v>
      </c>
    </row>
    <row r="30" spans="1:20" ht="15.75">
      <c r="B30" s="143"/>
    </row>
    <row r="31" spans="1:20" ht="18">
      <c r="A31" s="131"/>
      <c r="B31" s="143"/>
      <c r="C31" s="132" t="s">
        <v>331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 t="s">
        <v>331</v>
      </c>
      <c r="P31" s="132"/>
      <c r="Q31" s="132"/>
      <c r="R31" s="132"/>
      <c r="S31" s="132"/>
      <c r="T31" s="132"/>
    </row>
    <row r="32" spans="1:20" ht="15" customHeight="1">
      <c r="A32" s="604" t="s">
        <v>218</v>
      </c>
      <c r="B32" s="588" t="s">
        <v>327</v>
      </c>
      <c r="C32" s="604" t="s">
        <v>188</v>
      </c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 t="s">
        <v>188</v>
      </c>
      <c r="P32" s="604"/>
      <c r="Q32" s="604"/>
      <c r="R32" s="604"/>
      <c r="S32" s="604"/>
      <c r="T32" s="604"/>
    </row>
    <row r="33" spans="1:20">
      <c r="A33" s="604"/>
      <c r="B33" s="589"/>
      <c r="C33" s="604" t="s">
        <v>219</v>
      </c>
      <c r="D33" s="604"/>
      <c r="E33" s="604"/>
      <c r="F33" s="604"/>
      <c r="G33" s="604"/>
      <c r="H33" s="604"/>
      <c r="I33" s="604" t="s">
        <v>220</v>
      </c>
      <c r="J33" s="604"/>
      <c r="K33" s="604"/>
      <c r="L33" s="604"/>
      <c r="M33" s="604"/>
      <c r="N33" s="604"/>
      <c r="O33" s="604" t="s">
        <v>221</v>
      </c>
      <c r="P33" s="604"/>
      <c r="Q33" s="604"/>
      <c r="R33" s="604"/>
      <c r="S33" s="604"/>
      <c r="T33" s="604"/>
    </row>
    <row r="34" spans="1:20">
      <c r="A34" s="604"/>
      <c r="B34" s="589"/>
      <c r="C34" s="604" t="s">
        <v>5</v>
      </c>
      <c r="D34" s="604"/>
      <c r="E34" s="604"/>
      <c r="F34" s="604" t="s">
        <v>6</v>
      </c>
      <c r="G34" s="604"/>
      <c r="H34" s="604"/>
      <c r="I34" s="604" t="s">
        <v>5</v>
      </c>
      <c r="J34" s="604"/>
      <c r="K34" s="604"/>
      <c r="L34" s="604" t="s">
        <v>6</v>
      </c>
      <c r="M34" s="604"/>
      <c r="N34" s="604"/>
      <c r="O34" s="604" t="s">
        <v>5</v>
      </c>
      <c r="P34" s="604"/>
      <c r="Q34" s="604"/>
      <c r="R34" s="604" t="s">
        <v>6</v>
      </c>
      <c r="S34" s="604"/>
      <c r="T34" s="604"/>
    </row>
    <row r="35" spans="1:20">
      <c r="A35" s="604"/>
      <c r="B35" s="589"/>
      <c r="C35" s="130" t="s">
        <v>43</v>
      </c>
      <c r="D35" s="130" t="s">
        <v>44</v>
      </c>
      <c r="E35" s="130" t="s">
        <v>3</v>
      </c>
      <c r="F35" s="130" t="s">
        <v>43</v>
      </c>
      <c r="G35" s="130" t="s">
        <v>44</v>
      </c>
      <c r="H35" s="130" t="s">
        <v>3</v>
      </c>
      <c r="I35" s="130" t="s">
        <v>43</v>
      </c>
      <c r="J35" s="130" t="s">
        <v>44</v>
      </c>
      <c r="K35" s="130" t="s">
        <v>3</v>
      </c>
      <c r="L35" s="130" t="s">
        <v>43</v>
      </c>
      <c r="M35" s="130" t="s">
        <v>44</v>
      </c>
      <c r="N35" s="130" t="s">
        <v>3</v>
      </c>
      <c r="O35" s="130" t="s">
        <v>43</v>
      </c>
      <c r="P35" s="130" t="s">
        <v>44</v>
      </c>
      <c r="Q35" s="130" t="s">
        <v>3</v>
      </c>
      <c r="R35" s="130" t="s">
        <v>43</v>
      </c>
      <c r="S35" s="130" t="s">
        <v>44</v>
      </c>
      <c r="T35" s="130" t="s">
        <v>3</v>
      </c>
    </row>
    <row r="36" spans="1:20">
      <c r="A36" s="134">
        <v>1</v>
      </c>
      <c r="B36" s="134">
        <v>2</v>
      </c>
      <c r="C36" s="134">
        <v>3</v>
      </c>
      <c r="D36" s="134">
        <v>4</v>
      </c>
      <c r="E36" s="134">
        <v>5</v>
      </c>
      <c r="F36" s="134">
        <v>6</v>
      </c>
      <c r="G36" s="134">
        <v>7</v>
      </c>
      <c r="H36" s="134">
        <v>8</v>
      </c>
      <c r="I36" s="134">
        <v>9</v>
      </c>
      <c r="J36" s="134">
        <v>10</v>
      </c>
      <c r="K36" s="134">
        <v>11</v>
      </c>
      <c r="L36" s="134">
        <v>12</v>
      </c>
      <c r="M36" s="134">
        <v>13</v>
      </c>
      <c r="N36" s="134">
        <v>14</v>
      </c>
      <c r="O36" s="134">
        <v>15</v>
      </c>
      <c r="P36" s="134">
        <v>16</v>
      </c>
      <c r="Q36" s="134">
        <v>17</v>
      </c>
      <c r="R36" s="134">
        <v>18</v>
      </c>
      <c r="S36" s="134">
        <v>19</v>
      </c>
      <c r="T36" s="134">
        <v>20</v>
      </c>
    </row>
    <row r="37" spans="1:20" ht="15.75">
      <c r="A37" s="135">
        <v>2010</v>
      </c>
      <c r="B37" s="136">
        <f t="shared" ref="B37:T44" si="3">+B7+B22</f>
        <v>40</v>
      </c>
      <c r="C37" s="137">
        <f t="shared" si="3"/>
        <v>9684041</v>
      </c>
      <c r="D37" s="137">
        <f t="shared" si="3"/>
        <v>7565925</v>
      </c>
      <c r="E37" s="137">
        <f t="shared" si="3"/>
        <v>17249966</v>
      </c>
      <c r="F37" s="137">
        <f t="shared" si="3"/>
        <v>7029237</v>
      </c>
      <c r="G37" s="137">
        <f t="shared" si="3"/>
        <v>5793147</v>
      </c>
      <c r="H37" s="137">
        <f t="shared" si="3"/>
        <v>12822384</v>
      </c>
      <c r="I37" s="137">
        <f t="shared" si="3"/>
        <v>1562519</v>
      </c>
      <c r="J37" s="137">
        <f t="shared" si="3"/>
        <v>1197413</v>
      </c>
      <c r="K37" s="137">
        <f t="shared" si="3"/>
        <v>2759932</v>
      </c>
      <c r="L37" s="137">
        <f t="shared" si="3"/>
        <v>1043901</v>
      </c>
      <c r="M37" s="137">
        <f t="shared" si="3"/>
        <v>847979</v>
      </c>
      <c r="N37" s="137">
        <f t="shared" si="3"/>
        <v>1891880</v>
      </c>
      <c r="O37" s="137">
        <f t="shared" si="3"/>
        <v>643452</v>
      </c>
      <c r="P37" s="137">
        <f t="shared" si="3"/>
        <v>502036</v>
      </c>
      <c r="Q37" s="137">
        <f t="shared" si="3"/>
        <v>1145488</v>
      </c>
      <c r="R37" s="137">
        <f t="shared" si="3"/>
        <v>396628</v>
      </c>
      <c r="S37" s="137">
        <f t="shared" si="3"/>
        <v>305158</v>
      </c>
      <c r="T37" s="137">
        <f t="shared" si="3"/>
        <v>701786</v>
      </c>
    </row>
    <row r="38" spans="1:20" ht="15.75">
      <c r="A38" s="138">
        <v>2011</v>
      </c>
      <c r="B38" s="136">
        <f t="shared" si="3"/>
        <v>40</v>
      </c>
      <c r="C38" s="137">
        <f t="shared" ref="C38:T38" si="4">+C8+C23</f>
        <v>10118563</v>
      </c>
      <c r="D38" s="137">
        <f t="shared" si="4"/>
        <v>8037937</v>
      </c>
      <c r="E38" s="137">
        <f t="shared" si="4"/>
        <v>18161271</v>
      </c>
      <c r="F38" s="137">
        <f t="shared" si="4"/>
        <v>7371246</v>
      </c>
      <c r="G38" s="137">
        <f t="shared" si="4"/>
        <v>6131148</v>
      </c>
      <c r="H38" s="137">
        <f t="shared" si="4"/>
        <v>13504606</v>
      </c>
      <c r="I38" s="137">
        <f t="shared" si="4"/>
        <v>1742153</v>
      </c>
      <c r="J38" s="137">
        <f t="shared" si="4"/>
        <v>1413230</v>
      </c>
      <c r="K38" s="137">
        <f t="shared" si="4"/>
        <v>3155383</v>
      </c>
      <c r="L38" s="137">
        <f t="shared" si="4"/>
        <v>1181106</v>
      </c>
      <c r="M38" s="137">
        <f t="shared" si="4"/>
        <v>996222</v>
      </c>
      <c r="N38" s="137">
        <f t="shared" si="4"/>
        <v>2177328</v>
      </c>
      <c r="O38" s="137">
        <f t="shared" si="4"/>
        <v>698190</v>
      </c>
      <c r="P38" s="137">
        <f t="shared" si="4"/>
        <v>562449</v>
      </c>
      <c r="Q38" s="137">
        <f t="shared" si="4"/>
        <v>1260639</v>
      </c>
      <c r="R38" s="137">
        <f t="shared" si="4"/>
        <v>438353</v>
      </c>
      <c r="S38" s="137">
        <f t="shared" si="4"/>
        <v>349358</v>
      </c>
      <c r="T38" s="137">
        <f t="shared" si="4"/>
        <v>787711</v>
      </c>
    </row>
    <row r="39" spans="1:20" ht="15.75">
      <c r="A39" s="135">
        <v>2012</v>
      </c>
      <c r="B39" s="136">
        <f t="shared" si="3"/>
        <v>40</v>
      </c>
      <c r="C39" s="137">
        <f t="shared" ref="C39:T39" si="5">+C9+C24</f>
        <v>10287144</v>
      </c>
      <c r="D39" s="137">
        <f t="shared" si="5"/>
        <v>8287633</v>
      </c>
      <c r="E39" s="137">
        <f t="shared" si="5"/>
        <v>18574777</v>
      </c>
      <c r="F39" s="137">
        <f t="shared" si="5"/>
        <v>7648530</v>
      </c>
      <c r="G39" s="137">
        <f t="shared" si="5"/>
        <v>6462590</v>
      </c>
      <c r="H39" s="137">
        <f t="shared" si="5"/>
        <v>14111120</v>
      </c>
      <c r="I39" s="137">
        <f t="shared" si="5"/>
        <v>1653275</v>
      </c>
      <c r="J39" s="137">
        <f t="shared" si="5"/>
        <v>1315217</v>
      </c>
      <c r="K39" s="137">
        <f t="shared" si="5"/>
        <v>2968492</v>
      </c>
      <c r="L39" s="137">
        <f t="shared" si="5"/>
        <v>1132109</v>
      </c>
      <c r="M39" s="137">
        <f t="shared" si="5"/>
        <v>950433</v>
      </c>
      <c r="N39" s="137">
        <f t="shared" si="5"/>
        <v>2082542</v>
      </c>
      <c r="O39" s="137">
        <f t="shared" si="5"/>
        <v>677858</v>
      </c>
      <c r="P39" s="137">
        <f t="shared" si="5"/>
        <v>575279</v>
      </c>
      <c r="Q39" s="137">
        <f t="shared" si="5"/>
        <v>1253137</v>
      </c>
      <c r="R39" s="137">
        <f t="shared" si="5"/>
        <v>416962</v>
      </c>
      <c r="S39" s="137">
        <f t="shared" si="5"/>
        <v>352776</v>
      </c>
      <c r="T39" s="137">
        <f t="shared" si="5"/>
        <v>769738</v>
      </c>
    </row>
    <row r="40" spans="1:20" ht="15.75">
      <c r="A40" s="138">
        <v>2013</v>
      </c>
      <c r="B40" s="136">
        <f t="shared" si="3"/>
        <v>41</v>
      </c>
      <c r="C40" s="137">
        <v>10904655</v>
      </c>
      <c r="D40" s="137">
        <v>8829960</v>
      </c>
      <c r="E40" s="137">
        <v>19734615</v>
      </c>
      <c r="F40" s="137">
        <v>8257716</v>
      </c>
      <c r="G40" s="137">
        <v>7061772</v>
      </c>
      <c r="H40" s="137">
        <v>15319488</v>
      </c>
      <c r="I40" s="137">
        <v>1825760</v>
      </c>
      <c r="J40" s="137">
        <v>1489446</v>
      </c>
      <c r="K40" s="137">
        <v>3315206</v>
      </c>
      <c r="L40" s="137">
        <v>1265090</v>
      </c>
      <c r="M40" s="137">
        <v>1093073</v>
      </c>
      <c r="N40" s="137">
        <v>2358163</v>
      </c>
      <c r="O40" s="137">
        <v>787070</v>
      </c>
      <c r="P40" s="137">
        <v>691945</v>
      </c>
      <c r="Q40" s="137">
        <v>1479015</v>
      </c>
      <c r="R40" s="137">
        <v>502983</v>
      </c>
      <c r="S40" s="137">
        <v>446062</v>
      </c>
      <c r="T40" s="137">
        <v>949045</v>
      </c>
    </row>
    <row r="41" spans="1:20" ht="15.75">
      <c r="A41" s="138">
        <v>2014</v>
      </c>
      <c r="B41" s="136">
        <f t="shared" si="3"/>
        <v>41</v>
      </c>
      <c r="C41" s="137">
        <v>10601867</v>
      </c>
      <c r="D41" s="137">
        <v>8864399</v>
      </c>
      <c r="E41" s="137">
        <v>19466266</v>
      </c>
      <c r="F41" s="137">
        <v>8221455</v>
      </c>
      <c r="G41" s="137">
        <v>7171919</v>
      </c>
      <c r="H41" s="137">
        <v>15393374</v>
      </c>
      <c r="I41" s="137">
        <v>1808730</v>
      </c>
      <c r="J41" s="137">
        <v>1518501</v>
      </c>
      <c r="K41" s="137">
        <v>3327231</v>
      </c>
      <c r="L41" s="137">
        <v>1294748</v>
      </c>
      <c r="M41" s="137">
        <v>1142190</v>
      </c>
      <c r="N41" s="137">
        <v>2436938</v>
      </c>
      <c r="O41" s="137">
        <v>801513</v>
      </c>
      <c r="P41" s="137">
        <v>735177</v>
      </c>
      <c r="Q41" s="137">
        <v>1536690</v>
      </c>
      <c r="R41" s="137">
        <v>522123</v>
      </c>
      <c r="S41" s="137">
        <v>469796</v>
      </c>
      <c r="T41" s="137">
        <v>991919</v>
      </c>
    </row>
    <row r="42" spans="1:20" ht="15.75">
      <c r="A42" s="138">
        <v>2015</v>
      </c>
      <c r="B42" s="136">
        <f t="shared" si="3"/>
        <v>41</v>
      </c>
      <c r="C42" s="137">
        <v>10292567</v>
      </c>
      <c r="D42" s="137">
        <v>8865570</v>
      </c>
      <c r="E42" s="137">
        <v>19158137</v>
      </c>
      <c r="F42" s="137">
        <v>7968166</v>
      </c>
      <c r="G42" s="137">
        <v>7136789</v>
      </c>
      <c r="H42" s="137">
        <v>15104955</v>
      </c>
      <c r="I42" s="137">
        <v>1762729</v>
      </c>
      <c r="J42" s="137">
        <v>1519038</v>
      </c>
      <c r="K42" s="137">
        <v>3281767</v>
      </c>
      <c r="L42" s="137">
        <v>1266714</v>
      </c>
      <c r="M42" s="137">
        <v>1136130</v>
      </c>
      <c r="N42" s="137">
        <v>2402844</v>
      </c>
      <c r="O42" s="137">
        <v>783988</v>
      </c>
      <c r="P42" s="137">
        <v>736790</v>
      </c>
      <c r="Q42" s="137">
        <v>1521109</v>
      </c>
      <c r="R42" s="137">
        <v>509950</v>
      </c>
      <c r="S42" s="137">
        <v>466163</v>
      </c>
      <c r="T42" s="137">
        <v>976113</v>
      </c>
    </row>
    <row r="43" spans="1:20" ht="15.75">
      <c r="A43" s="138">
        <v>2016</v>
      </c>
      <c r="B43" s="136">
        <f t="shared" si="3"/>
        <v>49</v>
      </c>
      <c r="C43" s="137">
        <f t="shared" ref="C43:T43" si="6">+C13+C28</f>
        <v>10813982</v>
      </c>
      <c r="D43" s="137">
        <f t="shared" si="6"/>
        <v>9171295</v>
      </c>
      <c r="E43" s="137">
        <f t="shared" si="6"/>
        <v>19985277</v>
      </c>
      <c r="F43" s="137">
        <f t="shared" si="6"/>
        <v>8266537</v>
      </c>
      <c r="G43" s="137">
        <f t="shared" si="6"/>
        <v>7242279</v>
      </c>
      <c r="H43" s="137">
        <f t="shared" si="6"/>
        <v>15508816</v>
      </c>
      <c r="I43" s="137">
        <f t="shared" si="6"/>
        <v>1958705</v>
      </c>
      <c r="J43" s="137">
        <f t="shared" si="6"/>
        <v>1656725</v>
      </c>
      <c r="K43" s="137">
        <f t="shared" si="6"/>
        <v>3615430</v>
      </c>
      <c r="L43" s="137">
        <f t="shared" si="6"/>
        <v>1372046</v>
      </c>
      <c r="M43" s="137">
        <f t="shared" si="6"/>
        <v>1215891</v>
      </c>
      <c r="N43" s="137">
        <f t="shared" si="6"/>
        <v>2587937</v>
      </c>
      <c r="O43" s="137">
        <f t="shared" si="6"/>
        <v>832416</v>
      </c>
      <c r="P43" s="137">
        <f t="shared" si="6"/>
        <v>773174</v>
      </c>
      <c r="Q43" s="137">
        <f t="shared" si="6"/>
        <v>1605590</v>
      </c>
      <c r="R43" s="137">
        <f t="shared" si="6"/>
        <v>528031</v>
      </c>
      <c r="S43" s="137">
        <f t="shared" si="6"/>
        <v>491952</v>
      </c>
      <c r="T43" s="137">
        <f t="shared" si="6"/>
        <v>1019983</v>
      </c>
    </row>
    <row r="44" spans="1:20" ht="15.75">
      <c r="A44" s="138">
        <v>2017</v>
      </c>
      <c r="B44" s="136">
        <f t="shared" si="3"/>
        <v>48</v>
      </c>
      <c r="C44" s="137">
        <f t="shared" ref="C44:T44" si="7">+C14+C29</f>
        <v>10386543</v>
      </c>
      <c r="D44" s="137">
        <f t="shared" si="7"/>
        <v>8995842</v>
      </c>
      <c r="E44" s="137">
        <f t="shared" si="7"/>
        <v>19382385</v>
      </c>
      <c r="F44" s="137">
        <f t="shared" si="7"/>
        <v>7882985</v>
      </c>
      <c r="G44" s="137">
        <f t="shared" si="7"/>
        <v>7013057</v>
      </c>
      <c r="H44" s="137">
        <f t="shared" si="7"/>
        <v>14896042</v>
      </c>
      <c r="I44" s="137">
        <f t="shared" si="7"/>
        <v>1828775</v>
      </c>
      <c r="J44" s="137">
        <f t="shared" si="7"/>
        <v>1622653</v>
      </c>
      <c r="K44" s="137">
        <f t="shared" si="7"/>
        <v>3451428</v>
      </c>
      <c r="L44" s="137">
        <f t="shared" si="7"/>
        <v>1289256</v>
      </c>
      <c r="M44" s="137">
        <f t="shared" si="7"/>
        <v>1178111</v>
      </c>
      <c r="N44" s="137">
        <f t="shared" si="7"/>
        <v>2467367</v>
      </c>
      <c r="O44" s="137">
        <f t="shared" si="7"/>
        <v>803053</v>
      </c>
      <c r="P44" s="137">
        <f t="shared" si="7"/>
        <v>770530</v>
      </c>
      <c r="Q44" s="137">
        <f t="shared" si="7"/>
        <v>1573583</v>
      </c>
      <c r="R44" s="137">
        <f t="shared" si="7"/>
        <v>527639</v>
      </c>
      <c r="S44" s="137">
        <f t="shared" si="7"/>
        <v>508769</v>
      </c>
      <c r="T44" s="137">
        <f t="shared" si="7"/>
        <v>1036408</v>
      </c>
    </row>
  </sheetData>
  <mergeCells count="39"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  <mergeCell ref="C19:E19"/>
    <mergeCell ref="F19:H19"/>
    <mergeCell ref="I19:K19"/>
    <mergeCell ref="L19:N19"/>
    <mergeCell ref="O19:Q19"/>
    <mergeCell ref="R19:T19"/>
    <mergeCell ref="L4:N4"/>
    <mergeCell ref="O4:Q4"/>
    <mergeCell ref="R4:T4"/>
    <mergeCell ref="A17:A20"/>
    <mergeCell ref="B17:B20"/>
    <mergeCell ref="C17:N17"/>
    <mergeCell ref="O17:T17"/>
    <mergeCell ref="C18:H18"/>
    <mergeCell ref="I18:N18"/>
    <mergeCell ref="O18:T18"/>
    <mergeCell ref="A2:A5"/>
    <mergeCell ref="B2:B5"/>
    <mergeCell ref="C2:N2"/>
    <mergeCell ref="O2:T2"/>
    <mergeCell ref="C3:H3"/>
    <mergeCell ref="I3:N3"/>
    <mergeCell ref="O3:T3"/>
    <mergeCell ref="C4:E4"/>
    <mergeCell ref="F4:H4"/>
    <mergeCell ref="I4:K4"/>
  </mergeCells>
  <pageMargins left="0.7" right="0.7" top="0.75" bottom="0.75" header="0.3" footer="0.3"/>
  <pageSetup scale="66" orientation="landscape" r:id="rId1"/>
  <colBreaks count="1" manualBreakCount="1">
    <brk id="14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topLeftCell="A37" zoomScale="60" workbookViewId="0">
      <selection activeCell="R59" sqref="R59"/>
    </sheetView>
  </sheetViews>
  <sheetFormatPr defaultRowHeight="15"/>
  <cols>
    <col min="1" max="1" width="9.28515625" bestFit="1" customWidth="1"/>
    <col min="2" max="2" width="13.5703125" customWidth="1"/>
    <col min="3" max="3" width="14.42578125" customWidth="1"/>
    <col min="4" max="4" width="11.5703125" bestFit="1" customWidth="1"/>
    <col min="5" max="5" width="13" bestFit="1" customWidth="1"/>
    <col min="6" max="7" width="11.5703125" bestFit="1" customWidth="1"/>
    <col min="8" max="8" width="13" bestFit="1" customWidth="1"/>
    <col min="9" max="14" width="11.5703125" bestFit="1" customWidth="1"/>
    <col min="15" max="16" width="10.140625" bestFit="1" customWidth="1"/>
    <col min="17" max="17" width="11.5703125" bestFit="1" customWidth="1"/>
    <col min="18" max="19" width="10.140625" bestFit="1" customWidth="1"/>
    <col min="20" max="20" width="10.28515625" bestFit="1" customWidth="1"/>
  </cols>
  <sheetData>
    <row r="1" spans="1:20" ht="18">
      <c r="A1" s="131"/>
      <c r="B1" s="131"/>
      <c r="C1" s="132" t="s">
        <v>329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 t="str">
        <f>+C1</f>
        <v>Table 11 - SECONDARY EXAMINATION RESULTS DURING 2010 - 2017 (CENTRAL/STATE BOARDS)</v>
      </c>
      <c r="P1" s="133"/>
      <c r="Q1" s="133"/>
      <c r="R1" s="133"/>
      <c r="S1" s="133"/>
      <c r="T1" s="133"/>
    </row>
    <row r="2" spans="1:20">
      <c r="A2" s="604" t="s">
        <v>218</v>
      </c>
      <c r="B2" s="588" t="s">
        <v>327</v>
      </c>
      <c r="C2" s="604" t="s">
        <v>188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 t="s">
        <v>188</v>
      </c>
      <c r="P2" s="604"/>
      <c r="Q2" s="604"/>
      <c r="R2" s="604"/>
      <c r="S2" s="604"/>
      <c r="T2" s="604"/>
    </row>
    <row r="3" spans="1:20">
      <c r="A3" s="604"/>
      <c r="B3" s="589"/>
      <c r="C3" s="604" t="s">
        <v>219</v>
      </c>
      <c r="D3" s="604"/>
      <c r="E3" s="604"/>
      <c r="F3" s="604"/>
      <c r="G3" s="604"/>
      <c r="H3" s="604"/>
      <c r="I3" s="604" t="s">
        <v>220</v>
      </c>
      <c r="J3" s="604"/>
      <c r="K3" s="604"/>
      <c r="L3" s="604"/>
      <c r="M3" s="604"/>
      <c r="N3" s="604"/>
      <c r="O3" s="604" t="s">
        <v>221</v>
      </c>
      <c r="P3" s="604"/>
      <c r="Q3" s="604"/>
      <c r="R3" s="604"/>
      <c r="S3" s="604"/>
      <c r="T3" s="604"/>
    </row>
    <row r="4" spans="1:20">
      <c r="A4" s="604"/>
      <c r="B4" s="589"/>
      <c r="C4" s="604" t="s">
        <v>5</v>
      </c>
      <c r="D4" s="604"/>
      <c r="E4" s="604"/>
      <c r="F4" s="604" t="s">
        <v>6</v>
      </c>
      <c r="G4" s="604"/>
      <c r="H4" s="604"/>
      <c r="I4" s="604" t="s">
        <v>5</v>
      </c>
      <c r="J4" s="604"/>
      <c r="K4" s="604"/>
      <c r="L4" s="604" t="s">
        <v>6</v>
      </c>
      <c r="M4" s="604"/>
      <c r="N4" s="604"/>
      <c r="O4" s="604" t="s">
        <v>5</v>
      </c>
      <c r="P4" s="604"/>
      <c r="Q4" s="604"/>
      <c r="R4" s="604" t="s">
        <v>6</v>
      </c>
      <c r="S4" s="604"/>
      <c r="T4" s="604"/>
    </row>
    <row r="5" spans="1:20">
      <c r="A5" s="604"/>
      <c r="B5" s="589"/>
      <c r="C5" s="367" t="s">
        <v>43</v>
      </c>
      <c r="D5" s="367" t="s">
        <v>44</v>
      </c>
      <c r="E5" s="367" t="s">
        <v>3</v>
      </c>
      <c r="F5" s="367" t="s">
        <v>43</v>
      </c>
      <c r="G5" s="367" t="s">
        <v>44</v>
      </c>
      <c r="H5" s="367" t="s">
        <v>3</v>
      </c>
      <c r="I5" s="367" t="s">
        <v>43</v>
      </c>
      <c r="J5" s="367" t="s">
        <v>44</v>
      </c>
      <c r="K5" s="367" t="s">
        <v>3</v>
      </c>
      <c r="L5" s="367" t="s">
        <v>43</v>
      </c>
      <c r="M5" s="367" t="s">
        <v>44</v>
      </c>
      <c r="N5" s="367" t="s">
        <v>3</v>
      </c>
      <c r="O5" s="367" t="s">
        <v>43</v>
      </c>
      <c r="P5" s="367" t="s">
        <v>44</v>
      </c>
      <c r="Q5" s="367" t="s">
        <v>3</v>
      </c>
      <c r="R5" s="367" t="s">
        <v>43</v>
      </c>
      <c r="S5" s="367" t="s">
        <v>44</v>
      </c>
      <c r="T5" s="367" t="s">
        <v>3</v>
      </c>
    </row>
    <row r="6" spans="1:20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34">
        <v>17</v>
      </c>
      <c r="R6" s="134">
        <v>18</v>
      </c>
      <c r="S6" s="134">
        <v>19</v>
      </c>
      <c r="T6" s="134">
        <v>20</v>
      </c>
    </row>
    <row r="7" spans="1:20" ht="15.75">
      <c r="A7" s="135">
        <v>2010</v>
      </c>
      <c r="B7" s="136">
        <v>34</v>
      </c>
      <c r="C7" s="137">
        <f>+[5]Board!AG44</f>
        <v>9374906</v>
      </c>
      <c r="D7" s="137">
        <f>+[5]Board!AH44</f>
        <v>7351211</v>
      </c>
      <c r="E7" s="137">
        <f>+[5]Board!AI44</f>
        <v>16726117</v>
      </c>
      <c r="F7" s="137">
        <f>+[5]Board!AP44</f>
        <v>6862354</v>
      </c>
      <c r="G7" s="137">
        <f>+[5]Board!AQ44</f>
        <v>5687118</v>
      </c>
      <c r="H7" s="137">
        <f>+[5]Board!AR44</f>
        <v>12549472</v>
      </c>
      <c r="I7" s="137">
        <f>+[5]Board!BZ44</f>
        <v>1517853</v>
      </c>
      <c r="J7" s="137">
        <f>+[5]Board!CA44</f>
        <v>1169643</v>
      </c>
      <c r="K7" s="137">
        <f>+[5]Board!CB44</f>
        <v>2687496</v>
      </c>
      <c r="L7" s="137">
        <f>+[5]Board!CI44</f>
        <v>1020344</v>
      </c>
      <c r="M7" s="137">
        <f>+[5]Board!CJ44</f>
        <v>834309</v>
      </c>
      <c r="N7" s="137">
        <f>+[5]Board!CK44</f>
        <v>1854653</v>
      </c>
      <c r="O7" s="137">
        <f>+[5]Board!DS44</f>
        <v>613490</v>
      </c>
      <c r="P7" s="137">
        <f>+[5]Board!DT44</f>
        <v>476366</v>
      </c>
      <c r="Q7" s="137">
        <f>+[5]Board!DU44</f>
        <v>1089856</v>
      </c>
      <c r="R7" s="137">
        <f>+[5]Board!EB44</f>
        <v>382583</v>
      </c>
      <c r="S7" s="137">
        <f>+[5]Board!EC44</f>
        <v>293139</v>
      </c>
      <c r="T7" s="137">
        <f>+[5]Board!ED44</f>
        <v>675722</v>
      </c>
    </row>
    <row r="8" spans="1:20" ht="15.75">
      <c r="A8" s="138">
        <v>2011</v>
      </c>
      <c r="B8" s="136">
        <v>34</v>
      </c>
      <c r="C8" s="137">
        <f>+[6]Board!AG44</f>
        <v>9799667</v>
      </c>
      <c r="D8" s="137">
        <f>+[6]Board!AH44</f>
        <v>7818871</v>
      </c>
      <c r="E8" s="137">
        <f>+[6]Board!AI44</f>
        <v>17623309</v>
      </c>
      <c r="F8" s="137">
        <f>+[6]Board!AP44</f>
        <v>7183560</v>
      </c>
      <c r="G8" s="137">
        <f>+[6]Board!AQ44</f>
        <v>6013853</v>
      </c>
      <c r="H8" s="137">
        <f>+[6]Board!AR44</f>
        <v>13199625</v>
      </c>
      <c r="I8" s="137">
        <f>+[6]Board!BZ44</f>
        <v>1687903</v>
      </c>
      <c r="J8" s="137">
        <f>+[6]Board!CA44</f>
        <v>1379568</v>
      </c>
      <c r="K8" s="137">
        <f>+[6]Board!CB44</f>
        <v>3067471</v>
      </c>
      <c r="L8" s="137">
        <f>+[6]Board!CI44</f>
        <v>1150634</v>
      </c>
      <c r="M8" s="137">
        <f>+[6]Board!CJ44</f>
        <v>977953</v>
      </c>
      <c r="N8" s="137">
        <f>+[6]Board!CK44</f>
        <v>2128587</v>
      </c>
      <c r="O8" s="137">
        <f>+[6]Board!DS44</f>
        <v>661275</v>
      </c>
      <c r="P8" s="137">
        <f>+[6]Board!DT44</f>
        <v>531300</v>
      </c>
      <c r="Q8" s="137">
        <f>+[6]Board!DU44</f>
        <v>1192575</v>
      </c>
      <c r="R8" s="137">
        <f>+[6]Board!EB44</f>
        <v>415430</v>
      </c>
      <c r="S8" s="137">
        <f>+[6]Board!EC44</f>
        <v>332993</v>
      </c>
      <c r="T8" s="137">
        <f>+[6]Board!ED44</f>
        <v>748423</v>
      </c>
    </row>
    <row r="9" spans="1:20" ht="15.75">
      <c r="A9" s="135">
        <v>2012</v>
      </c>
      <c r="B9" s="136">
        <v>34</v>
      </c>
      <c r="C9" s="139">
        <v>9939916</v>
      </c>
      <c r="D9" s="139">
        <v>8086742</v>
      </c>
      <c r="E9" s="139">
        <v>18026658</v>
      </c>
      <c r="F9" s="139">
        <v>7430776</v>
      </c>
      <c r="G9" s="139">
        <v>6334551</v>
      </c>
      <c r="H9" s="139">
        <v>13765327</v>
      </c>
      <c r="I9" s="139">
        <v>1596559</v>
      </c>
      <c r="J9" s="139">
        <v>1285426</v>
      </c>
      <c r="K9" s="139">
        <v>2881985</v>
      </c>
      <c r="L9" s="139">
        <v>1097023</v>
      </c>
      <c r="M9" s="139">
        <v>932159</v>
      </c>
      <c r="N9" s="139">
        <v>2029182</v>
      </c>
      <c r="O9" s="139">
        <v>638691</v>
      </c>
      <c r="P9" s="139">
        <v>547182</v>
      </c>
      <c r="Q9" s="139">
        <v>1185873</v>
      </c>
      <c r="R9" s="139">
        <v>395747</v>
      </c>
      <c r="S9" s="139">
        <v>334876</v>
      </c>
      <c r="T9" s="139">
        <v>730623</v>
      </c>
    </row>
    <row r="10" spans="1:20" ht="15.75">
      <c r="A10" s="138">
        <v>2013</v>
      </c>
      <c r="B10" s="136">
        <v>35</v>
      </c>
      <c r="C10" s="137">
        <f t="shared" ref="C10:T10" si="0">+C40-C25</f>
        <v>10507044</v>
      </c>
      <c r="D10" s="137">
        <f t="shared" si="0"/>
        <v>8617208</v>
      </c>
      <c r="E10" s="137">
        <f t="shared" si="0"/>
        <v>19124252</v>
      </c>
      <c r="F10" s="137">
        <f t="shared" si="0"/>
        <v>8037590</v>
      </c>
      <c r="G10" s="137">
        <f t="shared" si="0"/>
        <v>6932924</v>
      </c>
      <c r="H10" s="137">
        <f t="shared" si="0"/>
        <v>14970514</v>
      </c>
      <c r="I10" s="137">
        <f t="shared" si="0"/>
        <v>1765636</v>
      </c>
      <c r="J10" s="137">
        <f t="shared" si="0"/>
        <v>1459662</v>
      </c>
      <c r="K10" s="137">
        <f t="shared" si="0"/>
        <v>3225298</v>
      </c>
      <c r="L10" s="137">
        <f t="shared" si="0"/>
        <v>1232058</v>
      </c>
      <c r="M10" s="137">
        <f t="shared" si="0"/>
        <v>1076244</v>
      </c>
      <c r="N10" s="137">
        <f t="shared" si="0"/>
        <v>2308302</v>
      </c>
      <c r="O10" s="137">
        <f t="shared" si="0"/>
        <v>745569</v>
      </c>
      <c r="P10" s="137">
        <f t="shared" si="0"/>
        <v>656963</v>
      </c>
      <c r="Q10" s="137">
        <f t="shared" si="0"/>
        <v>1402532</v>
      </c>
      <c r="R10" s="137">
        <f t="shared" si="0"/>
        <v>480652</v>
      </c>
      <c r="S10" s="137">
        <f t="shared" si="0"/>
        <v>426303</v>
      </c>
      <c r="T10" s="137">
        <f t="shared" si="0"/>
        <v>906955</v>
      </c>
    </row>
    <row r="11" spans="1:20" ht="15.75">
      <c r="A11" s="138">
        <v>2014</v>
      </c>
      <c r="B11" s="136">
        <v>35</v>
      </c>
      <c r="C11" s="137">
        <f t="shared" ref="C11:T11" si="1">+C41-C26</f>
        <v>10229689</v>
      </c>
      <c r="D11" s="137">
        <f t="shared" si="1"/>
        <v>8625318</v>
      </c>
      <c r="E11" s="137">
        <f t="shared" si="1"/>
        <v>18855007</v>
      </c>
      <c r="F11" s="137">
        <f t="shared" si="1"/>
        <v>8041716</v>
      </c>
      <c r="G11" s="137">
        <f t="shared" si="1"/>
        <v>7053738</v>
      </c>
      <c r="H11" s="137">
        <f t="shared" si="1"/>
        <v>15095454</v>
      </c>
      <c r="I11" s="137">
        <f t="shared" si="1"/>
        <v>1756049</v>
      </c>
      <c r="J11" s="137">
        <f t="shared" si="1"/>
        <v>1485264</v>
      </c>
      <c r="K11" s="137">
        <f t="shared" si="1"/>
        <v>3241313</v>
      </c>
      <c r="L11" s="137">
        <f t="shared" si="1"/>
        <v>1268455</v>
      </c>
      <c r="M11" s="137">
        <f t="shared" si="1"/>
        <v>1124169</v>
      </c>
      <c r="N11" s="137">
        <f t="shared" si="1"/>
        <v>2392586</v>
      </c>
      <c r="O11" s="137">
        <f t="shared" si="1"/>
        <v>757751</v>
      </c>
      <c r="P11" s="137">
        <f t="shared" si="1"/>
        <v>694604</v>
      </c>
      <c r="Q11" s="137">
        <f t="shared" si="1"/>
        <v>1452355</v>
      </c>
      <c r="R11" s="137">
        <f t="shared" si="1"/>
        <v>501712</v>
      </c>
      <c r="S11" s="137">
        <f t="shared" si="1"/>
        <v>450920</v>
      </c>
      <c r="T11" s="137">
        <f t="shared" si="1"/>
        <v>952632</v>
      </c>
    </row>
    <row r="12" spans="1:20" ht="15.75">
      <c r="A12" s="138">
        <v>2015</v>
      </c>
      <c r="B12" s="136">
        <v>35</v>
      </c>
      <c r="C12" s="137">
        <f t="shared" ref="C12:T12" si="2">+C42-C27</f>
        <v>10078588</v>
      </c>
      <c r="D12" s="137">
        <f t="shared" si="2"/>
        <v>8708092</v>
      </c>
      <c r="E12" s="137">
        <f t="shared" si="2"/>
        <v>18786680</v>
      </c>
      <c r="F12" s="137">
        <f t="shared" si="2"/>
        <v>7830993</v>
      </c>
      <c r="G12" s="137">
        <f t="shared" si="2"/>
        <v>7038908</v>
      </c>
      <c r="H12" s="137">
        <f t="shared" si="2"/>
        <v>14869901</v>
      </c>
      <c r="I12" s="137">
        <f t="shared" si="2"/>
        <v>1728900</v>
      </c>
      <c r="J12" s="137">
        <f t="shared" si="2"/>
        <v>1495210</v>
      </c>
      <c r="K12" s="137">
        <f t="shared" si="2"/>
        <v>3224110</v>
      </c>
      <c r="L12" s="137">
        <f t="shared" si="2"/>
        <v>1244282</v>
      </c>
      <c r="M12" s="137">
        <f t="shared" si="2"/>
        <v>1119501</v>
      </c>
      <c r="N12" s="137">
        <f t="shared" si="2"/>
        <v>2363783</v>
      </c>
      <c r="O12" s="137">
        <f t="shared" si="2"/>
        <v>756299</v>
      </c>
      <c r="P12" s="137">
        <f t="shared" si="2"/>
        <v>711597</v>
      </c>
      <c r="Q12" s="137">
        <f t="shared" si="2"/>
        <v>1467896</v>
      </c>
      <c r="R12" s="137">
        <f t="shared" si="2"/>
        <v>491790</v>
      </c>
      <c r="S12" s="137">
        <f t="shared" si="2"/>
        <v>449720</v>
      </c>
      <c r="T12" s="137">
        <f t="shared" si="2"/>
        <v>941510</v>
      </c>
    </row>
    <row r="13" spans="1:20" ht="15.75">
      <c r="A13" s="138">
        <v>2016</v>
      </c>
      <c r="B13" s="144">
        <v>42</v>
      </c>
      <c r="C13" s="137">
        <v>10446940</v>
      </c>
      <c r="D13" s="137">
        <v>8948878</v>
      </c>
      <c r="E13" s="137">
        <v>19395818</v>
      </c>
      <c r="F13" s="137">
        <v>8118493</v>
      </c>
      <c r="G13" s="137">
        <v>7140555</v>
      </c>
      <c r="H13" s="137">
        <v>15259048</v>
      </c>
      <c r="I13" s="137">
        <v>1840866</v>
      </c>
      <c r="J13" s="137">
        <v>1590816</v>
      </c>
      <c r="K13" s="137">
        <v>3431682</v>
      </c>
      <c r="L13" s="137">
        <v>1324673</v>
      </c>
      <c r="M13" s="137">
        <v>1187053</v>
      </c>
      <c r="N13" s="137">
        <v>2511726</v>
      </c>
      <c r="O13" s="137">
        <v>779133</v>
      </c>
      <c r="P13" s="137">
        <v>734656</v>
      </c>
      <c r="Q13" s="137">
        <v>1513789</v>
      </c>
      <c r="R13" s="137">
        <v>507673</v>
      </c>
      <c r="S13" s="137">
        <v>476877</v>
      </c>
      <c r="T13" s="137">
        <v>984550</v>
      </c>
    </row>
    <row r="14" spans="1:20" ht="15.75">
      <c r="A14" s="138">
        <v>2017</v>
      </c>
      <c r="B14" s="136">
        <v>41</v>
      </c>
      <c r="C14" s="137">
        <f>+[7]Board!AG51</f>
        <v>10340418</v>
      </c>
      <c r="D14" s="137">
        <f>+[7]Board!AH51</f>
        <v>8973973</v>
      </c>
      <c r="E14" s="137">
        <f>+[7]Board!AI51</f>
        <v>19314391</v>
      </c>
      <c r="F14" s="137">
        <f>+[7]Board!AP51</f>
        <v>7872615</v>
      </c>
      <c r="G14" s="137">
        <f>+[7]Board!AQ51</f>
        <v>7004464</v>
      </c>
      <c r="H14" s="137">
        <f>+[7]Board!AR51</f>
        <v>14877079</v>
      </c>
      <c r="I14" s="137">
        <f>+[7]Board!BZ51</f>
        <v>1818268</v>
      </c>
      <c r="J14" s="137">
        <f>+[7]Board!CA51</f>
        <v>1615036</v>
      </c>
      <c r="K14" s="137">
        <f>+[7]Board!CB51</f>
        <v>3433304</v>
      </c>
      <c r="L14" s="137">
        <f>+[7]Board!CI51</f>
        <v>1270069</v>
      </c>
      <c r="M14" s="137">
        <f>+[7]Board!CJ51</f>
        <v>1162453</v>
      </c>
      <c r="N14" s="137">
        <f>+[7]Board!CK51</f>
        <v>2432522</v>
      </c>
      <c r="O14" s="137">
        <f>+[7]Board!DS51</f>
        <v>761861</v>
      </c>
      <c r="P14" s="137">
        <f>+[7]Board!DT51</f>
        <v>735819</v>
      </c>
      <c r="Q14" s="137">
        <f>+[7]Board!DU51</f>
        <v>1497680</v>
      </c>
      <c r="R14" s="137">
        <f>+[7]Board!EB51</f>
        <v>510415</v>
      </c>
      <c r="S14" s="137">
        <f>+[7]Board!EC51</f>
        <v>493280</v>
      </c>
      <c r="T14" s="137">
        <f>+[7]Board!ED51</f>
        <v>1003695</v>
      </c>
    </row>
    <row r="15" spans="1:20" ht="15.75">
      <c r="A15" s="141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ht="18">
      <c r="A16" s="131"/>
      <c r="C16" s="132" t="s">
        <v>330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 t="str">
        <f>+C16</f>
        <v>Table 12 -SECONDARY EXAMINATION RESULTS DURING 2010 - 2017 (OPEN SCHOOL BOARDS)</v>
      </c>
      <c r="P16" s="132"/>
      <c r="Q16" s="132"/>
      <c r="R16" s="132"/>
      <c r="S16" s="132"/>
      <c r="T16" s="132"/>
    </row>
    <row r="17" spans="1:20" ht="15" customHeight="1">
      <c r="A17" s="604" t="s">
        <v>218</v>
      </c>
      <c r="B17" s="588" t="s">
        <v>327</v>
      </c>
      <c r="C17" s="604" t="s">
        <v>188</v>
      </c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 t="s">
        <v>188</v>
      </c>
      <c r="P17" s="604"/>
      <c r="Q17" s="604"/>
      <c r="R17" s="604"/>
      <c r="S17" s="604"/>
      <c r="T17" s="604"/>
    </row>
    <row r="18" spans="1:20">
      <c r="A18" s="604"/>
      <c r="B18" s="589"/>
      <c r="C18" s="604" t="s">
        <v>219</v>
      </c>
      <c r="D18" s="604"/>
      <c r="E18" s="604"/>
      <c r="F18" s="604"/>
      <c r="G18" s="604"/>
      <c r="H18" s="604"/>
      <c r="I18" s="604" t="s">
        <v>220</v>
      </c>
      <c r="J18" s="604"/>
      <c r="K18" s="604"/>
      <c r="L18" s="604"/>
      <c r="M18" s="604"/>
      <c r="N18" s="604"/>
      <c r="O18" s="604" t="s">
        <v>221</v>
      </c>
      <c r="P18" s="604"/>
      <c r="Q18" s="604"/>
      <c r="R18" s="604"/>
      <c r="S18" s="604"/>
      <c r="T18" s="604"/>
    </row>
    <row r="19" spans="1:20">
      <c r="A19" s="604"/>
      <c r="B19" s="589"/>
      <c r="C19" s="604" t="s">
        <v>5</v>
      </c>
      <c r="D19" s="604"/>
      <c r="E19" s="604"/>
      <c r="F19" s="604" t="s">
        <v>6</v>
      </c>
      <c r="G19" s="604"/>
      <c r="H19" s="604"/>
      <c r="I19" s="604" t="s">
        <v>5</v>
      </c>
      <c r="J19" s="604"/>
      <c r="K19" s="604"/>
      <c r="L19" s="604" t="s">
        <v>6</v>
      </c>
      <c r="M19" s="604"/>
      <c r="N19" s="604"/>
      <c r="O19" s="604" t="s">
        <v>5</v>
      </c>
      <c r="P19" s="604"/>
      <c r="Q19" s="604"/>
      <c r="R19" s="604" t="s">
        <v>6</v>
      </c>
      <c r="S19" s="604"/>
      <c r="T19" s="604"/>
    </row>
    <row r="20" spans="1:20">
      <c r="A20" s="604"/>
      <c r="B20" s="589"/>
      <c r="C20" s="367" t="s">
        <v>43</v>
      </c>
      <c r="D20" s="367" t="s">
        <v>44</v>
      </c>
      <c r="E20" s="367" t="s">
        <v>3</v>
      </c>
      <c r="F20" s="367" t="s">
        <v>43</v>
      </c>
      <c r="G20" s="367" t="s">
        <v>44</v>
      </c>
      <c r="H20" s="367" t="s">
        <v>3</v>
      </c>
      <c r="I20" s="367" t="s">
        <v>43</v>
      </c>
      <c r="J20" s="367" t="s">
        <v>44</v>
      </c>
      <c r="K20" s="367" t="s">
        <v>3</v>
      </c>
      <c r="L20" s="367" t="s">
        <v>43</v>
      </c>
      <c r="M20" s="367" t="s">
        <v>44</v>
      </c>
      <c r="N20" s="367" t="s">
        <v>3</v>
      </c>
      <c r="O20" s="367" t="s">
        <v>43</v>
      </c>
      <c r="P20" s="367" t="s">
        <v>44</v>
      </c>
      <c r="Q20" s="367" t="s">
        <v>3</v>
      </c>
      <c r="R20" s="367" t="s">
        <v>43</v>
      </c>
      <c r="S20" s="367" t="s">
        <v>44</v>
      </c>
      <c r="T20" s="367" t="s">
        <v>3</v>
      </c>
    </row>
    <row r="21" spans="1:20">
      <c r="A21" s="142">
        <v>1</v>
      </c>
      <c r="B21" s="134">
        <v>2</v>
      </c>
      <c r="C21" s="142">
        <v>3</v>
      </c>
      <c r="D21" s="134">
        <v>4</v>
      </c>
      <c r="E21" s="142">
        <v>5</v>
      </c>
      <c r="F21" s="134">
        <v>6</v>
      </c>
      <c r="G21" s="142">
        <v>7</v>
      </c>
      <c r="H21" s="134">
        <v>8</v>
      </c>
      <c r="I21" s="142">
        <v>9</v>
      </c>
      <c r="J21" s="134">
        <v>10</v>
      </c>
      <c r="K21" s="142">
        <v>11</v>
      </c>
      <c r="L21" s="134">
        <v>12</v>
      </c>
      <c r="M21" s="142">
        <v>13</v>
      </c>
      <c r="N21" s="134">
        <v>14</v>
      </c>
      <c r="O21" s="142">
        <v>15</v>
      </c>
      <c r="P21" s="134">
        <v>16</v>
      </c>
      <c r="Q21" s="142">
        <v>17</v>
      </c>
      <c r="R21" s="134">
        <v>18</v>
      </c>
      <c r="S21" s="142">
        <v>19</v>
      </c>
      <c r="T21" s="142">
        <v>20</v>
      </c>
    </row>
    <row r="22" spans="1:20" ht="15.75">
      <c r="A22" s="138">
        <v>2010</v>
      </c>
      <c r="B22" s="136">
        <v>6</v>
      </c>
      <c r="C22" s="137">
        <f>+[5]OpenBoard!C14</f>
        <v>309135</v>
      </c>
      <c r="D22" s="137">
        <f>+[5]OpenBoard!D14</f>
        <v>214714</v>
      </c>
      <c r="E22" s="137">
        <f>+[5]OpenBoard!E14</f>
        <v>523849</v>
      </c>
      <c r="F22" s="137">
        <f>+[5]OpenBoard!F14</f>
        <v>166883</v>
      </c>
      <c r="G22" s="137">
        <f>+[5]OpenBoard!G14</f>
        <v>106029</v>
      </c>
      <c r="H22" s="137">
        <f>+[5]OpenBoard!H14</f>
        <v>272912</v>
      </c>
      <c r="I22" s="137">
        <f>+[5]OpenBoard!I14</f>
        <v>44666</v>
      </c>
      <c r="J22" s="137">
        <f>+[5]OpenBoard!J14</f>
        <v>27770</v>
      </c>
      <c r="K22" s="137">
        <f>+[5]OpenBoard!K14</f>
        <v>72436</v>
      </c>
      <c r="L22" s="137">
        <f>+[5]OpenBoard!L14</f>
        <v>23557</v>
      </c>
      <c r="M22" s="137">
        <f>+[5]OpenBoard!M14</f>
        <v>13670</v>
      </c>
      <c r="N22" s="137">
        <f>+[5]OpenBoard!N14</f>
        <v>37227</v>
      </c>
      <c r="O22" s="137">
        <f>+[5]OpenBoard!O14</f>
        <v>29962</v>
      </c>
      <c r="P22" s="137">
        <f>+[5]OpenBoard!P14</f>
        <v>25670</v>
      </c>
      <c r="Q22" s="137">
        <f>+[5]OpenBoard!Q14</f>
        <v>55632</v>
      </c>
      <c r="R22" s="137">
        <f>+[5]OpenBoard!R14</f>
        <v>14045</v>
      </c>
      <c r="S22" s="137">
        <f>+[5]OpenBoard!S14</f>
        <v>12019</v>
      </c>
      <c r="T22" s="137">
        <f>+[5]OpenBoard!T14</f>
        <v>26064</v>
      </c>
    </row>
    <row r="23" spans="1:20" ht="15.75">
      <c r="A23" s="138">
        <v>2011</v>
      </c>
      <c r="B23" s="136">
        <v>6</v>
      </c>
      <c r="C23" s="137">
        <f>+[6]OpenBoard!C14</f>
        <v>318896</v>
      </c>
      <c r="D23" s="137">
        <f>+[6]OpenBoard!D14</f>
        <v>219066</v>
      </c>
      <c r="E23" s="137">
        <f>+[6]OpenBoard!E14</f>
        <v>537962</v>
      </c>
      <c r="F23" s="137">
        <f>+[6]OpenBoard!F14</f>
        <v>187686</v>
      </c>
      <c r="G23" s="137">
        <f>+[6]OpenBoard!G14</f>
        <v>117295</v>
      </c>
      <c r="H23" s="137">
        <f>+[6]OpenBoard!H14</f>
        <v>304981</v>
      </c>
      <c r="I23" s="137">
        <f>+[6]OpenBoard!I14</f>
        <v>54250</v>
      </c>
      <c r="J23" s="137">
        <f>+[6]OpenBoard!J14</f>
        <v>33662</v>
      </c>
      <c r="K23" s="137">
        <f>+[6]OpenBoard!K14</f>
        <v>87912</v>
      </c>
      <c r="L23" s="137">
        <f>+[6]OpenBoard!L14</f>
        <v>30472</v>
      </c>
      <c r="M23" s="137">
        <f>+[6]OpenBoard!M14</f>
        <v>18269</v>
      </c>
      <c r="N23" s="137">
        <f>+[6]OpenBoard!N14</f>
        <v>48741</v>
      </c>
      <c r="O23" s="137">
        <f>+[6]OpenBoard!O14</f>
        <v>36915</v>
      </c>
      <c r="P23" s="137">
        <f>+[6]OpenBoard!P14</f>
        <v>31149</v>
      </c>
      <c r="Q23" s="137">
        <f>+[6]OpenBoard!Q14</f>
        <v>68064</v>
      </c>
      <c r="R23" s="137">
        <f>+[6]OpenBoard!R14</f>
        <v>22923</v>
      </c>
      <c r="S23" s="137">
        <f>+[6]OpenBoard!S14</f>
        <v>16365</v>
      </c>
      <c r="T23" s="137">
        <f>+[6]OpenBoard!T14</f>
        <v>39288</v>
      </c>
    </row>
    <row r="24" spans="1:20" ht="15.75">
      <c r="A24" s="138">
        <v>2012</v>
      </c>
      <c r="B24" s="136">
        <v>6</v>
      </c>
      <c r="C24" s="137">
        <f>+[8]OpenBoard!C14</f>
        <v>347228</v>
      </c>
      <c r="D24" s="137">
        <f>+[8]OpenBoard!D14</f>
        <v>200891</v>
      </c>
      <c r="E24" s="137">
        <f>+[8]OpenBoard!E14</f>
        <v>548119</v>
      </c>
      <c r="F24" s="137">
        <f>+[8]OpenBoard!F14</f>
        <v>217754</v>
      </c>
      <c r="G24" s="137">
        <f>+[8]OpenBoard!G14</f>
        <v>128039</v>
      </c>
      <c r="H24" s="137">
        <f>+[8]OpenBoard!H14</f>
        <v>345793</v>
      </c>
      <c r="I24" s="137">
        <f>+[8]OpenBoard!I14</f>
        <v>56716</v>
      </c>
      <c r="J24" s="137">
        <f>+[8]OpenBoard!J14</f>
        <v>29791</v>
      </c>
      <c r="K24" s="137">
        <f>+[8]OpenBoard!K14</f>
        <v>86507</v>
      </c>
      <c r="L24" s="137">
        <f>+[8]OpenBoard!L14</f>
        <v>35086</v>
      </c>
      <c r="M24" s="137">
        <f>+[8]OpenBoard!M14</f>
        <v>18274</v>
      </c>
      <c r="N24" s="137">
        <f>+[8]OpenBoard!N14</f>
        <v>53360</v>
      </c>
      <c r="O24" s="137">
        <f>+[8]OpenBoard!O14</f>
        <v>39167</v>
      </c>
      <c r="P24" s="137">
        <f>+[8]OpenBoard!P14</f>
        <v>28097</v>
      </c>
      <c r="Q24" s="137">
        <f>+[8]OpenBoard!Q14</f>
        <v>67264</v>
      </c>
      <c r="R24" s="137">
        <f>+[8]OpenBoard!R14</f>
        <v>21215</v>
      </c>
      <c r="S24" s="137">
        <f>+[8]OpenBoard!S14</f>
        <v>17900</v>
      </c>
      <c r="T24" s="137">
        <f>+[8]OpenBoard!T14</f>
        <v>39115</v>
      </c>
    </row>
    <row r="25" spans="1:20" ht="15.75">
      <c r="A25" s="138">
        <v>2013</v>
      </c>
      <c r="B25" s="136">
        <v>6</v>
      </c>
      <c r="C25" s="137">
        <f>+[9]OpenBoard!C14</f>
        <v>397611</v>
      </c>
      <c r="D25" s="137">
        <f>+[9]OpenBoard!D14</f>
        <v>212752</v>
      </c>
      <c r="E25" s="137">
        <f>+[9]OpenBoard!E14</f>
        <v>610363</v>
      </c>
      <c r="F25" s="137">
        <f>+[9]OpenBoard!F14</f>
        <v>220126</v>
      </c>
      <c r="G25" s="137">
        <f>+[9]OpenBoard!G14</f>
        <v>128848</v>
      </c>
      <c r="H25" s="137">
        <f>+[9]OpenBoard!H14</f>
        <v>348974</v>
      </c>
      <c r="I25" s="137">
        <f>+[9]OpenBoard!I14</f>
        <v>60124</v>
      </c>
      <c r="J25" s="137">
        <f>+[9]OpenBoard!J14</f>
        <v>29784</v>
      </c>
      <c r="K25" s="137">
        <f>+[9]OpenBoard!K14</f>
        <v>89908</v>
      </c>
      <c r="L25" s="137">
        <f>+[9]OpenBoard!L14</f>
        <v>33032</v>
      </c>
      <c r="M25" s="137">
        <f>+[9]OpenBoard!M14</f>
        <v>16829</v>
      </c>
      <c r="N25" s="137">
        <f>+[9]OpenBoard!N14</f>
        <v>49861</v>
      </c>
      <c r="O25" s="137">
        <f>+[9]OpenBoard!O14</f>
        <v>41501</v>
      </c>
      <c r="P25" s="137">
        <f>+[9]OpenBoard!P14</f>
        <v>34982</v>
      </c>
      <c r="Q25" s="137">
        <f>+[9]OpenBoard!Q14</f>
        <v>76483</v>
      </c>
      <c r="R25" s="137">
        <f>+[9]OpenBoard!R14</f>
        <v>22331</v>
      </c>
      <c r="S25" s="137">
        <f>+[9]OpenBoard!S14</f>
        <v>19759</v>
      </c>
      <c r="T25" s="137">
        <f>+[9]OpenBoard!T14</f>
        <v>42090</v>
      </c>
    </row>
    <row r="26" spans="1:20" ht="15.75">
      <c r="A26" s="138">
        <v>2014</v>
      </c>
      <c r="B26" s="136">
        <v>6</v>
      </c>
      <c r="C26" s="137">
        <v>372178</v>
      </c>
      <c r="D26" s="137">
        <v>239081</v>
      </c>
      <c r="E26" s="137">
        <v>611259</v>
      </c>
      <c r="F26" s="137">
        <v>179739</v>
      </c>
      <c r="G26" s="137">
        <v>118181</v>
      </c>
      <c r="H26" s="137">
        <v>297920</v>
      </c>
      <c r="I26" s="137">
        <v>52681</v>
      </c>
      <c r="J26" s="137">
        <v>33237</v>
      </c>
      <c r="K26" s="137">
        <v>85918</v>
      </c>
      <c r="L26" s="137">
        <v>26293</v>
      </c>
      <c r="M26" s="137">
        <v>18021</v>
      </c>
      <c r="N26" s="137">
        <v>44352</v>
      </c>
      <c r="O26" s="137">
        <v>43762</v>
      </c>
      <c r="P26" s="137">
        <v>40573</v>
      </c>
      <c r="Q26" s="137">
        <v>84335</v>
      </c>
      <c r="R26" s="137">
        <v>20411</v>
      </c>
      <c r="S26" s="137">
        <v>18876</v>
      </c>
      <c r="T26" s="137">
        <v>39287</v>
      </c>
    </row>
    <row r="27" spans="1:20" ht="15.75">
      <c r="A27" s="138">
        <v>2015</v>
      </c>
      <c r="B27" s="136">
        <v>6</v>
      </c>
      <c r="C27" s="137">
        <v>213979</v>
      </c>
      <c r="D27" s="137">
        <v>157478</v>
      </c>
      <c r="E27" s="137">
        <v>371457</v>
      </c>
      <c r="F27" s="137">
        <v>137173</v>
      </c>
      <c r="G27" s="137">
        <v>97881</v>
      </c>
      <c r="H27" s="137">
        <v>235054</v>
      </c>
      <c r="I27" s="137">
        <v>33829</v>
      </c>
      <c r="J27" s="137">
        <v>23828</v>
      </c>
      <c r="K27" s="137">
        <v>57657</v>
      </c>
      <c r="L27" s="137">
        <v>22432</v>
      </c>
      <c r="M27" s="137">
        <v>16629</v>
      </c>
      <c r="N27" s="137">
        <v>39061</v>
      </c>
      <c r="O27" s="137">
        <v>27689</v>
      </c>
      <c r="P27" s="137">
        <v>25193</v>
      </c>
      <c r="Q27" s="137">
        <v>53213</v>
      </c>
      <c r="R27" s="137">
        <v>18160</v>
      </c>
      <c r="S27" s="137">
        <v>16443</v>
      </c>
      <c r="T27" s="137">
        <v>34603</v>
      </c>
    </row>
    <row r="28" spans="1:20" ht="15.75">
      <c r="A28" s="138">
        <v>2016</v>
      </c>
      <c r="B28" s="136">
        <v>7</v>
      </c>
      <c r="C28" s="137">
        <v>373506</v>
      </c>
      <c r="D28" s="137">
        <v>240632</v>
      </c>
      <c r="E28" s="137">
        <v>614138</v>
      </c>
      <c r="F28" s="137">
        <v>148004</v>
      </c>
      <c r="G28" s="137">
        <v>105116</v>
      </c>
      <c r="H28" s="137">
        <v>253120</v>
      </c>
      <c r="I28" s="137">
        <v>117348</v>
      </c>
      <c r="J28" s="137">
        <v>65224</v>
      </c>
      <c r="K28" s="137">
        <v>182572</v>
      </c>
      <c r="L28" s="137">
        <v>47203</v>
      </c>
      <c r="M28" s="137">
        <v>28752</v>
      </c>
      <c r="N28" s="137">
        <v>75955</v>
      </c>
      <c r="O28" s="137">
        <v>52907</v>
      </c>
      <c r="P28" s="137">
        <v>38349</v>
      </c>
      <c r="Q28" s="137">
        <v>91256</v>
      </c>
      <c r="R28" s="137">
        <v>20222</v>
      </c>
      <c r="S28" s="137">
        <v>14997</v>
      </c>
      <c r="T28" s="137">
        <v>35219</v>
      </c>
    </row>
    <row r="29" spans="1:20" ht="15.75">
      <c r="A29" s="138">
        <v>2017</v>
      </c>
      <c r="B29" s="136">
        <v>7</v>
      </c>
      <c r="C29" s="137">
        <f>+'[7]Open Board'!C15</f>
        <v>416151</v>
      </c>
      <c r="D29" s="137">
        <f>+'[7]Open Board'!D15</f>
        <v>230386</v>
      </c>
      <c r="E29" s="137">
        <f>+'[7]Open Board'!E15</f>
        <v>646537</v>
      </c>
      <c r="F29" s="137">
        <f>+'[7]Open Board'!F15</f>
        <v>153640</v>
      </c>
      <c r="G29" s="137">
        <f>+'[7]Open Board'!G15</f>
        <v>97756</v>
      </c>
      <c r="H29" s="137">
        <f>+'[7]Open Board'!H15</f>
        <v>251396</v>
      </c>
      <c r="I29" s="137">
        <f>+'[7]Open Board'!I15</f>
        <v>62764</v>
      </c>
      <c r="J29" s="137">
        <f>+'[7]Open Board'!J15</f>
        <v>36693</v>
      </c>
      <c r="K29" s="137">
        <f>+'[7]Open Board'!K15</f>
        <v>99457</v>
      </c>
      <c r="L29" s="137">
        <f>+'[7]Open Board'!L15</f>
        <v>22025</v>
      </c>
      <c r="M29" s="137">
        <f>+'[7]Open Board'!M15</f>
        <v>15076</v>
      </c>
      <c r="N29" s="137">
        <f>+'[7]Open Board'!N15</f>
        <v>37101</v>
      </c>
      <c r="O29" s="137">
        <f>+'[7]Open Board'!O15</f>
        <v>43692</v>
      </c>
      <c r="P29" s="137">
        <f>+'[7]Open Board'!P15</f>
        <v>36302</v>
      </c>
      <c r="Q29" s="137">
        <f>+'[7]Open Board'!Q15</f>
        <v>79994</v>
      </c>
      <c r="R29" s="137">
        <f>+'[7]Open Board'!R15</f>
        <v>17229</v>
      </c>
      <c r="S29" s="137">
        <f>+'[7]Open Board'!S15</f>
        <v>15876</v>
      </c>
      <c r="T29" s="137">
        <f>+'[7]Open Board'!T15</f>
        <v>33105</v>
      </c>
    </row>
    <row r="30" spans="1:20" ht="15.75">
      <c r="B30" s="143"/>
    </row>
    <row r="31" spans="1:20" ht="18">
      <c r="A31" s="131"/>
      <c r="B31" s="143"/>
      <c r="C31" s="132" t="s">
        <v>332</v>
      </c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 t="str">
        <f>+C31</f>
        <v>Table 13 - SECONDARY EXAMINATION RESULTS DURING 2010 - 2017 (ALL BOARDS)</v>
      </c>
      <c r="P31" s="132"/>
      <c r="Q31" s="132"/>
      <c r="R31" s="132"/>
      <c r="S31" s="132"/>
      <c r="T31" s="132"/>
    </row>
    <row r="32" spans="1:20" ht="15" customHeight="1">
      <c r="A32" s="604" t="s">
        <v>218</v>
      </c>
      <c r="B32" s="588" t="s">
        <v>327</v>
      </c>
      <c r="C32" s="604" t="s">
        <v>188</v>
      </c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 t="s">
        <v>188</v>
      </c>
      <c r="P32" s="604"/>
      <c r="Q32" s="604"/>
      <c r="R32" s="604"/>
      <c r="S32" s="604"/>
      <c r="T32" s="604"/>
    </row>
    <row r="33" spans="1:20">
      <c r="A33" s="604"/>
      <c r="B33" s="589"/>
      <c r="C33" s="604" t="s">
        <v>219</v>
      </c>
      <c r="D33" s="604"/>
      <c r="E33" s="604"/>
      <c r="F33" s="604"/>
      <c r="G33" s="604"/>
      <c r="H33" s="604"/>
      <c r="I33" s="604" t="s">
        <v>220</v>
      </c>
      <c r="J33" s="604"/>
      <c r="K33" s="604"/>
      <c r="L33" s="604"/>
      <c r="M33" s="604"/>
      <c r="N33" s="604"/>
      <c r="O33" s="604" t="s">
        <v>221</v>
      </c>
      <c r="P33" s="604"/>
      <c r="Q33" s="604"/>
      <c r="R33" s="604"/>
      <c r="S33" s="604"/>
      <c r="T33" s="604"/>
    </row>
    <row r="34" spans="1:20">
      <c r="A34" s="604"/>
      <c r="B34" s="589"/>
      <c r="C34" s="604" t="s">
        <v>5</v>
      </c>
      <c r="D34" s="604"/>
      <c r="E34" s="604"/>
      <c r="F34" s="604" t="s">
        <v>6</v>
      </c>
      <c r="G34" s="604"/>
      <c r="H34" s="604"/>
      <c r="I34" s="604" t="s">
        <v>5</v>
      </c>
      <c r="J34" s="604"/>
      <c r="K34" s="604"/>
      <c r="L34" s="604" t="s">
        <v>6</v>
      </c>
      <c r="M34" s="604"/>
      <c r="N34" s="604"/>
      <c r="O34" s="604" t="s">
        <v>5</v>
      </c>
      <c r="P34" s="604"/>
      <c r="Q34" s="604"/>
      <c r="R34" s="604" t="s">
        <v>6</v>
      </c>
      <c r="S34" s="604"/>
      <c r="T34" s="604"/>
    </row>
    <row r="35" spans="1:20">
      <c r="A35" s="604"/>
      <c r="B35" s="589"/>
      <c r="C35" s="367" t="s">
        <v>43</v>
      </c>
      <c r="D35" s="367" t="s">
        <v>44</v>
      </c>
      <c r="E35" s="367" t="s">
        <v>3</v>
      </c>
      <c r="F35" s="367" t="s">
        <v>43</v>
      </c>
      <c r="G35" s="367" t="s">
        <v>44</v>
      </c>
      <c r="H35" s="367" t="s">
        <v>3</v>
      </c>
      <c r="I35" s="367" t="s">
        <v>43</v>
      </c>
      <c r="J35" s="367" t="s">
        <v>44</v>
      </c>
      <c r="K35" s="367" t="s">
        <v>3</v>
      </c>
      <c r="L35" s="367" t="s">
        <v>43</v>
      </c>
      <c r="M35" s="367" t="s">
        <v>44</v>
      </c>
      <c r="N35" s="367" t="s">
        <v>3</v>
      </c>
      <c r="O35" s="367" t="s">
        <v>43</v>
      </c>
      <c r="P35" s="367" t="s">
        <v>44</v>
      </c>
      <c r="Q35" s="367" t="s">
        <v>3</v>
      </c>
      <c r="R35" s="367" t="s">
        <v>43</v>
      </c>
      <c r="S35" s="367" t="s">
        <v>44</v>
      </c>
      <c r="T35" s="367" t="s">
        <v>3</v>
      </c>
    </row>
    <row r="36" spans="1:20">
      <c r="A36" s="134">
        <v>1</v>
      </c>
      <c r="B36" s="134">
        <v>2</v>
      </c>
      <c r="C36" s="134">
        <v>3</v>
      </c>
      <c r="D36" s="134">
        <v>4</v>
      </c>
      <c r="E36" s="134">
        <v>5</v>
      </c>
      <c r="F36" s="134">
        <v>6</v>
      </c>
      <c r="G36" s="134">
        <v>7</v>
      </c>
      <c r="H36" s="134">
        <v>8</v>
      </c>
      <c r="I36" s="134">
        <v>9</v>
      </c>
      <c r="J36" s="134">
        <v>10</v>
      </c>
      <c r="K36" s="134">
        <v>11</v>
      </c>
      <c r="L36" s="134">
        <v>12</v>
      </c>
      <c r="M36" s="134">
        <v>13</v>
      </c>
      <c r="N36" s="134">
        <v>14</v>
      </c>
      <c r="O36" s="134">
        <v>15</v>
      </c>
      <c r="P36" s="134">
        <v>16</v>
      </c>
      <c r="Q36" s="134">
        <v>17</v>
      </c>
      <c r="R36" s="134">
        <v>18</v>
      </c>
      <c r="S36" s="134">
        <v>19</v>
      </c>
      <c r="T36" s="134">
        <v>20</v>
      </c>
    </row>
    <row r="37" spans="1:20" ht="15.75">
      <c r="A37" s="135">
        <v>2010</v>
      </c>
      <c r="B37" s="136">
        <f t="shared" ref="B37:T44" si="3">+B7+B22</f>
        <v>40</v>
      </c>
      <c r="C37" s="137">
        <f t="shared" si="3"/>
        <v>9684041</v>
      </c>
      <c r="D37" s="137">
        <f t="shared" si="3"/>
        <v>7565925</v>
      </c>
      <c r="E37" s="137">
        <f t="shared" si="3"/>
        <v>17249966</v>
      </c>
      <c r="F37" s="137">
        <f t="shared" si="3"/>
        <v>7029237</v>
      </c>
      <c r="G37" s="137">
        <f t="shared" si="3"/>
        <v>5793147</v>
      </c>
      <c r="H37" s="137">
        <f t="shared" si="3"/>
        <v>12822384</v>
      </c>
      <c r="I37" s="137">
        <f t="shared" si="3"/>
        <v>1562519</v>
      </c>
      <c r="J37" s="137">
        <f t="shared" si="3"/>
        <v>1197413</v>
      </c>
      <c r="K37" s="137">
        <f t="shared" si="3"/>
        <v>2759932</v>
      </c>
      <c r="L37" s="137">
        <f t="shared" si="3"/>
        <v>1043901</v>
      </c>
      <c r="M37" s="137">
        <f t="shared" si="3"/>
        <v>847979</v>
      </c>
      <c r="N37" s="137">
        <f t="shared" si="3"/>
        <v>1891880</v>
      </c>
      <c r="O37" s="137">
        <f t="shared" si="3"/>
        <v>643452</v>
      </c>
      <c r="P37" s="137">
        <f t="shared" si="3"/>
        <v>502036</v>
      </c>
      <c r="Q37" s="137">
        <f t="shared" si="3"/>
        <v>1145488</v>
      </c>
      <c r="R37" s="137">
        <f t="shared" si="3"/>
        <v>396628</v>
      </c>
      <c r="S37" s="137">
        <f t="shared" si="3"/>
        <v>305158</v>
      </c>
      <c r="T37" s="137">
        <f t="shared" si="3"/>
        <v>701786</v>
      </c>
    </row>
    <row r="38" spans="1:20" ht="15.75">
      <c r="A38" s="138">
        <v>2011</v>
      </c>
      <c r="B38" s="136">
        <f t="shared" si="3"/>
        <v>40</v>
      </c>
      <c r="C38" s="137">
        <f t="shared" si="3"/>
        <v>10118563</v>
      </c>
      <c r="D38" s="137">
        <f t="shared" si="3"/>
        <v>8037937</v>
      </c>
      <c r="E38" s="137">
        <f t="shared" si="3"/>
        <v>18161271</v>
      </c>
      <c r="F38" s="137">
        <f t="shared" si="3"/>
        <v>7371246</v>
      </c>
      <c r="G38" s="137">
        <f t="shared" si="3"/>
        <v>6131148</v>
      </c>
      <c r="H38" s="137">
        <f t="shared" si="3"/>
        <v>13504606</v>
      </c>
      <c r="I38" s="137">
        <f t="shared" si="3"/>
        <v>1742153</v>
      </c>
      <c r="J38" s="137">
        <f t="shared" si="3"/>
        <v>1413230</v>
      </c>
      <c r="K38" s="137">
        <f t="shared" si="3"/>
        <v>3155383</v>
      </c>
      <c r="L38" s="137">
        <f t="shared" si="3"/>
        <v>1181106</v>
      </c>
      <c r="M38" s="137">
        <f t="shared" si="3"/>
        <v>996222</v>
      </c>
      <c r="N38" s="137">
        <f t="shared" si="3"/>
        <v>2177328</v>
      </c>
      <c r="O38" s="137">
        <f t="shared" si="3"/>
        <v>698190</v>
      </c>
      <c r="P38" s="137">
        <f t="shared" si="3"/>
        <v>562449</v>
      </c>
      <c r="Q38" s="137">
        <f t="shared" si="3"/>
        <v>1260639</v>
      </c>
      <c r="R38" s="137">
        <f t="shared" si="3"/>
        <v>438353</v>
      </c>
      <c r="S38" s="137">
        <f t="shared" si="3"/>
        <v>349358</v>
      </c>
      <c r="T38" s="137">
        <f t="shared" si="3"/>
        <v>787711</v>
      </c>
    </row>
    <row r="39" spans="1:20" ht="15.75">
      <c r="A39" s="135">
        <v>2012</v>
      </c>
      <c r="B39" s="136">
        <f t="shared" si="3"/>
        <v>40</v>
      </c>
      <c r="C39" s="137">
        <f t="shared" si="3"/>
        <v>10287144</v>
      </c>
      <c r="D39" s="137">
        <f t="shared" si="3"/>
        <v>8287633</v>
      </c>
      <c r="E39" s="137">
        <f t="shared" si="3"/>
        <v>18574777</v>
      </c>
      <c r="F39" s="137">
        <f t="shared" si="3"/>
        <v>7648530</v>
      </c>
      <c r="G39" s="137">
        <f t="shared" si="3"/>
        <v>6462590</v>
      </c>
      <c r="H39" s="137">
        <f t="shared" si="3"/>
        <v>14111120</v>
      </c>
      <c r="I39" s="137">
        <f t="shared" si="3"/>
        <v>1653275</v>
      </c>
      <c r="J39" s="137">
        <f t="shared" si="3"/>
        <v>1315217</v>
      </c>
      <c r="K39" s="137">
        <f t="shared" si="3"/>
        <v>2968492</v>
      </c>
      <c r="L39" s="137">
        <f t="shared" si="3"/>
        <v>1132109</v>
      </c>
      <c r="M39" s="137">
        <f t="shared" si="3"/>
        <v>950433</v>
      </c>
      <c r="N39" s="137">
        <f t="shared" si="3"/>
        <v>2082542</v>
      </c>
      <c r="O39" s="137">
        <f t="shared" si="3"/>
        <v>677858</v>
      </c>
      <c r="P39" s="137">
        <f t="shared" si="3"/>
        <v>575279</v>
      </c>
      <c r="Q39" s="137">
        <f t="shared" si="3"/>
        <v>1253137</v>
      </c>
      <c r="R39" s="137">
        <f t="shared" si="3"/>
        <v>416962</v>
      </c>
      <c r="S39" s="137">
        <f t="shared" si="3"/>
        <v>352776</v>
      </c>
      <c r="T39" s="137">
        <f t="shared" si="3"/>
        <v>769738</v>
      </c>
    </row>
    <row r="40" spans="1:20" ht="15.75">
      <c r="A40" s="138">
        <v>2013</v>
      </c>
      <c r="B40" s="136">
        <f t="shared" si="3"/>
        <v>41</v>
      </c>
      <c r="C40" s="137">
        <v>10904655</v>
      </c>
      <c r="D40" s="137">
        <v>8829960</v>
      </c>
      <c r="E40" s="137">
        <v>19734615</v>
      </c>
      <c r="F40" s="137">
        <v>8257716</v>
      </c>
      <c r="G40" s="137">
        <v>7061772</v>
      </c>
      <c r="H40" s="137">
        <v>15319488</v>
      </c>
      <c r="I40" s="137">
        <v>1825760</v>
      </c>
      <c r="J40" s="137">
        <v>1489446</v>
      </c>
      <c r="K40" s="137">
        <v>3315206</v>
      </c>
      <c r="L40" s="137">
        <v>1265090</v>
      </c>
      <c r="M40" s="137">
        <v>1093073</v>
      </c>
      <c r="N40" s="137">
        <v>2358163</v>
      </c>
      <c r="O40" s="137">
        <v>787070</v>
      </c>
      <c r="P40" s="137">
        <v>691945</v>
      </c>
      <c r="Q40" s="137">
        <v>1479015</v>
      </c>
      <c r="R40" s="137">
        <v>502983</v>
      </c>
      <c r="S40" s="137">
        <v>446062</v>
      </c>
      <c r="T40" s="137">
        <v>949045</v>
      </c>
    </row>
    <row r="41" spans="1:20" ht="15.75">
      <c r="A41" s="138">
        <v>2014</v>
      </c>
      <c r="B41" s="136">
        <f t="shared" si="3"/>
        <v>41</v>
      </c>
      <c r="C41" s="137">
        <v>10601867</v>
      </c>
      <c r="D41" s="137">
        <v>8864399</v>
      </c>
      <c r="E41" s="137">
        <v>19466266</v>
      </c>
      <c r="F41" s="137">
        <v>8221455</v>
      </c>
      <c r="G41" s="137">
        <v>7171919</v>
      </c>
      <c r="H41" s="137">
        <v>15393374</v>
      </c>
      <c r="I41" s="137">
        <v>1808730</v>
      </c>
      <c r="J41" s="137">
        <v>1518501</v>
      </c>
      <c r="K41" s="137">
        <v>3327231</v>
      </c>
      <c r="L41" s="137">
        <v>1294748</v>
      </c>
      <c r="M41" s="137">
        <v>1142190</v>
      </c>
      <c r="N41" s="137">
        <v>2436938</v>
      </c>
      <c r="O41" s="137">
        <v>801513</v>
      </c>
      <c r="P41" s="137">
        <v>735177</v>
      </c>
      <c r="Q41" s="137">
        <v>1536690</v>
      </c>
      <c r="R41" s="137">
        <v>522123</v>
      </c>
      <c r="S41" s="137">
        <v>469796</v>
      </c>
      <c r="T41" s="137">
        <v>991919</v>
      </c>
    </row>
    <row r="42" spans="1:20" ht="15.75">
      <c r="A42" s="138">
        <v>2015</v>
      </c>
      <c r="B42" s="136">
        <f t="shared" si="3"/>
        <v>41</v>
      </c>
      <c r="C42" s="137">
        <v>10292567</v>
      </c>
      <c r="D42" s="137">
        <v>8865570</v>
      </c>
      <c r="E42" s="137">
        <v>19158137</v>
      </c>
      <c r="F42" s="137">
        <v>7968166</v>
      </c>
      <c r="G42" s="137">
        <v>7136789</v>
      </c>
      <c r="H42" s="137">
        <v>15104955</v>
      </c>
      <c r="I42" s="137">
        <v>1762729</v>
      </c>
      <c r="J42" s="137">
        <v>1519038</v>
      </c>
      <c r="K42" s="137">
        <v>3281767</v>
      </c>
      <c r="L42" s="137">
        <v>1266714</v>
      </c>
      <c r="M42" s="137">
        <v>1136130</v>
      </c>
      <c r="N42" s="137">
        <v>2402844</v>
      </c>
      <c r="O42" s="137">
        <v>783988</v>
      </c>
      <c r="P42" s="137">
        <v>736790</v>
      </c>
      <c r="Q42" s="137">
        <v>1521109</v>
      </c>
      <c r="R42" s="137">
        <v>509950</v>
      </c>
      <c r="S42" s="137">
        <v>466163</v>
      </c>
      <c r="T42" s="137">
        <v>976113</v>
      </c>
    </row>
    <row r="43" spans="1:20" ht="15.75">
      <c r="A43" s="138">
        <v>2016</v>
      </c>
      <c r="B43" s="136">
        <f t="shared" si="3"/>
        <v>49</v>
      </c>
      <c r="C43" s="137">
        <f t="shared" si="3"/>
        <v>10820446</v>
      </c>
      <c r="D43" s="137">
        <f t="shared" si="3"/>
        <v>9189510</v>
      </c>
      <c r="E43" s="137">
        <f t="shared" si="3"/>
        <v>20009956</v>
      </c>
      <c r="F43" s="137">
        <f t="shared" si="3"/>
        <v>8266497</v>
      </c>
      <c r="G43" s="137">
        <f t="shared" si="3"/>
        <v>7245671</v>
      </c>
      <c r="H43" s="137">
        <f t="shared" si="3"/>
        <v>15512168</v>
      </c>
      <c r="I43" s="137">
        <f t="shared" si="3"/>
        <v>1958214</v>
      </c>
      <c r="J43" s="137">
        <f t="shared" si="3"/>
        <v>1656040</v>
      </c>
      <c r="K43" s="137">
        <f t="shared" si="3"/>
        <v>3614254</v>
      </c>
      <c r="L43" s="137">
        <f t="shared" si="3"/>
        <v>1371876</v>
      </c>
      <c r="M43" s="137">
        <f t="shared" si="3"/>
        <v>1215805</v>
      </c>
      <c r="N43" s="137">
        <f t="shared" si="3"/>
        <v>2587681</v>
      </c>
      <c r="O43" s="137">
        <f t="shared" si="3"/>
        <v>832040</v>
      </c>
      <c r="P43" s="137">
        <f t="shared" si="3"/>
        <v>773005</v>
      </c>
      <c r="Q43" s="137">
        <f t="shared" si="3"/>
        <v>1605045</v>
      </c>
      <c r="R43" s="137">
        <f t="shared" si="3"/>
        <v>527895</v>
      </c>
      <c r="S43" s="137">
        <f t="shared" si="3"/>
        <v>491874</v>
      </c>
      <c r="T43" s="137">
        <f t="shared" si="3"/>
        <v>1019769</v>
      </c>
    </row>
    <row r="44" spans="1:20" ht="15.75">
      <c r="A44" s="138">
        <v>2017</v>
      </c>
      <c r="B44" s="136">
        <f t="shared" si="3"/>
        <v>48</v>
      </c>
      <c r="C44" s="137">
        <f t="shared" si="3"/>
        <v>10756569</v>
      </c>
      <c r="D44" s="137">
        <f t="shared" si="3"/>
        <v>9204359</v>
      </c>
      <c r="E44" s="137">
        <f t="shared" si="3"/>
        <v>19960928</v>
      </c>
      <c r="F44" s="137">
        <f t="shared" si="3"/>
        <v>8026255</v>
      </c>
      <c r="G44" s="137">
        <f t="shared" si="3"/>
        <v>7102220</v>
      </c>
      <c r="H44" s="137">
        <f t="shared" si="3"/>
        <v>15128475</v>
      </c>
      <c r="I44" s="137">
        <f t="shared" si="3"/>
        <v>1881032</v>
      </c>
      <c r="J44" s="137">
        <f t="shared" si="3"/>
        <v>1651729</v>
      </c>
      <c r="K44" s="137">
        <f t="shared" si="3"/>
        <v>3532761</v>
      </c>
      <c r="L44" s="137">
        <f t="shared" si="3"/>
        <v>1292094</v>
      </c>
      <c r="M44" s="137">
        <f t="shared" si="3"/>
        <v>1177529</v>
      </c>
      <c r="N44" s="137">
        <f t="shared" si="3"/>
        <v>2469623</v>
      </c>
      <c r="O44" s="137">
        <f t="shared" si="3"/>
        <v>805553</v>
      </c>
      <c r="P44" s="137">
        <f t="shared" si="3"/>
        <v>772121</v>
      </c>
      <c r="Q44" s="137">
        <f t="shared" si="3"/>
        <v>1577674</v>
      </c>
      <c r="R44" s="137">
        <f t="shared" si="3"/>
        <v>527644</v>
      </c>
      <c r="S44" s="137">
        <f t="shared" si="3"/>
        <v>509156</v>
      </c>
      <c r="T44" s="137">
        <f t="shared" si="3"/>
        <v>1036800</v>
      </c>
    </row>
  </sheetData>
  <mergeCells count="39">
    <mergeCell ref="I3:N3"/>
    <mergeCell ref="O3:T3"/>
    <mergeCell ref="C4:E4"/>
    <mergeCell ref="F4:H4"/>
    <mergeCell ref="I4:K4"/>
    <mergeCell ref="R19:T19"/>
    <mergeCell ref="L4:N4"/>
    <mergeCell ref="O4:Q4"/>
    <mergeCell ref="R4:T4"/>
    <mergeCell ref="A17:A20"/>
    <mergeCell ref="B17:B20"/>
    <mergeCell ref="C17:N17"/>
    <mergeCell ref="O17:T17"/>
    <mergeCell ref="C18:H18"/>
    <mergeCell ref="I18:N18"/>
    <mergeCell ref="O18:T18"/>
    <mergeCell ref="A2:A5"/>
    <mergeCell ref="B2:B5"/>
    <mergeCell ref="C2:N2"/>
    <mergeCell ref="O2:T2"/>
    <mergeCell ref="C3:H3"/>
    <mergeCell ref="C19:E19"/>
    <mergeCell ref="F19:H19"/>
    <mergeCell ref="I19:K19"/>
    <mergeCell ref="L19:N19"/>
    <mergeCell ref="O19:Q19"/>
    <mergeCell ref="L34:N34"/>
    <mergeCell ref="O34:Q34"/>
    <mergeCell ref="R34:T34"/>
    <mergeCell ref="A32:A35"/>
    <mergeCell ref="B32:B35"/>
    <mergeCell ref="C32:N32"/>
    <mergeCell ref="O32:T32"/>
    <mergeCell ref="C33:H33"/>
    <mergeCell ref="I33:N33"/>
    <mergeCell ref="O33:T33"/>
    <mergeCell ref="C34:E34"/>
    <mergeCell ref="F34:H34"/>
    <mergeCell ref="I34:K3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3"/>
  <sheetViews>
    <sheetView view="pageBreakPreview" topLeftCell="A44" zoomScale="85" zoomScaleSheetLayoutView="85" workbookViewId="0">
      <selection activeCell="B51" sqref="B51"/>
    </sheetView>
  </sheetViews>
  <sheetFormatPr defaultRowHeight="15"/>
  <cols>
    <col min="2" max="2" width="35.140625" customWidth="1"/>
    <col min="3" max="3" width="13" customWidth="1"/>
    <col min="4" max="4" width="10.28515625" bestFit="1" customWidth="1"/>
    <col min="5" max="5" width="11.5703125" bestFit="1" customWidth="1"/>
    <col min="6" max="7" width="10.28515625" bestFit="1" customWidth="1"/>
    <col min="8" max="8" width="11.5703125" bestFit="1" customWidth="1"/>
    <col min="12" max="13" width="10.28515625" bestFit="1" customWidth="1"/>
    <col min="14" max="14" width="11.5703125" bestFit="1" customWidth="1"/>
    <col min="18" max="18" width="12.140625" customWidth="1"/>
    <col min="19" max="19" width="10.28515625" bestFit="1" customWidth="1"/>
    <col min="20" max="20" width="11.5703125" bestFit="1" customWidth="1"/>
    <col min="21" max="26" width="10.28515625" bestFit="1" customWidth="1"/>
  </cols>
  <sheetData>
    <row r="1" spans="1:32" ht="18" customHeight="1">
      <c r="A1" s="145"/>
      <c r="B1" s="164"/>
      <c r="C1" s="595" t="s">
        <v>328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158" t="str">
        <f>C1</f>
        <v>RESULTS OF SECONDARY EXAMINATION- 2016</v>
      </c>
      <c r="S1" s="158"/>
      <c r="T1" s="158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.75" customHeight="1">
      <c r="A2" s="165"/>
      <c r="B2" s="166"/>
      <c r="C2" s="598" t="s">
        <v>335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336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" customHeight="1">
      <c r="A3" s="604" t="s">
        <v>192</v>
      </c>
      <c r="B3" s="600" t="s">
        <v>42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 t="s">
        <v>189</v>
      </c>
      <c r="P3" s="600"/>
      <c r="Q3" s="600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195</v>
      </c>
      <c r="AB3" s="564"/>
      <c r="AC3" s="564"/>
      <c r="AD3" s="564"/>
      <c r="AE3" s="564"/>
      <c r="AF3" s="565"/>
    </row>
    <row r="4" spans="1:32">
      <c r="A4" s="604"/>
      <c r="B4" s="600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04"/>
      <c r="B5" s="600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191</v>
      </c>
      <c r="M5" s="600"/>
      <c r="N5" s="600"/>
      <c r="O5" s="600"/>
      <c r="P5" s="600"/>
      <c r="Q5" s="600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04"/>
      <c r="B6" s="600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159" t="s">
        <v>43</v>
      </c>
      <c r="P6" s="159" t="s">
        <v>44</v>
      </c>
      <c r="Q6" s="159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159" t="s">
        <v>3</v>
      </c>
      <c r="X6" s="159" t="s">
        <v>43</v>
      </c>
      <c r="Y6" s="159" t="s">
        <v>44</v>
      </c>
      <c r="Z6" s="159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78">
        <v>8</v>
      </c>
      <c r="X7" s="78">
        <v>9</v>
      </c>
      <c r="Y7" s="78">
        <v>10</v>
      </c>
      <c r="Z7" s="78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03" t="s">
        <v>216</v>
      </c>
      <c r="B8" s="603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6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8"/>
    </row>
    <row r="9" spans="1:32" ht="28.5">
      <c r="A9" s="167">
        <v>1</v>
      </c>
      <c r="B9" s="43" t="s">
        <v>143</v>
      </c>
      <c r="C9" s="171">
        <v>890173</v>
      </c>
      <c r="D9" s="171">
        <v>605571</v>
      </c>
      <c r="E9" s="171">
        <v>1495744</v>
      </c>
      <c r="F9" s="171">
        <v>851911</v>
      </c>
      <c r="G9" s="171">
        <v>580251</v>
      </c>
      <c r="H9" s="171">
        <v>1432162</v>
      </c>
      <c r="I9" s="171">
        <v>10360</v>
      </c>
      <c r="J9" s="171">
        <v>6615</v>
      </c>
      <c r="K9" s="171">
        <v>16975</v>
      </c>
      <c r="L9" s="168">
        <v>862271</v>
      </c>
      <c r="M9" s="168">
        <v>586866</v>
      </c>
      <c r="N9" s="168">
        <v>1449137</v>
      </c>
      <c r="O9" s="172">
        <v>96.865553100352415</v>
      </c>
      <c r="P9" s="172">
        <v>96.911179696517834</v>
      </c>
      <c r="Q9" s="172">
        <v>96.884025608660309</v>
      </c>
      <c r="R9" s="173">
        <f t="shared" ref="R9:T10" si="0">L9</f>
        <v>862271</v>
      </c>
      <c r="S9" s="173">
        <f t="shared" si="0"/>
        <v>586866</v>
      </c>
      <c r="T9" s="173">
        <f t="shared" si="0"/>
        <v>1449137</v>
      </c>
      <c r="U9" s="174"/>
      <c r="V9" s="174"/>
      <c r="W9" s="174"/>
      <c r="X9" s="174"/>
      <c r="Y9" s="174"/>
      <c r="Z9" s="174"/>
      <c r="AA9" s="175"/>
      <c r="AB9" s="175"/>
      <c r="AC9" s="175"/>
      <c r="AD9" s="176"/>
      <c r="AE9" s="176"/>
      <c r="AF9" s="176"/>
    </row>
    <row r="10" spans="1:32" ht="28.5">
      <c r="A10" s="167">
        <v>2</v>
      </c>
      <c r="B10" s="43" t="s">
        <v>231</v>
      </c>
      <c r="C10" s="171">
        <v>92892</v>
      </c>
      <c r="D10" s="171">
        <v>75702</v>
      </c>
      <c r="E10" s="171">
        <v>168594</v>
      </c>
      <c r="F10" s="171">
        <v>91171</v>
      </c>
      <c r="G10" s="171">
        <v>74897</v>
      </c>
      <c r="H10" s="171">
        <v>166068</v>
      </c>
      <c r="I10" s="177"/>
      <c r="J10" s="177"/>
      <c r="K10" s="177"/>
      <c r="L10" s="168">
        <v>91171</v>
      </c>
      <c r="M10" s="168">
        <v>74897</v>
      </c>
      <c r="N10" s="168">
        <v>166068</v>
      </c>
      <c r="O10" s="172">
        <v>98.147310855617278</v>
      </c>
      <c r="P10" s="172">
        <v>98.936619904361848</v>
      </c>
      <c r="Q10" s="172">
        <v>98.501726040072597</v>
      </c>
      <c r="R10" s="173">
        <f t="shared" si="0"/>
        <v>91171</v>
      </c>
      <c r="S10" s="173">
        <f t="shared" si="0"/>
        <v>74897</v>
      </c>
      <c r="T10" s="173">
        <f t="shared" si="0"/>
        <v>166068</v>
      </c>
      <c r="U10" s="173">
        <v>55041</v>
      </c>
      <c r="V10" s="173">
        <v>51463</v>
      </c>
      <c r="W10" s="173">
        <f>U10+V10</f>
        <v>106504</v>
      </c>
      <c r="X10" s="173">
        <v>27058</v>
      </c>
      <c r="Y10" s="173">
        <v>19125</v>
      </c>
      <c r="Z10" s="173">
        <f>X10+Y10</f>
        <v>46183</v>
      </c>
      <c r="AA10" s="178">
        <f>U10/R10%</f>
        <v>60.371170657336215</v>
      </c>
      <c r="AB10" s="178">
        <f>V10/S10%</f>
        <v>68.711697397759593</v>
      </c>
      <c r="AC10" s="178">
        <f>W10/T10%</f>
        <v>64.132764891490226</v>
      </c>
      <c r="AD10" s="179">
        <f>X10/R10%</f>
        <v>29.678296826841866</v>
      </c>
      <c r="AE10" s="179">
        <f>Y10/S10%</f>
        <v>25.53506816027344</v>
      </c>
      <c r="AF10" s="179">
        <f>Z10/T10%</f>
        <v>27.809692415155236</v>
      </c>
    </row>
    <row r="11" spans="1:32">
      <c r="A11" s="603" t="s">
        <v>217</v>
      </c>
      <c r="B11" s="603"/>
      <c r="C11" s="636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8"/>
      <c r="R11" s="161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3"/>
    </row>
    <row r="12" spans="1:32" ht="28.5">
      <c r="A12" s="167">
        <v>3</v>
      </c>
      <c r="B12" s="43" t="s">
        <v>232</v>
      </c>
      <c r="C12" s="171">
        <v>340407</v>
      </c>
      <c r="D12" s="171">
        <v>311967</v>
      </c>
      <c r="E12" s="171">
        <v>652374</v>
      </c>
      <c r="F12" s="171">
        <v>311271</v>
      </c>
      <c r="G12" s="171">
        <v>291600</v>
      </c>
      <c r="H12" s="171">
        <v>602871</v>
      </c>
      <c r="I12" s="177"/>
      <c r="J12" s="177"/>
      <c r="K12" s="177"/>
      <c r="L12" s="168">
        <v>311271</v>
      </c>
      <c r="M12" s="168">
        <v>291600</v>
      </c>
      <c r="N12" s="171">
        <v>602871</v>
      </c>
      <c r="O12" s="172">
        <v>91.440834060404157</v>
      </c>
      <c r="P12" s="172">
        <v>93.471424862245044</v>
      </c>
      <c r="Q12" s="172">
        <v>92.411868038885672</v>
      </c>
      <c r="R12" s="173">
        <f t="shared" ref="R12:T15" si="1">L12</f>
        <v>311271</v>
      </c>
      <c r="S12" s="173">
        <f t="shared" si="1"/>
        <v>291600</v>
      </c>
      <c r="T12" s="173">
        <f t="shared" si="1"/>
        <v>602871</v>
      </c>
      <c r="U12" s="169">
        <v>839</v>
      </c>
      <c r="V12" s="169">
        <v>720</v>
      </c>
      <c r="W12" s="173">
        <f t="shared" ref="W12:W44" si="2">U12+V12</f>
        <v>1559</v>
      </c>
      <c r="X12" s="173">
        <v>10164</v>
      </c>
      <c r="Y12" s="173">
        <v>5309</v>
      </c>
      <c r="Z12" s="173">
        <f t="shared" ref="Z12:Z44" si="3">X12+Y12</f>
        <v>15473</v>
      </c>
      <c r="AA12" s="178">
        <f t="shared" ref="AA12:AC44" si="4">U12/R12%</f>
        <v>0.26954004709722396</v>
      </c>
      <c r="AB12" s="178">
        <f t="shared" si="4"/>
        <v>0.24691358024691357</v>
      </c>
      <c r="AC12" s="178">
        <f t="shared" si="4"/>
        <v>0.25859595170442762</v>
      </c>
      <c r="AD12" s="179">
        <f t="shared" ref="AD12:AF44" si="5">X12/R12%</f>
        <v>3.2653218578023653</v>
      </c>
      <c r="AE12" s="179">
        <f t="shared" si="5"/>
        <v>1.8206447187928669</v>
      </c>
      <c r="AF12" s="179">
        <f t="shared" si="5"/>
        <v>2.5665523801941044</v>
      </c>
    </row>
    <row r="13" spans="1:32" ht="28.5">
      <c r="A13" s="167">
        <v>4</v>
      </c>
      <c r="B13" s="45" t="s">
        <v>91</v>
      </c>
      <c r="C13" s="171">
        <v>283777</v>
      </c>
      <c r="D13" s="171">
        <v>271487</v>
      </c>
      <c r="E13" s="171">
        <v>555264</v>
      </c>
      <c r="F13" s="171">
        <v>230427</v>
      </c>
      <c r="G13" s="171">
        <v>228516</v>
      </c>
      <c r="H13" s="171">
        <v>458943</v>
      </c>
      <c r="I13" s="171">
        <v>31897</v>
      </c>
      <c r="J13" s="171">
        <v>26843</v>
      </c>
      <c r="K13" s="171">
        <v>58740</v>
      </c>
      <c r="L13" s="168">
        <v>262324</v>
      </c>
      <c r="M13" s="168">
        <v>255359</v>
      </c>
      <c r="N13" s="171">
        <v>517683</v>
      </c>
      <c r="O13" s="172">
        <v>92.440190713130377</v>
      </c>
      <c r="P13" s="172">
        <v>94.059384058905209</v>
      </c>
      <c r="Q13" s="172">
        <v>93.231868084370674</v>
      </c>
      <c r="R13" s="173">
        <f t="shared" ref="R13:T14" si="6">L13</f>
        <v>262324</v>
      </c>
      <c r="S13" s="173">
        <f t="shared" si="6"/>
        <v>255359</v>
      </c>
      <c r="T13" s="173">
        <f t="shared" si="6"/>
        <v>517683</v>
      </c>
      <c r="U13" s="181">
        <v>416</v>
      </c>
      <c r="V13" s="181">
        <v>297</v>
      </c>
      <c r="W13" s="173">
        <f>U13+V13</f>
        <v>713</v>
      </c>
      <c r="X13" s="173">
        <v>954</v>
      </c>
      <c r="Y13" s="173">
        <v>800</v>
      </c>
      <c r="Z13" s="173">
        <f>X13+Y13</f>
        <v>1754</v>
      </c>
      <c r="AA13" s="178">
        <f t="shared" ref="AA13:AC14" si="7">U13/R13%</f>
        <v>0.15858251627758041</v>
      </c>
      <c r="AB13" s="178">
        <f t="shared" si="7"/>
        <v>0.1163068464397182</v>
      </c>
      <c r="AC13" s="178">
        <f t="shared" si="7"/>
        <v>0.13772907358364095</v>
      </c>
      <c r="AD13" s="179">
        <f t="shared" ref="AD13:AF14" si="8">X13/R13%</f>
        <v>0.36367240511733584</v>
      </c>
      <c r="AE13" s="179">
        <f t="shared" si="8"/>
        <v>0.31328443485445978</v>
      </c>
      <c r="AF13" s="179">
        <f t="shared" si="8"/>
        <v>0.33881738438387971</v>
      </c>
    </row>
    <row r="14" spans="1:32" ht="28.5">
      <c r="A14" s="167">
        <v>5</v>
      </c>
      <c r="B14" s="43" t="s">
        <v>233</v>
      </c>
      <c r="C14" s="171">
        <v>189117</v>
      </c>
      <c r="D14" s="171">
        <v>202587</v>
      </c>
      <c r="E14" s="171">
        <v>391704</v>
      </c>
      <c r="F14" s="171">
        <v>121735</v>
      </c>
      <c r="G14" s="171">
        <v>125262</v>
      </c>
      <c r="H14" s="171">
        <v>246997</v>
      </c>
      <c r="I14" s="177"/>
      <c r="J14" s="177"/>
      <c r="K14" s="177"/>
      <c r="L14" s="168">
        <v>121735</v>
      </c>
      <c r="M14" s="168">
        <v>125262</v>
      </c>
      <c r="N14" s="171">
        <v>246997</v>
      </c>
      <c r="O14" s="172">
        <v>64.370204688103129</v>
      </c>
      <c r="P14" s="172">
        <v>61.83121325652683</v>
      </c>
      <c r="Q14" s="172">
        <v>63.057053285133669</v>
      </c>
      <c r="R14" s="173">
        <f t="shared" si="6"/>
        <v>121735</v>
      </c>
      <c r="S14" s="173">
        <f t="shared" si="6"/>
        <v>125262</v>
      </c>
      <c r="T14" s="173">
        <f t="shared" si="6"/>
        <v>246997</v>
      </c>
      <c r="U14" s="181">
        <v>9361</v>
      </c>
      <c r="V14" s="181">
        <v>7945</v>
      </c>
      <c r="W14" s="173">
        <f>U14+V14</f>
        <v>17306</v>
      </c>
      <c r="X14" s="173">
        <v>28970</v>
      </c>
      <c r="Y14" s="173">
        <v>26275</v>
      </c>
      <c r="Z14" s="173">
        <f>X14+Y14</f>
        <v>55245</v>
      </c>
      <c r="AA14" s="178">
        <f t="shared" si="7"/>
        <v>7.6896537561095828</v>
      </c>
      <c r="AB14" s="178">
        <f t="shared" si="7"/>
        <v>6.3427056888761166</v>
      </c>
      <c r="AC14" s="178">
        <f t="shared" si="7"/>
        <v>7.0065628327469573</v>
      </c>
      <c r="AD14" s="179">
        <f t="shared" si="8"/>
        <v>23.797593132624144</v>
      </c>
      <c r="AE14" s="179">
        <f t="shared" si="8"/>
        <v>20.976034232249209</v>
      </c>
      <c r="AF14" s="179">
        <f t="shared" si="8"/>
        <v>22.366668421073943</v>
      </c>
    </row>
    <row r="15" spans="1:32">
      <c r="A15" s="167">
        <v>6</v>
      </c>
      <c r="B15" s="43" t="s">
        <v>135</v>
      </c>
      <c r="C15" s="171">
        <v>12640</v>
      </c>
      <c r="D15" s="171">
        <v>8030</v>
      </c>
      <c r="E15" s="171">
        <v>20670</v>
      </c>
      <c r="F15" s="171">
        <v>8000</v>
      </c>
      <c r="G15" s="171">
        <v>5064</v>
      </c>
      <c r="H15" s="171">
        <v>13064</v>
      </c>
      <c r="I15" s="177"/>
      <c r="J15" s="177"/>
      <c r="K15" s="177"/>
      <c r="L15" s="168">
        <v>8000</v>
      </c>
      <c r="M15" s="168">
        <v>5064</v>
      </c>
      <c r="N15" s="171">
        <v>13064</v>
      </c>
      <c r="O15" s="172">
        <v>63.291139240506332</v>
      </c>
      <c r="P15" s="172">
        <v>63.063511830635122</v>
      </c>
      <c r="Q15" s="172">
        <v>63.202709240445088</v>
      </c>
      <c r="R15" s="173">
        <f t="shared" si="1"/>
        <v>8000</v>
      </c>
      <c r="S15" s="173">
        <f t="shared" si="1"/>
        <v>5064</v>
      </c>
      <c r="T15" s="173">
        <f t="shared" si="1"/>
        <v>13064</v>
      </c>
      <c r="U15" s="169">
        <v>5</v>
      </c>
      <c r="V15" s="169">
        <v>5</v>
      </c>
      <c r="W15" s="173">
        <f>U15+V15</f>
        <v>10</v>
      </c>
      <c r="X15" s="173">
        <v>724</v>
      </c>
      <c r="Y15" s="173">
        <v>519</v>
      </c>
      <c r="Z15" s="173">
        <f>X15+Y15</f>
        <v>1243</v>
      </c>
      <c r="AA15" s="178">
        <f t="shared" si="4"/>
        <v>6.25E-2</v>
      </c>
      <c r="AB15" s="178">
        <f t="shared" si="4"/>
        <v>9.873617693522907E-2</v>
      </c>
      <c r="AC15" s="178">
        <f t="shared" si="4"/>
        <v>7.6546233925290877E-2</v>
      </c>
      <c r="AD15" s="179">
        <f t="shared" si="5"/>
        <v>9.0500000000000007</v>
      </c>
      <c r="AE15" s="179">
        <f t="shared" si="5"/>
        <v>10.248815165876778</v>
      </c>
      <c r="AF15" s="179">
        <f t="shared" si="5"/>
        <v>9.5146968769136571</v>
      </c>
    </row>
    <row r="16" spans="1:32">
      <c r="A16" s="167">
        <v>7</v>
      </c>
      <c r="B16" s="43" t="s">
        <v>234</v>
      </c>
      <c r="C16" s="171">
        <v>23</v>
      </c>
      <c r="D16" s="171">
        <v>260</v>
      </c>
      <c r="E16" s="171">
        <v>283</v>
      </c>
      <c r="F16" s="171">
        <v>23</v>
      </c>
      <c r="G16" s="171">
        <v>259</v>
      </c>
      <c r="H16" s="171">
        <v>282</v>
      </c>
      <c r="I16" s="171">
        <v>0</v>
      </c>
      <c r="J16" s="171">
        <v>1</v>
      </c>
      <c r="K16" s="171">
        <v>1</v>
      </c>
      <c r="L16" s="168">
        <v>23</v>
      </c>
      <c r="M16" s="168">
        <v>260</v>
      </c>
      <c r="N16" s="171">
        <v>283</v>
      </c>
      <c r="O16" s="172">
        <v>100</v>
      </c>
      <c r="P16" s="172">
        <v>100</v>
      </c>
      <c r="Q16" s="172">
        <v>100</v>
      </c>
      <c r="R16" s="173">
        <f t="shared" ref="R16:T44" si="9">L16</f>
        <v>23</v>
      </c>
      <c r="S16" s="173">
        <f t="shared" si="9"/>
        <v>260</v>
      </c>
      <c r="T16" s="173">
        <f t="shared" si="9"/>
        <v>283</v>
      </c>
      <c r="U16" s="181">
        <v>10</v>
      </c>
      <c r="V16" s="181">
        <v>103</v>
      </c>
      <c r="W16" s="173">
        <f t="shared" si="2"/>
        <v>113</v>
      </c>
      <c r="X16" s="173">
        <v>11</v>
      </c>
      <c r="Y16" s="173">
        <v>104</v>
      </c>
      <c r="Z16" s="173">
        <f t="shared" si="3"/>
        <v>115</v>
      </c>
      <c r="AA16" s="178">
        <f t="shared" si="4"/>
        <v>43.478260869565219</v>
      </c>
      <c r="AB16" s="178">
        <f t="shared" si="4"/>
        <v>39.615384615384613</v>
      </c>
      <c r="AC16" s="178">
        <f t="shared" si="4"/>
        <v>39.929328621908127</v>
      </c>
      <c r="AD16" s="179">
        <f t="shared" si="5"/>
        <v>47.826086956521735</v>
      </c>
      <c r="AE16" s="179">
        <f t="shared" si="5"/>
        <v>40</v>
      </c>
      <c r="AF16" s="179">
        <f t="shared" si="5"/>
        <v>40.636042402826853</v>
      </c>
    </row>
    <row r="17" spans="1:32">
      <c r="A17" s="167">
        <v>8</v>
      </c>
      <c r="B17" s="45" t="s">
        <v>54</v>
      </c>
      <c r="C17" s="171">
        <v>769257</v>
      </c>
      <c r="D17" s="171">
        <v>661562</v>
      </c>
      <c r="E17" s="171">
        <v>1430819</v>
      </c>
      <c r="F17" s="171">
        <v>432513</v>
      </c>
      <c r="G17" s="171">
        <v>266483</v>
      </c>
      <c r="H17" s="171">
        <v>698996</v>
      </c>
      <c r="I17" s="171">
        <v>15845</v>
      </c>
      <c r="J17" s="171">
        <v>24949</v>
      </c>
      <c r="K17" s="171">
        <v>40794</v>
      </c>
      <c r="L17" s="168">
        <v>448358</v>
      </c>
      <c r="M17" s="168">
        <v>291432</v>
      </c>
      <c r="N17" s="171">
        <v>739790</v>
      </c>
      <c r="O17" s="172">
        <v>58.284552496759858</v>
      </c>
      <c r="P17" s="172">
        <v>44.052106983170134</v>
      </c>
      <c r="Q17" s="172">
        <v>51.703954168906066</v>
      </c>
      <c r="R17" s="173">
        <f t="shared" si="9"/>
        <v>448358</v>
      </c>
      <c r="S17" s="173">
        <f t="shared" si="9"/>
        <v>291432</v>
      </c>
      <c r="T17" s="173">
        <f t="shared" si="9"/>
        <v>739790</v>
      </c>
      <c r="U17" s="181">
        <v>9448</v>
      </c>
      <c r="V17" s="181">
        <v>3695</v>
      </c>
      <c r="W17" s="173">
        <f t="shared" si="2"/>
        <v>13143</v>
      </c>
      <c r="X17" s="173">
        <v>108910</v>
      </c>
      <c r="Y17" s="173">
        <v>48505</v>
      </c>
      <c r="Z17" s="173">
        <f t="shared" si="3"/>
        <v>157415</v>
      </c>
      <c r="AA17" s="178">
        <f t="shared" si="4"/>
        <v>2.1072446571712784</v>
      </c>
      <c r="AB17" s="178">
        <f t="shared" si="4"/>
        <v>1.2678772406599137</v>
      </c>
      <c r="AC17" s="178">
        <f t="shared" si="4"/>
        <v>1.7765852471647361</v>
      </c>
      <c r="AD17" s="179">
        <f t="shared" si="5"/>
        <v>24.290856859919977</v>
      </c>
      <c r="AE17" s="179">
        <f t="shared" si="5"/>
        <v>16.643676741057948</v>
      </c>
      <c r="AF17" s="179">
        <f t="shared" si="5"/>
        <v>21.278335743927332</v>
      </c>
    </row>
    <row r="18" spans="1:32" ht="28.5">
      <c r="A18" s="167">
        <v>9</v>
      </c>
      <c r="B18" s="45" t="s">
        <v>235</v>
      </c>
      <c r="C18" s="171">
        <v>26709</v>
      </c>
      <c r="D18" s="171">
        <v>50259</v>
      </c>
      <c r="E18" s="171">
        <v>76968</v>
      </c>
      <c r="F18" s="171">
        <v>25955</v>
      </c>
      <c r="G18" s="171">
        <v>49041</v>
      </c>
      <c r="H18" s="171">
        <v>74996</v>
      </c>
      <c r="I18" s="177"/>
      <c r="J18" s="177"/>
      <c r="K18" s="177"/>
      <c r="L18" s="168">
        <v>25955</v>
      </c>
      <c r="M18" s="168">
        <v>49041</v>
      </c>
      <c r="N18" s="171">
        <v>74996</v>
      </c>
      <c r="O18" s="172">
        <v>97.176981541802391</v>
      </c>
      <c r="P18" s="172">
        <v>97.576553453112879</v>
      </c>
      <c r="Q18" s="172">
        <v>97.437896268579152</v>
      </c>
      <c r="R18" s="173">
        <f t="shared" si="9"/>
        <v>25955</v>
      </c>
      <c r="S18" s="173">
        <f t="shared" si="9"/>
        <v>49041</v>
      </c>
      <c r="T18" s="173">
        <f t="shared" si="9"/>
        <v>74996</v>
      </c>
      <c r="U18" s="174"/>
      <c r="V18" s="174"/>
      <c r="W18" s="174"/>
      <c r="X18" s="173">
        <v>5156</v>
      </c>
      <c r="Y18" s="173">
        <v>8346</v>
      </c>
      <c r="Z18" s="173">
        <f t="shared" si="3"/>
        <v>13502</v>
      </c>
      <c r="AA18" s="175"/>
      <c r="AB18" s="175"/>
      <c r="AC18" s="175"/>
      <c r="AD18" s="179">
        <f t="shared" si="5"/>
        <v>19.865151223271045</v>
      </c>
      <c r="AE18" s="179">
        <f t="shared" si="5"/>
        <v>17.018413164495012</v>
      </c>
      <c r="AF18" s="179">
        <f t="shared" si="5"/>
        <v>18.003626860099203</v>
      </c>
    </row>
    <row r="19" spans="1:32" ht="28.5">
      <c r="A19" s="167">
        <v>10</v>
      </c>
      <c r="B19" s="45" t="s">
        <v>56</v>
      </c>
      <c r="C19" s="171">
        <v>204541</v>
      </c>
      <c r="D19" s="171">
        <v>230003</v>
      </c>
      <c r="E19" s="171">
        <v>434544</v>
      </c>
      <c r="F19" s="171">
        <v>110530</v>
      </c>
      <c r="G19" s="171">
        <v>127571</v>
      </c>
      <c r="H19" s="171">
        <v>238101</v>
      </c>
      <c r="I19" s="171">
        <v>3800</v>
      </c>
      <c r="J19" s="171">
        <v>4477</v>
      </c>
      <c r="K19" s="171">
        <v>8277</v>
      </c>
      <c r="L19" s="169">
        <v>114330</v>
      </c>
      <c r="M19" s="169">
        <v>132048</v>
      </c>
      <c r="N19" s="171">
        <v>246378</v>
      </c>
      <c r="O19" s="172">
        <v>55.895883954806123</v>
      </c>
      <c r="P19" s="172">
        <v>57.411425068368672</v>
      </c>
      <c r="Q19" s="172">
        <v>56.69805589307412</v>
      </c>
      <c r="R19" s="173">
        <f t="shared" si="9"/>
        <v>114330</v>
      </c>
      <c r="S19" s="173">
        <f t="shared" si="9"/>
        <v>132048</v>
      </c>
      <c r="T19" s="173">
        <f t="shared" si="9"/>
        <v>246378</v>
      </c>
      <c r="U19" s="181">
        <v>7762</v>
      </c>
      <c r="V19" s="181">
        <v>7765</v>
      </c>
      <c r="W19" s="173">
        <f t="shared" si="2"/>
        <v>15527</v>
      </c>
      <c r="X19" s="173">
        <v>16505</v>
      </c>
      <c r="Y19" s="173">
        <v>18569</v>
      </c>
      <c r="Z19" s="173">
        <f t="shared" si="3"/>
        <v>35074</v>
      </c>
      <c r="AA19" s="178">
        <f t="shared" ref="AA19:AC20" si="10">U19/R19%</f>
        <v>6.7891192163036829</v>
      </c>
      <c r="AB19" s="178">
        <f t="shared" si="10"/>
        <v>5.8804374166969584</v>
      </c>
      <c r="AC19" s="178">
        <f t="shared" si="10"/>
        <v>6.3021048957293262</v>
      </c>
      <c r="AD19" s="179">
        <f t="shared" si="5"/>
        <v>14.43628094113531</v>
      </c>
      <c r="AE19" s="179">
        <f t="shared" si="5"/>
        <v>14.062310674906094</v>
      </c>
      <c r="AF19" s="179">
        <f t="shared" si="5"/>
        <v>14.235848980022565</v>
      </c>
    </row>
    <row r="20" spans="1:32">
      <c r="A20" s="167">
        <v>11</v>
      </c>
      <c r="B20" s="45" t="s">
        <v>93</v>
      </c>
      <c r="C20" s="171">
        <v>55</v>
      </c>
      <c r="D20" s="171">
        <v>54</v>
      </c>
      <c r="E20" s="171">
        <v>109</v>
      </c>
      <c r="F20" s="171">
        <v>20</v>
      </c>
      <c r="G20" s="171">
        <v>48</v>
      </c>
      <c r="H20" s="171">
        <v>68</v>
      </c>
      <c r="I20" s="177">
        <v>0</v>
      </c>
      <c r="J20" s="177">
        <v>0</v>
      </c>
      <c r="K20" s="177">
        <v>0</v>
      </c>
      <c r="L20" s="169">
        <v>20</v>
      </c>
      <c r="M20" s="169">
        <v>48</v>
      </c>
      <c r="N20" s="171">
        <v>68</v>
      </c>
      <c r="O20" s="172">
        <v>36.363636363636367</v>
      </c>
      <c r="P20" s="172">
        <v>88.888888888888886</v>
      </c>
      <c r="Q20" s="172">
        <v>62.385321100917437</v>
      </c>
      <c r="R20" s="173">
        <f t="shared" si="9"/>
        <v>20</v>
      </c>
      <c r="S20" s="173">
        <f t="shared" si="9"/>
        <v>48</v>
      </c>
      <c r="T20" s="173">
        <f t="shared" si="9"/>
        <v>68</v>
      </c>
      <c r="U20" s="181">
        <v>0</v>
      </c>
      <c r="V20" s="181">
        <v>0</v>
      </c>
      <c r="W20" s="173">
        <v>0</v>
      </c>
      <c r="X20" s="173">
        <v>2</v>
      </c>
      <c r="Y20" s="173">
        <v>6</v>
      </c>
      <c r="Z20" s="173">
        <f t="shared" si="3"/>
        <v>8</v>
      </c>
      <c r="AA20" s="178">
        <f t="shared" si="10"/>
        <v>0</v>
      </c>
      <c r="AB20" s="178">
        <f t="shared" si="10"/>
        <v>0</v>
      </c>
      <c r="AC20" s="178">
        <f t="shared" si="10"/>
        <v>0</v>
      </c>
      <c r="AD20" s="179">
        <f t="shared" si="5"/>
        <v>10</v>
      </c>
      <c r="AE20" s="179">
        <f t="shared" si="5"/>
        <v>12.5</v>
      </c>
      <c r="AF20" s="179">
        <f t="shared" si="5"/>
        <v>11.76470588235294</v>
      </c>
    </row>
    <row r="21" spans="1:32" ht="28.5">
      <c r="A21" s="167">
        <v>12</v>
      </c>
      <c r="B21" s="45" t="s">
        <v>58</v>
      </c>
      <c r="C21" s="171">
        <v>426</v>
      </c>
      <c r="D21" s="171">
        <v>395</v>
      </c>
      <c r="E21" s="171">
        <v>821</v>
      </c>
      <c r="F21" s="171">
        <v>398</v>
      </c>
      <c r="G21" s="171">
        <v>389</v>
      </c>
      <c r="H21" s="171">
        <v>787</v>
      </c>
      <c r="I21" s="171">
        <v>7</v>
      </c>
      <c r="J21" s="171">
        <v>3</v>
      </c>
      <c r="K21" s="171">
        <v>10</v>
      </c>
      <c r="L21" s="168">
        <v>405</v>
      </c>
      <c r="M21" s="168">
        <v>392</v>
      </c>
      <c r="N21" s="171">
        <v>797</v>
      </c>
      <c r="O21" s="172">
        <v>95.070422535211264</v>
      </c>
      <c r="P21" s="172">
        <v>99.240506329113913</v>
      </c>
      <c r="Q21" s="172">
        <v>97.076735688185138</v>
      </c>
      <c r="R21" s="173">
        <f t="shared" si="9"/>
        <v>405</v>
      </c>
      <c r="S21" s="173">
        <f t="shared" si="9"/>
        <v>392</v>
      </c>
      <c r="T21" s="173">
        <f t="shared" si="9"/>
        <v>797</v>
      </c>
      <c r="U21" s="181">
        <v>1</v>
      </c>
      <c r="V21" s="181">
        <v>1</v>
      </c>
      <c r="W21" s="173">
        <f t="shared" si="2"/>
        <v>2</v>
      </c>
      <c r="X21" s="173">
        <v>116</v>
      </c>
      <c r="Y21" s="173">
        <v>129</v>
      </c>
      <c r="Z21" s="173">
        <f t="shared" si="3"/>
        <v>245</v>
      </c>
      <c r="AA21" s="178">
        <f t="shared" si="4"/>
        <v>0.24691358024691359</v>
      </c>
      <c r="AB21" s="178">
        <f t="shared" si="4"/>
        <v>0.25510204081632654</v>
      </c>
      <c r="AC21" s="178">
        <f t="shared" si="4"/>
        <v>0.25094102885821834</v>
      </c>
      <c r="AD21" s="179">
        <f t="shared" si="5"/>
        <v>28.641975308641978</v>
      </c>
      <c r="AE21" s="179">
        <f t="shared" si="5"/>
        <v>32.908163265306122</v>
      </c>
      <c r="AF21" s="179">
        <f t="shared" si="5"/>
        <v>30.740276035131746</v>
      </c>
    </row>
    <row r="22" spans="1:32" ht="28.5">
      <c r="A22" s="167">
        <v>13</v>
      </c>
      <c r="B22" s="45" t="s">
        <v>60</v>
      </c>
      <c r="C22" s="171">
        <v>10419</v>
      </c>
      <c r="D22" s="171">
        <v>10387</v>
      </c>
      <c r="E22" s="171">
        <v>20806</v>
      </c>
      <c r="F22" s="171">
        <v>9095</v>
      </c>
      <c r="G22" s="171">
        <v>9328</v>
      </c>
      <c r="H22" s="171">
        <v>18423</v>
      </c>
      <c r="I22" s="171">
        <v>289</v>
      </c>
      <c r="J22" s="171">
        <v>259</v>
      </c>
      <c r="K22" s="171">
        <v>548</v>
      </c>
      <c r="L22" s="168">
        <v>9384</v>
      </c>
      <c r="M22" s="168">
        <v>9587</v>
      </c>
      <c r="N22" s="171">
        <v>18971</v>
      </c>
      <c r="O22" s="172">
        <v>90.066225165562912</v>
      </c>
      <c r="P22" s="172">
        <v>92.29806488880331</v>
      </c>
      <c r="Q22" s="172">
        <v>91.180428722483896</v>
      </c>
      <c r="R22" s="173">
        <f t="shared" si="9"/>
        <v>9384</v>
      </c>
      <c r="S22" s="173">
        <f t="shared" si="9"/>
        <v>9587</v>
      </c>
      <c r="T22" s="173">
        <f t="shared" si="9"/>
        <v>18971</v>
      </c>
      <c r="U22" s="181">
        <v>1664</v>
      </c>
      <c r="V22" s="181">
        <v>2602</v>
      </c>
      <c r="W22" s="173">
        <f t="shared" si="2"/>
        <v>4266</v>
      </c>
      <c r="X22" s="173">
        <v>2992</v>
      </c>
      <c r="Y22" s="173">
        <v>3450</v>
      </c>
      <c r="Z22" s="173">
        <f t="shared" si="3"/>
        <v>6442</v>
      </c>
      <c r="AA22" s="178">
        <f t="shared" si="4"/>
        <v>17.732310315430521</v>
      </c>
      <c r="AB22" s="178">
        <f t="shared" si="4"/>
        <v>27.140919995827684</v>
      </c>
      <c r="AC22" s="178">
        <f t="shared" si="4"/>
        <v>22.486953771546045</v>
      </c>
      <c r="AD22" s="179">
        <f t="shared" si="5"/>
        <v>31.884057971014492</v>
      </c>
      <c r="AE22" s="179">
        <f t="shared" si="5"/>
        <v>35.986231354959841</v>
      </c>
      <c r="AF22" s="179">
        <f t="shared" si="5"/>
        <v>33.957092404195876</v>
      </c>
    </row>
    <row r="23" spans="1:32" ht="28.5">
      <c r="A23" s="167">
        <v>14</v>
      </c>
      <c r="B23" s="45" t="s">
        <v>62</v>
      </c>
      <c r="C23" s="171">
        <v>487286</v>
      </c>
      <c r="D23" s="171">
        <v>326286</v>
      </c>
      <c r="E23" s="171">
        <v>813572</v>
      </c>
      <c r="F23" s="171">
        <v>297936</v>
      </c>
      <c r="G23" s="171">
        <v>230513</v>
      </c>
      <c r="H23" s="171">
        <v>528449</v>
      </c>
      <c r="I23" s="171">
        <v>692</v>
      </c>
      <c r="J23" s="171">
        <v>485</v>
      </c>
      <c r="K23" s="171">
        <v>1177</v>
      </c>
      <c r="L23" s="168">
        <v>298628</v>
      </c>
      <c r="M23" s="168">
        <v>230998</v>
      </c>
      <c r="N23" s="171">
        <v>529626</v>
      </c>
      <c r="O23" s="172">
        <v>61.283927713909279</v>
      </c>
      <c r="P23" s="172">
        <v>70.796172682861041</v>
      </c>
      <c r="Q23" s="172">
        <v>65.098848042951332</v>
      </c>
      <c r="R23" s="173">
        <f t="shared" si="9"/>
        <v>298628</v>
      </c>
      <c r="S23" s="173">
        <f t="shared" si="9"/>
        <v>230998</v>
      </c>
      <c r="T23" s="173">
        <f t="shared" si="9"/>
        <v>529626</v>
      </c>
      <c r="U23" s="181">
        <v>30634</v>
      </c>
      <c r="V23" s="181">
        <v>24683</v>
      </c>
      <c r="W23" s="173">
        <f t="shared" si="2"/>
        <v>55317</v>
      </c>
      <c r="X23" s="173">
        <v>79612</v>
      </c>
      <c r="Y23" s="173">
        <v>67624</v>
      </c>
      <c r="Z23" s="173">
        <f t="shared" si="3"/>
        <v>147236</v>
      </c>
      <c r="AA23" s="178">
        <f t="shared" si="4"/>
        <v>10.258247719570837</v>
      </c>
      <c r="AB23" s="178">
        <f t="shared" si="4"/>
        <v>10.685373899341119</v>
      </c>
      <c r="AC23" s="178">
        <f t="shared" si="4"/>
        <v>10.444540109435714</v>
      </c>
      <c r="AD23" s="179">
        <f t="shared" si="5"/>
        <v>26.65925499283389</v>
      </c>
      <c r="AE23" s="179">
        <f t="shared" si="5"/>
        <v>29.274712335171731</v>
      </c>
      <c r="AF23" s="179">
        <f t="shared" si="5"/>
        <v>27.799994713250481</v>
      </c>
    </row>
    <row r="24" spans="1:32">
      <c r="A24" s="167">
        <v>15</v>
      </c>
      <c r="B24" s="43" t="s">
        <v>64</v>
      </c>
      <c r="C24" s="171">
        <v>244135</v>
      </c>
      <c r="D24" s="171">
        <v>155760</v>
      </c>
      <c r="E24" s="171">
        <v>399895</v>
      </c>
      <c r="F24" s="171">
        <v>108046</v>
      </c>
      <c r="G24" s="171">
        <v>79227</v>
      </c>
      <c r="H24" s="171">
        <v>187273</v>
      </c>
      <c r="I24" s="171">
        <v>23822</v>
      </c>
      <c r="J24" s="171">
        <v>13706</v>
      </c>
      <c r="K24" s="171">
        <v>37528</v>
      </c>
      <c r="L24" s="168">
        <v>131868</v>
      </c>
      <c r="M24" s="168">
        <v>92933</v>
      </c>
      <c r="N24" s="171">
        <v>224801</v>
      </c>
      <c r="O24" s="172">
        <v>54.014377291252792</v>
      </c>
      <c r="P24" s="172">
        <v>59.664227015921931</v>
      </c>
      <c r="Q24" s="172">
        <v>56.215006439190283</v>
      </c>
      <c r="R24" s="173">
        <f t="shared" si="9"/>
        <v>131868</v>
      </c>
      <c r="S24" s="173">
        <f t="shared" si="9"/>
        <v>92933</v>
      </c>
      <c r="T24" s="173">
        <f t="shared" si="9"/>
        <v>224801</v>
      </c>
      <c r="U24" s="181">
        <v>1917</v>
      </c>
      <c r="V24" s="181">
        <v>3707</v>
      </c>
      <c r="W24" s="173">
        <f t="shared" si="2"/>
        <v>5624</v>
      </c>
      <c r="X24" s="173">
        <v>29687</v>
      </c>
      <c r="Y24" s="173">
        <v>36264</v>
      </c>
      <c r="Z24" s="173">
        <f t="shared" si="3"/>
        <v>65951</v>
      </c>
      <c r="AA24" s="178">
        <f t="shared" si="4"/>
        <v>1.4537264537264536</v>
      </c>
      <c r="AB24" s="178">
        <f t="shared" si="4"/>
        <v>3.9888952255926311</v>
      </c>
      <c r="AC24" s="178">
        <f t="shared" si="4"/>
        <v>2.5017682305683691</v>
      </c>
      <c r="AD24" s="179">
        <f t="shared" si="5"/>
        <v>22.512664179330844</v>
      </c>
      <c r="AE24" s="179">
        <f t="shared" si="5"/>
        <v>39.021660766358558</v>
      </c>
      <c r="AF24" s="179">
        <f t="shared" si="5"/>
        <v>29.337502947050943</v>
      </c>
    </row>
    <row r="25" spans="1:32">
      <c r="A25" s="167">
        <v>16</v>
      </c>
      <c r="B25" s="45" t="s">
        <v>65</v>
      </c>
      <c r="C25" s="171">
        <v>65752</v>
      </c>
      <c r="D25" s="171">
        <v>56863</v>
      </c>
      <c r="E25" s="171">
        <v>122615</v>
      </c>
      <c r="F25" s="171">
        <v>42420</v>
      </c>
      <c r="G25" s="171">
        <v>39491</v>
      </c>
      <c r="H25" s="171">
        <v>81911</v>
      </c>
      <c r="I25" s="171">
        <v>6513</v>
      </c>
      <c r="J25" s="171">
        <v>5097</v>
      </c>
      <c r="K25" s="171">
        <v>11610</v>
      </c>
      <c r="L25" s="168">
        <v>48933</v>
      </c>
      <c r="M25" s="168">
        <v>44588</v>
      </c>
      <c r="N25" s="171">
        <v>93521</v>
      </c>
      <c r="O25" s="172">
        <v>74.420549945248808</v>
      </c>
      <c r="P25" s="172">
        <v>78.41302780366847</v>
      </c>
      <c r="Q25" s="172">
        <v>76.272071116910652</v>
      </c>
      <c r="R25" s="173">
        <f t="shared" si="9"/>
        <v>48933</v>
      </c>
      <c r="S25" s="173">
        <f t="shared" si="9"/>
        <v>44588</v>
      </c>
      <c r="T25" s="173">
        <f t="shared" si="9"/>
        <v>93521</v>
      </c>
      <c r="U25" s="181">
        <v>9526</v>
      </c>
      <c r="V25" s="181">
        <v>12137</v>
      </c>
      <c r="W25" s="173">
        <f t="shared" si="2"/>
        <v>21663</v>
      </c>
      <c r="X25" s="173">
        <v>18343</v>
      </c>
      <c r="Y25" s="173">
        <v>17513</v>
      </c>
      <c r="Z25" s="173">
        <f t="shared" si="3"/>
        <v>35856</v>
      </c>
      <c r="AA25" s="178">
        <f t="shared" si="4"/>
        <v>19.467435064271555</v>
      </c>
      <c r="AB25" s="178">
        <f t="shared" si="4"/>
        <v>27.220328339463531</v>
      </c>
      <c r="AC25" s="178">
        <f t="shared" si="4"/>
        <v>23.16378139669165</v>
      </c>
      <c r="AD25" s="179">
        <f t="shared" si="5"/>
        <v>37.48595017677232</v>
      </c>
      <c r="AE25" s="179">
        <f t="shared" si="5"/>
        <v>39.277384049520052</v>
      </c>
      <c r="AF25" s="179">
        <f t="shared" si="5"/>
        <v>38.340051966937907</v>
      </c>
    </row>
    <row r="26" spans="1:32">
      <c r="A26" s="167">
        <v>17</v>
      </c>
      <c r="B26" s="45" t="s">
        <v>97</v>
      </c>
      <c r="C26" s="171">
        <v>178202</v>
      </c>
      <c r="D26" s="171">
        <v>136754</v>
      </c>
      <c r="E26" s="171">
        <v>314956</v>
      </c>
      <c r="F26" s="171">
        <v>94017</v>
      </c>
      <c r="G26" s="171">
        <v>76503</v>
      </c>
      <c r="H26" s="171">
        <v>170520</v>
      </c>
      <c r="I26" s="177"/>
      <c r="J26" s="177"/>
      <c r="K26" s="177"/>
      <c r="L26" s="168">
        <v>94017</v>
      </c>
      <c r="M26" s="168">
        <v>76503</v>
      </c>
      <c r="N26" s="171">
        <v>170520</v>
      </c>
      <c r="O26" s="172">
        <v>52.758667130559701</v>
      </c>
      <c r="P26" s="172">
        <v>55.942056539479644</v>
      </c>
      <c r="Q26" s="172">
        <v>54.140895871169306</v>
      </c>
      <c r="R26" s="173">
        <f t="shared" si="9"/>
        <v>94017</v>
      </c>
      <c r="S26" s="173">
        <f t="shared" si="9"/>
        <v>76503</v>
      </c>
      <c r="T26" s="173">
        <f t="shared" si="9"/>
        <v>170520</v>
      </c>
      <c r="U26" s="174"/>
      <c r="V26" s="174"/>
      <c r="W26" s="174"/>
      <c r="X26" s="174"/>
      <c r="Y26" s="174"/>
      <c r="Z26" s="174"/>
      <c r="AA26" s="175"/>
      <c r="AB26" s="175"/>
      <c r="AC26" s="175"/>
      <c r="AD26" s="176"/>
      <c r="AE26" s="176"/>
      <c r="AF26" s="176"/>
    </row>
    <row r="27" spans="1:32" ht="28.5">
      <c r="A27" s="167">
        <v>18</v>
      </c>
      <c r="B27" s="45" t="s">
        <v>95</v>
      </c>
      <c r="C27" s="171">
        <v>235292</v>
      </c>
      <c r="D27" s="171">
        <v>234161</v>
      </c>
      <c r="E27" s="171">
        <v>469453</v>
      </c>
      <c r="F27" s="171">
        <v>164932</v>
      </c>
      <c r="G27" s="171">
        <v>152466</v>
      </c>
      <c r="H27" s="171">
        <v>317398</v>
      </c>
      <c r="I27" s="177">
        <v>0</v>
      </c>
      <c r="J27" s="177">
        <v>0</v>
      </c>
      <c r="K27" s="177">
        <v>0</v>
      </c>
      <c r="L27" s="168">
        <v>164932</v>
      </c>
      <c r="M27" s="168">
        <v>152466</v>
      </c>
      <c r="N27" s="171">
        <v>317398</v>
      </c>
      <c r="O27" s="172">
        <v>70.096730870577844</v>
      </c>
      <c r="P27" s="172">
        <v>65.111611241837892</v>
      </c>
      <c r="Q27" s="172">
        <v>67.610176098565773</v>
      </c>
      <c r="R27" s="173">
        <f t="shared" si="9"/>
        <v>164932</v>
      </c>
      <c r="S27" s="173">
        <f t="shared" si="9"/>
        <v>152466</v>
      </c>
      <c r="T27" s="173">
        <f t="shared" si="9"/>
        <v>317398</v>
      </c>
      <c r="U27" s="181">
        <v>10443</v>
      </c>
      <c r="V27" s="181">
        <v>7991</v>
      </c>
      <c r="W27" s="173">
        <f t="shared" si="2"/>
        <v>18434</v>
      </c>
      <c r="X27" s="173">
        <v>41410</v>
      </c>
      <c r="Y27" s="173">
        <v>35741</v>
      </c>
      <c r="Z27" s="173">
        <f t="shared" si="3"/>
        <v>77151</v>
      </c>
      <c r="AA27" s="178">
        <f t="shared" si="4"/>
        <v>6.3317003371086269</v>
      </c>
      <c r="AB27" s="178">
        <f t="shared" si="4"/>
        <v>5.2411685228182021</v>
      </c>
      <c r="AC27" s="178">
        <f t="shared" si="4"/>
        <v>5.8078500809708942</v>
      </c>
      <c r="AD27" s="179">
        <f t="shared" si="5"/>
        <v>25.107316954866249</v>
      </c>
      <c r="AE27" s="179">
        <f t="shared" si="5"/>
        <v>23.44194771293272</v>
      </c>
      <c r="AF27" s="179">
        <f t="shared" si="5"/>
        <v>24.307336530160871</v>
      </c>
    </row>
    <row r="28" spans="1:32" ht="28.5">
      <c r="A28" s="167">
        <v>19</v>
      </c>
      <c r="B28" s="45" t="s">
        <v>236</v>
      </c>
      <c r="C28" s="171">
        <v>415507</v>
      </c>
      <c r="D28" s="171">
        <v>383866</v>
      </c>
      <c r="E28" s="171">
        <v>799373</v>
      </c>
      <c r="F28" s="171">
        <v>303929</v>
      </c>
      <c r="G28" s="171">
        <v>314594</v>
      </c>
      <c r="H28" s="171">
        <v>618523</v>
      </c>
      <c r="I28" s="171">
        <v>27715</v>
      </c>
      <c r="J28" s="171">
        <v>18304</v>
      </c>
      <c r="K28" s="171">
        <v>46019</v>
      </c>
      <c r="L28" s="168">
        <v>331644</v>
      </c>
      <c r="M28" s="168">
        <v>332898</v>
      </c>
      <c r="N28" s="171">
        <v>664542</v>
      </c>
      <c r="O28" s="172">
        <v>79.816705855737695</v>
      </c>
      <c r="P28" s="172">
        <v>86.722450021622137</v>
      </c>
      <c r="Q28" s="172">
        <v>83.132905414618705</v>
      </c>
      <c r="R28" s="173">
        <f t="shared" si="9"/>
        <v>331644</v>
      </c>
      <c r="S28" s="173">
        <f t="shared" si="9"/>
        <v>332898</v>
      </c>
      <c r="T28" s="173">
        <f t="shared" si="9"/>
        <v>664542</v>
      </c>
      <c r="U28" s="181">
        <v>86569</v>
      </c>
      <c r="V28" s="181">
        <v>119610</v>
      </c>
      <c r="W28" s="173">
        <f t="shared" si="2"/>
        <v>206179</v>
      </c>
      <c r="X28" s="173">
        <v>113490</v>
      </c>
      <c r="Y28" s="173">
        <v>119946</v>
      </c>
      <c r="Z28" s="173">
        <f t="shared" si="3"/>
        <v>233436</v>
      </c>
      <c r="AA28" s="178">
        <f t="shared" si="4"/>
        <v>26.102989953082222</v>
      </c>
      <c r="AB28" s="178">
        <f t="shared" si="4"/>
        <v>35.929924481372673</v>
      </c>
      <c r="AC28" s="178">
        <f t="shared" si="4"/>
        <v>31.025728998317639</v>
      </c>
      <c r="AD28" s="179">
        <f t="shared" si="5"/>
        <v>34.220429134855443</v>
      </c>
      <c r="AE28" s="179">
        <f t="shared" si="5"/>
        <v>36.03085629832561</v>
      </c>
      <c r="AF28" s="179">
        <f t="shared" si="5"/>
        <v>35.127350867213814</v>
      </c>
    </row>
    <row r="29" spans="1:32">
      <c r="A29" s="167">
        <v>20</v>
      </c>
      <c r="B29" s="45" t="s">
        <v>237</v>
      </c>
      <c r="C29" s="171">
        <v>240796</v>
      </c>
      <c r="D29" s="171">
        <v>233007</v>
      </c>
      <c r="E29" s="171">
        <v>473803</v>
      </c>
      <c r="F29" s="171">
        <v>230531</v>
      </c>
      <c r="G29" s="171">
        <v>227548</v>
      </c>
      <c r="H29" s="171">
        <v>458079</v>
      </c>
      <c r="I29" s="171">
        <v>6381</v>
      </c>
      <c r="J29" s="171">
        <v>3750</v>
      </c>
      <c r="K29" s="171">
        <v>10131</v>
      </c>
      <c r="L29" s="168">
        <v>236912</v>
      </c>
      <c r="M29" s="168">
        <v>231298</v>
      </c>
      <c r="N29" s="171">
        <v>468210</v>
      </c>
      <c r="O29" s="172">
        <v>98.387016395621188</v>
      </c>
      <c r="P29" s="172">
        <v>99.266545640259736</v>
      </c>
      <c r="Q29" s="172">
        <v>98.819551585785661</v>
      </c>
      <c r="R29" s="173">
        <f t="shared" si="9"/>
        <v>236912</v>
      </c>
      <c r="S29" s="173">
        <f t="shared" si="9"/>
        <v>231298</v>
      </c>
      <c r="T29" s="173">
        <f t="shared" si="9"/>
        <v>468210</v>
      </c>
      <c r="U29" s="174"/>
      <c r="V29" s="174"/>
      <c r="W29" s="174"/>
      <c r="X29" s="174"/>
      <c r="Y29" s="174"/>
      <c r="Z29" s="174"/>
      <c r="AA29" s="175"/>
      <c r="AB29" s="175"/>
      <c r="AC29" s="175"/>
      <c r="AD29" s="176"/>
      <c r="AE29" s="176"/>
      <c r="AF29" s="176"/>
    </row>
    <row r="30" spans="1:32" ht="42.75">
      <c r="A30" s="167">
        <v>21</v>
      </c>
      <c r="B30" s="45" t="s">
        <v>238</v>
      </c>
      <c r="C30" s="171">
        <v>950264</v>
      </c>
      <c r="D30" s="171">
        <v>768935</v>
      </c>
      <c r="E30" s="171">
        <v>1719199</v>
      </c>
      <c r="F30" s="171">
        <v>797466</v>
      </c>
      <c r="G30" s="171">
        <v>688034</v>
      </c>
      <c r="H30" s="171">
        <v>1485500</v>
      </c>
      <c r="I30" s="171">
        <v>22399</v>
      </c>
      <c r="J30" s="171">
        <v>12305</v>
      </c>
      <c r="K30" s="171">
        <v>34704</v>
      </c>
      <c r="L30" s="168">
        <v>819865</v>
      </c>
      <c r="M30" s="168">
        <v>700339</v>
      </c>
      <c r="N30" s="171">
        <v>1520204</v>
      </c>
      <c r="O30" s="172">
        <v>86.277602855627492</v>
      </c>
      <c r="P30" s="172">
        <v>91.079089910070422</v>
      </c>
      <c r="Q30" s="172">
        <v>88.425132867108459</v>
      </c>
      <c r="R30" s="173">
        <f t="shared" si="9"/>
        <v>819865</v>
      </c>
      <c r="S30" s="173">
        <f t="shared" si="9"/>
        <v>700339</v>
      </c>
      <c r="T30" s="173">
        <f t="shared" si="9"/>
        <v>1520204</v>
      </c>
      <c r="U30" s="181">
        <v>185628</v>
      </c>
      <c r="V30" s="181">
        <v>218825</v>
      </c>
      <c r="W30" s="173">
        <f t="shared" si="2"/>
        <v>404453</v>
      </c>
      <c r="X30" s="173">
        <v>295225</v>
      </c>
      <c r="Y30" s="173">
        <v>271336</v>
      </c>
      <c r="Z30" s="173">
        <f t="shared" si="3"/>
        <v>566561</v>
      </c>
      <c r="AA30" s="178">
        <f t="shared" si="4"/>
        <v>22.641288504814817</v>
      </c>
      <c r="AB30" s="178">
        <f t="shared" si="4"/>
        <v>31.245582496476704</v>
      </c>
      <c r="AC30" s="178">
        <f t="shared" si="4"/>
        <v>26.605179304882764</v>
      </c>
      <c r="AD30" s="179">
        <f t="shared" si="5"/>
        <v>36.008977087691271</v>
      </c>
      <c r="AE30" s="179">
        <f t="shared" si="5"/>
        <v>38.743522779682408</v>
      </c>
      <c r="AF30" s="179">
        <f t="shared" si="5"/>
        <v>37.268748141696769</v>
      </c>
    </row>
    <row r="31" spans="1:32" ht="28.5">
      <c r="A31" s="167">
        <v>22</v>
      </c>
      <c r="B31" s="43" t="s">
        <v>239</v>
      </c>
      <c r="C31" s="171">
        <v>656780</v>
      </c>
      <c r="D31" s="171">
        <v>521996</v>
      </c>
      <c r="E31" s="171">
        <v>1178776</v>
      </c>
      <c r="F31" s="171">
        <v>265451</v>
      </c>
      <c r="G31" s="171">
        <v>238457</v>
      </c>
      <c r="H31" s="171">
        <v>503908</v>
      </c>
      <c r="I31" s="171">
        <v>60841</v>
      </c>
      <c r="J31" s="171">
        <v>54205</v>
      </c>
      <c r="K31" s="171">
        <v>115046</v>
      </c>
      <c r="L31" s="168">
        <v>326292</v>
      </c>
      <c r="M31" s="168">
        <v>292662</v>
      </c>
      <c r="N31" s="171">
        <v>618954</v>
      </c>
      <c r="O31" s="172">
        <v>49.680562745516006</v>
      </c>
      <c r="P31" s="172">
        <v>56.065946865493224</v>
      </c>
      <c r="Q31" s="172">
        <v>52.508194941193246</v>
      </c>
      <c r="R31" s="173">
        <f t="shared" si="9"/>
        <v>326292</v>
      </c>
      <c r="S31" s="173">
        <f t="shared" si="9"/>
        <v>292662</v>
      </c>
      <c r="T31" s="173">
        <f t="shared" si="9"/>
        <v>618954</v>
      </c>
      <c r="U31" s="181">
        <v>35224</v>
      </c>
      <c r="V31" s="181">
        <v>35123</v>
      </c>
      <c r="W31" s="173">
        <f t="shared" si="2"/>
        <v>70347</v>
      </c>
      <c r="X31" s="173">
        <v>75043</v>
      </c>
      <c r="Y31" s="173">
        <v>70814</v>
      </c>
      <c r="Z31" s="173">
        <f t="shared" si="3"/>
        <v>145857</v>
      </c>
      <c r="AA31" s="178">
        <f t="shared" si="4"/>
        <v>10.795238620622019</v>
      </c>
      <c r="AB31" s="178">
        <f t="shared" si="4"/>
        <v>12.001216420307387</v>
      </c>
      <c r="AC31" s="178">
        <f t="shared" si="4"/>
        <v>11.365464961855</v>
      </c>
      <c r="AD31" s="179">
        <f t="shared" si="5"/>
        <v>22.998725068343692</v>
      </c>
      <c r="AE31" s="179">
        <f t="shared" si="5"/>
        <v>24.196513384040294</v>
      </c>
      <c r="AF31" s="179">
        <f t="shared" si="5"/>
        <v>23.565079149662171</v>
      </c>
    </row>
    <row r="32" spans="1:32" ht="28.5">
      <c r="A32" s="167">
        <v>23</v>
      </c>
      <c r="B32" s="43" t="s">
        <v>121</v>
      </c>
      <c r="C32" s="171">
        <v>16227</v>
      </c>
      <c r="D32" s="171">
        <v>15726</v>
      </c>
      <c r="E32" s="171">
        <v>31953</v>
      </c>
      <c r="F32" s="171">
        <v>11077</v>
      </c>
      <c r="G32" s="171">
        <v>9705</v>
      </c>
      <c r="H32" s="171">
        <v>20782</v>
      </c>
      <c r="I32" s="171">
        <v>2149</v>
      </c>
      <c r="J32" s="171">
        <v>2335</v>
      </c>
      <c r="K32" s="171">
        <v>4484</v>
      </c>
      <c r="L32" s="168">
        <v>13226</v>
      </c>
      <c r="M32" s="168">
        <v>12040</v>
      </c>
      <c r="N32" s="171">
        <v>25266</v>
      </c>
      <c r="O32" s="172">
        <v>81.506131755715785</v>
      </c>
      <c r="P32" s="172">
        <v>76.561108991479074</v>
      </c>
      <c r="Q32" s="172">
        <v>79.072387569242323</v>
      </c>
      <c r="R32" s="173">
        <f t="shared" si="9"/>
        <v>13226</v>
      </c>
      <c r="S32" s="173">
        <f t="shared" si="9"/>
        <v>12040</v>
      </c>
      <c r="T32" s="173">
        <f t="shared" si="9"/>
        <v>25266</v>
      </c>
      <c r="U32" s="181">
        <v>502</v>
      </c>
      <c r="V32" s="181">
        <v>417</v>
      </c>
      <c r="W32" s="173">
        <f t="shared" si="2"/>
        <v>919</v>
      </c>
      <c r="X32" s="173">
        <v>3200</v>
      </c>
      <c r="Y32" s="173">
        <v>2710</v>
      </c>
      <c r="Z32" s="173">
        <f t="shared" si="3"/>
        <v>5910</v>
      </c>
      <c r="AA32" s="178">
        <f t="shared" si="4"/>
        <v>3.7955542114017846</v>
      </c>
      <c r="AB32" s="178">
        <f t="shared" si="4"/>
        <v>3.463455149501661</v>
      </c>
      <c r="AC32" s="178">
        <f t="shared" si="4"/>
        <v>3.6372991371804004</v>
      </c>
      <c r="AD32" s="179">
        <f t="shared" si="5"/>
        <v>24.194767881445639</v>
      </c>
      <c r="AE32" s="179">
        <f t="shared" si="5"/>
        <v>22.50830564784053</v>
      </c>
      <c r="AF32" s="179">
        <f t="shared" si="5"/>
        <v>23.391118499168844</v>
      </c>
    </row>
    <row r="33" spans="1:32" ht="28.5">
      <c r="A33" s="167">
        <v>24</v>
      </c>
      <c r="B33" s="67" t="s">
        <v>106</v>
      </c>
      <c r="C33" s="187">
        <v>23417</v>
      </c>
      <c r="D33" s="187">
        <v>26709</v>
      </c>
      <c r="E33" s="187">
        <v>50126</v>
      </c>
      <c r="F33" s="187">
        <v>12488</v>
      </c>
      <c r="G33" s="187">
        <v>14655</v>
      </c>
      <c r="H33" s="187">
        <v>27143</v>
      </c>
      <c r="I33" s="186">
        <v>0</v>
      </c>
      <c r="J33" s="186">
        <v>0</v>
      </c>
      <c r="K33" s="186">
        <v>0</v>
      </c>
      <c r="L33" s="183">
        <v>12488</v>
      </c>
      <c r="M33" s="183">
        <v>14655</v>
      </c>
      <c r="N33" s="187">
        <v>27143</v>
      </c>
      <c r="O33" s="185">
        <v>53.328778238032207</v>
      </c>
      <c r="P33" s="185">
        <v>54.86914523194428</v>
      </c>
      <c r="Q33" s="185">
        <v>54.149543151258825</v>
      </c>
      <c r="R33" s="184">
        <f t="shared" si="9"/>
        <v>12488</v>
      </c>
      <c r="S33" s="184">
        <f t="shared" si="9"/>
        <v>14655</v>
      </c>
      <c r="T33" s="184">
        <f t="shared" si="9"/>
        <v>27143</v>
      </c>
      <c r="U33" s="184">
        <v>619</v>
      </c>
      <c r="V33" s="184">
        <v>694</v>
      </c>
      <c r="W33" s="184">
        <f t="shared" si="2"/>
        <v>1313</v>
      </c>
      <c r="X33" s="184">
        <v>2042</v>
      </c>
      <c r="Y33" s="184">
        <v>2292</v>
      </c>
      <c r="Z33" s="184">
        <f t="shared" si="3"/>
        <v>4334</v>
      </c>
      <c r="AA33" s="185">
        <f t="shared" si="4"/>
        <v>4.9567584881486226</v>
      </c>
      <c r="AB33" s="185">
        <f t="shared" si="4"/>
        <v>4.7355851245308767</v>
      </c>
      <c r="AC33" s="185">
        <f t="shared" si="4"/>
        <v>4.8373429613528351</v>
      </c>
      <c r="AD33" s="188">
        <f t="shared" si="5"/>
        <v>16.351697629724537</v>
      </c>
      <c r="AE33" s="188">
        <f t="shared" si="5"/>
        <v>15.639713408393039</v>
      </c>
      <c r="AF33" s="188">
        <f t="shared" si="5"/>
        <v>15.967284382713775</v>
      </c>
    </row>
    <row r="34" spans="1:32">
      <c r="A34" s="167">
        <v>25</v>
      </c>
      <c r="B34" s="45" t="s">
        <v>240</v>
      </c>
      <c r="C34" s="171">
        <v>8919</v>
      </c>
      <c r="D34" s="171">
        <v>9139</v>
      </c>
      <c r="E34" s="171">
        <v>18058</v>
      </c>
      <c r="F34" s="171">
        <v>6187</v>
      </c>
      <c r="G34" s="171">
        <v>6240</v>
      </c>
      <c r="H34" s="171">
        <v>12427</v>
      </c>
      <c r="I34" s="171">
        <v>198</v>
      </c>
      <c r="J34" s="171">
        <v>207</v>
      </c>
      <c r="K34" s="171">
        <v>405</v>
      </c>
      <c r="L34" s="168">
        <v>6385</v>
      </c>
      <c r="M34" s="168">
        <v>6447</v>
      </c>
      <c r="N34" s="171">
        <v>12832</v>
      </c>
      <c r="O34" s="172">
        <v>71.588743132638186</v>
      </c>
      <c r="P34" s="172">
        <v>70.543823175402125</v>
      </c>
      <c r="Q34" s="172">
        <v>71.059918041865103</v>
      </c>
      <c r="R34" s="173">
        <f t="shared" si="9"/>
        <v>6385</v>
      </c>
      <c r="S34" s="173">
        <f t="shared" si="9"/>
        <v>6447</v>
      </c>
      <c r="T34" s="173">
        <f t="shared" si="9"/>
        <v>12832</v>
      </c>
      <c r="U34" s="181">
        <v>303</v>
      </c>
      <c r="V34" s="181">
        <v>308</v>
      </c>
      <c r="W34" s="173">
        <f t="shared" si="2"/>
        <v>611</v>
      </c>
      <c r="X34" s="173">
        <v>968</v>
      </c>
      <c r="Y34" s="173">
        <v>1022</v>
      </c>
      <c r="Z34" s="173">
        <f t="shared" si="3"/>
        <v>1990</v>
      </c>
      <c r="AA34" s="178">
        <f t="shared" si="4"/>
        <v>4.7454972592012528</v>
      </c>
      <c r="AB34" s="178">
        <f t="shared" si="4"/>
        <v>4.7774158523344195</v>
      </c>
      <c r="AC34" s="178">
        <f t="shared" si="4"/>
        <v>4.7615336658354117</v>
      </c>
      <c r="AD34" s="179">
        <f t="shared" si="5"/>
        <v>15.160532498042286</v>
      </c>
      <c r="AE34" s="179">
        <f t="shared" si="5"/>
        <v>15.852334419109663</v>
      </c>
      <c r="AF34" s="179">
        <f t="shared" si="5"/>
        <v>15.508104738154614</v>
      </c>
    </row>
    <row r="35" spans="1:32" ht="28.5">
      <c r="A35" s="167">
        <v>26</v>
      </c>
      <c r="B35" s="45" t="s">
        <v>241</v>
      </c>
      <c r="C35" s="171">
        <v>11071</v>
      </c>
      <c r="D35" s="171">
        <v>11899</v>
      </c>
      <c r="E35" s="171">
        <v>22970</v>
      </c>
      <c r="F35" s="171">
        <v>7377</v>
      </c>
      <c r="G35" s="171">
        <v>7650</v>
      </c>
      <c r="H35" s="171">
        <v>15027</v>
      </c>
      <c r="I35" s="171">
        <v>220</v>
      </c>
      <c r="J35" s="171">
        <v>233</v>
      </c>
      <c r="K35" s="171">
        <v>453</v>
      </c>
      <c r="L35" s="168">
        <v>7597</v>
      </c>
      <c r="M35" s="168">
        <v>7883</v>
      </c>
      <c r="N35" s="171">
        <v>15480</v>
      </c>
      <c r="O35" s="172">
        <v>68.620720802095576</v>
      </c>
      <c r="P35" s="172">
        <v>66.249264644087731</v>
      </c>
      <c r="Q35" s="172">
        <v>67.392250761863309</v>
      </c>
      <c r="R35" s="173">
        <f t="shared" si="9"/>
        <v>7597</v>
      </c>
      <c r="S35" s="173">
        <f t="shared" si="9"/>
        <v>7883</v>
      </c>
      <c r="T35" s="173">
        <f t="shared" si="9"/>
        <v>15480</v>
      </c>
      <c r="U35" s="181">
        <v>694</v>
      </c>
      <c r="V35" s="181">
        <v>966</v>
      </c>
      <c r="W35" s="173">
        <f t="shared" si="2"/>
        <v>1660</v>
      </c>
      <c r="X35" s="173">
        <v>2064</v>
      </c>
      <c r="Y35" s="173">
        <v>2425</v>
      </c>
      <c r="Z35" s="173">
        <f t="shared" si="3"/>
        <v>4489</v>
      </c>
      <c r="AA35" s="178">
        <f t="shared" si="4"/>
        <v>9.1351849414242459</v>
      </c>
      <c r="AB35" s="178">
        <f t="shared" si="4"/>
        <v>12.254217937333502</v>
      </c>
      <c r="AC35" s="178">
        <f t="shared" si="4"/>
        <v>10.723514211886304</v>
      </c>
      <c r="AD35" s="179">
        <f t="shared" si="5"/>
        <v>27.168619191786231</v>
      </c>
      <c r="AE35" s="179">
        <f t="shared" si="5"/>
        <v>30.762400101484207</v>
      </c>
      <c r="AF35" s="179">
        <f t="shared" si="5"/>
        <v>28.998708010335914</v>
      </c>
    </row>
    <row r="36" spans="1:32" ht="28.5">
      <c r="A36" s="167">
        <v>27</v>
      </c>
      <c r="B36" s="43" t="s">
        <v>242</v>
      </c>
      <c r="C36" s="171">
        <v>284290</v>
      </c>
      <c r="D36" s="171">
        <v>286490</v>
      </c>
      <c r="E36" s="171">
        <v>570780</v>
      </c>
      <c r="F36" s="171">
        <v>234992</v>
      </c>
      <c r="G36" s="171">
        <v>239920</v>
      </c>
      <c r="H36" s="171">
        <v>474912</v>
      </c>
      <c r="I36" s="171">
        <v>2311</v>
      </c>
      <c r="J36" s="171">
        <v>1992</v>
      </c>
      <c r="K36" s="171">
        <v>4303</v>
      </c>
      <c r="L36" s="168">
        <v>237303</v>
      </c>
      <c r="M36" s="168">
        <v>241912</v>
      </c>
      <c r="N36" s="171">
        <v>479215</v>
      </c>
      <c r="O36" s="172">
        <v>83.472158711175197</v>
      </c>
      <c r="P36" s="172">
        <v>84.439945547837624</v>
      </c>
      <c r="Q36" s="172">
        <v>83.957917236062926</v>
      </c>
      <c r="R36" s="173">
        <f t="shared" si="9"/>
        <v>237303</v>
      </c>
      <c r="S36" s="173">
        <f t="shared" si="9"/>
        <v>241912</v>
      </c>
      <c r="T36" s="173">
        <f t="shared" si="9"/>
        <v>479215</v>
      </c>
      <c r="U36" s="174"/>
      <c r="V36" s="174"/>
      <c r="W36" s="174"/>
      <c r="X36" s="174"/>
      <c r="Y36" s="174"/>
      <c r="Z36" s="174"/>
      <c r="AA36" s="175"/>
      <c r="AB36" s="175"/>
      <c r="AC36" s="175"/>
      <c r="AD36" s="176"/>
      <c r="AE36" s="176"/>
      <c r="AF36" s="176"/>
    </row>
    <row r="37" spans="1:32">
      <c r="A37" s="167">
        <v>28</v>
      </c>
      <c r="B37" s="45" t="s">
        <v>70</v>
      </c>
      <c r="C37" s="171">
        <v>190512</v>
      </c>
      <c r="D37" s="171">
        <v>151817</v>
      </c>
      <c r="E37" s="171">
        <v>342329</v>
      </c>
      <c r="F37" s="171">
        <v>128466</v>
      </c>
      <c r="G37" s="171">
        <v>118874</v>
      </c>
      <c r="H37" s="171">
        <v>247340</v>
      </c>
      <c r="I37" s="175"/>
      <c r="J37" s="175"/>
      <c r="K37" s="175"/>
      <c r="L37" s="168">
        <v>128466</v>
      </c>
      <c r="M37" s="168">
        <v>118874</v>
      </c>
      <c r="N37" s="171">
        <v>247340</v>
      </c>
      <c r="O37" s="172">
        <v>67.431972789115648</v>
      </c>
      <c r="P37" s="172">
        <v>78.300849048525521</v>
      </c>
      <c r="Q37" s="172">
        <v>72.252131721238925</v>
      </c>
      <c r="R37" s="173">
        <f t="shared" si="9"/>
        <v>128466</v>
      </c>
      <c r="S37" s="173">
        <f t="shared" si="9"/>
        <v>118874</v>
      </c>
      <c r="T37" s="173">
        <f t="shared" si="9"/>
        <v>247340</v>
      </c>
      <c r="U37" s="174"/>
      <c r="V37" s="174"/>
      <c r="W37" s="174"/>
      <c r="X37" s="174"/>
      <c r="Y37" s="174"/>
      <c r="Z37" s="174"/>
      <c r="AA37" s="175"/>
      <c r="AB37" s="175"/>
      <c r="AC37" s="175"/>
      <c r="AD37" s="176"/>
      <c r="AE37" s="176"/>
      <c r="AF37" s="176"/>
    </row>
    <row r="38" spans="1:32" ht="28.5">
      <c r="A38" s="167">
        <v>29</v>
      </c>
      <c r="B38" s="43" t="s">
        <v>243</v>
      </c>
      <c r="C38" s="171">
        <v>632924</v>
      </c>
      <c r="D38" s="171">
        <v>448800</v>
      </c>
      <c r="E38" s="171">
        <v>1081724</v>
      </c>
      <c r="F38" s="171">
        <v>465062</v>
      </c>
      <c r="G38" s="171">
        <v>333802</v>
      </c>
      <c r="H38" s="171">
        <v>798864</v>
      </c>
      <c r="I38" s="171">
        <v>8154</v>
      </c>
      <c r="J38" s="171">
        <v>7827</v>
      </c>
      <c r="K38" s="171">
        <v>15981</v>
      </c>
      <c r="L38" s="168">
        <v>473216</v>
      </c>
      <c r="M38" s="168">
        <v>341629</v>
      </c>
      <c r="N38" s="171">
        <v>814845</v>
      </c>
      <c r="O38" s="172">
        <v>74.766638648558128</v>
      </c>
      <c r="P38" s="172">
        <v>76.120543672014264</v>
      </c>
      <c r="Q38" s="172">
        <v>75.328364721500122</v>
      </c>
      <c r="R38" s="173">
        <f>L38</f>
        <v>473216</v>
      </c>
      <c r="S38" s="173">
        <f>M38</f>
        <v>341629</v>
      </c>
      <c r="T38" s="173">
        <f>N38</f>
        <v>814845</v>
      </c>
      <c r="U38" s="181">
        <v>49698</v>
      </c>
      <c r="V38" s="181">
        <v>33887</v>
      </c>
      <c r="W38" s="173">
        <f t="shared" si="2"/>
        <v>83585</v>
      </c>
      <c r="X38" s="173">
        <v>120699</v>
      </c>
      <c r="Y38" s="173">
        <v>89864</v>
      </c>
      <c r="Z38" s="173">
        <f t="shared" si="3"/>
        <v>210563</v>
      </c>
      <c r="AA38" s="178">
        <f>U38/R38%</f>
        <v>10.502180822288341</v>
      </c>
      <c r="AB38" s="178">
        <f>V38/S38%</f>
        <v>9.9192398771767039</v>
      </c>
      <c r="AC38" s="178">
        <f>W38/T38%</f>
        <v>10.257779086820193</v>
      </c>
      <c r="AD38" s="179">
        <f>X38/R38%</f>
        <v>25.506111374087098</v>
      </c>
      <c r="AE38" s="179">
        <f>Y38/S38%</f>
        <v>26.304558453761246</v>
      </c>
      <c r="AF38" s="179">
        <f>Z38/T38%</f>
        <v>25.840865440666629</v>
      </c>
    </row>
    <row r="39" spans="1:32" ht="28.5">
      <c r="A39" s="167">
        <v>30</v>
      </c>
      <c r="B39" s="45" t="s">
        <v>244</v>
      </c>
      <c r="C39" s="171">
        <v>543993</v>
      </c>
      <c r="D39" s="171">
        <v>516436</v>
      </c>
      <c r="E39" s="171">
        <v>1060429</v>
      </c>
      <c r="F39" s="171">
        <v>470720</v>
      </c>
      <c r="G39" s="171">
        <v>487868</v>
      </c>
      <c r="H39" s="171">
        <v>958588</v>
      </c>
      <c r="I39" s="171">
        <v>3274</v>
      </c>
      <c r="J39" s="171">
        <v>1419</v>
      </c>
      <c r="K39" s="171">
        <v>4693</v>
      </c>
      <c r="L39" s="168">
        <v>473994</v>
      </c>
      <c r="M39" s="168">
        <v>489287</v>
      </c>
      <c r="N39" s="171">
        <v>963281</v>
      </c>
      <c r="O39" s="172">
        <v>87.132371188599862</v>
      </c>
      <c r="P39" s="172">
        <v>94.743007846083543</v>
      </c>
      <c r="Q39" s="172">
        <v>90.838802032007806</v>
      </c>
      <c r="R39" s="173">
        <f t="shared" si="9"/>
        <v>473994</v>
      </c>
      <c r="S39" s="173">
        <f t="shared" si="9"/>
        <v>489287</v>
      </c>
      <c r="T39" s="173">
        <f t="shared" si="9"/>
        <v>963281</v>
      </c>
      <c r="U39" s="181">
        <v>191678</v>
      </c>
      <c r="V39" s="181">
        <v>261716</v>
      </c>
      <c r="W39" s="173">
        <f t="shared" si="2"/>
        <v>453394</v>
      </c>
      <c r="X39" s="173">
        <v>144320</v>
      </c>
      <c r="Y39" s="173">
        <v>135923</v>
      </c>
      <c r="Z39" s="173">
        <f t="shared" si="3"/>
        <v>280243</v>
      </c>
      <c r="AA39" s="178">
        <f t="shared" si="4"/>
        <v>40.438908509390416</v>
      </c>
      <c r="AB39" s="178">
        <f t="shared" si="4"/>
        <v>53.489260904131932</v>
      </c>
      <c r="AC39" s="178">
        <f t="shared" si="4"/>
        <v>47.067678071092445</v>
      </c>
      <c r="AD39" s="179">
        <f t="shared" si="5"/>
        <v>30.44764279716621</v>
      </c>
      <c r="AE39" s="179">
        <f t="shared" si="5"/>
        <v>27.779810213637397</v>
      </c>
      <c r="AF39" s="179">
        <f t="shared" si="5"/>
        <v>29.092549318423181</v>
      </c>
    </row>
    <row r="40" spans="1:32" ht="28.5">
      <c r="A40" s="167">
        <v>31</v>
      </c>
      <c r="B40" s="45" t="s">
        <v>102</v>
      </c>
      <c r="C40" s="171">
        <v>23051</v>
      </c>
      <c r="D40" s="171">
        <v>22484</v>
      </c>
      <c r="E40" s="171">
        <v>45535</v>
      </c>
      <c r="F40" s="171">
        <v>13093</v>
      </c>
      <c r="G40" s="171">
        <v>12123</v>
      </c>
      <c r="H40" s="171">
        <v>25216</v>
      </c>
      <c r="I40" s="171">
        <v>0</v>
      </c>
      <c r="J40" s="171">
        <v>0</v>
      </c>
      <c r="K40" s="171">
        <v>0</v>
      </c>
      <c r="L40" s="168">
        <v>13093</v>
      </c>
      <c r="M40" s="168">
        <v>12123</v>
      </c>
      <c r="N40" s="171">
        <v>25216</v>
      </c>
      <c r="O40" s="172">
        <v>56.800138822610734</v>
      </c>
      <c r="P40" s="172">
        <v>53.918341932040562</v>
      </c>
      <c r="Q40" s="172">
        <v>55.377182387174706</v>
      </c>
      <c r="R40" s="173">
        <f t="shared" si="9"/>
        <v>13093</v>
      </c>
      <c r="S40" s="173">
        <f t="shared" si="9"/>
        <v>12123</v>
      </c>
      <c r="T40" s="173">
        <f t="shared" si="9"/>
        <v>25216</v>
      </c>
      <c r="U40" s="181">
        <v>416</v>
      </c>
      <c r="V40" s="181">
        <v>297</v>
      </c>
      <c r="W40" s="173">
        <f t="shared" si="2"/>
        <v>713</v>
      </c>
      <c r="X40" s="173">
        <v>954</v>
      </c>
      <c r="Y40" s="173">
        <v>800</v>
      </c>
      <c r="Z40" s="173">
        <f t="shared" si="3"/>
        <v>1754</v>
      </c>
      <c r="AA40" s="178">
        <f t="shared" si="4"/>
        <v>3.1772702971053235</v>
      </c>
      <c r="AB40" s="178">
        <f t="shared" si="4"/>
        <v>2.4498886414253898</v>
      </c>
      <c r="AC40" s="178">
        <f t="shared" si="4"/>
        <v>2.8275697969543145</v>
      </c>
      <c r="AD40" s="179">
        <f t="shared" si="5"/>
        <v>7.28633621018865</v>
      </c>
      <c r="AE40" s="179">
        <f t="shared" si="5"/>
        <v>6.5990266435700731</v>
      </c>
      <c r="AF40" s="179">
        <f t="shared" si="5"/>
        <v>6.9559010152284264</v>
      </c>
    </row>
    <row r="41" spans="1:32" ht="28.5">
      <c r="A41" s="167">
        <v>32</v>
      </c>
      <c r="B41" s="45" t="s">
        <v>245</v>
      </c>
      <c r="C41" s="171">
        <v>1781384</v>
      </c>
      <c r="D41" s="171">
        <v>1464164</v>
      </c>
      <c r="E41" s="171">
        <v>3245548</v>
      </c>
      <c r="F41" s="171">
        <v>1513421</v>
      </c>
      <c r="G41" s="171">
        <v>1336836</v>
      </c>
      <c r="H41" s="171">
        <v>2850257</v>
      </c>
      <c r="I41" s="177">
        <v>0</v>
      </c>
      <c r="J41" s="177">
        <v>0</v>
      </c>
      <c r="K41" s="177">
        <v>0</v>
      </c>
      <c r="L41" s="168">
        <v>1513421</v>
      </c>
      <c r="M41" s="168">
        <v>1336836</v>
      </c>
      <c r="N41" s="171">
        <v>2850257</v>
      </c>
      <c r="O41" s="172">
        <v>84.957594769011052</v>
      </c>
      <c r="P41" s="172">
        <v>91.30370641540155</v>
      </c>
      <c r="Q41" s="172">
        <v>87.820515980660275</v>
      </c>
      <c r="R41" s="173">
        <f t="shared" si="9"/>
        <v>1513421</v>
      </c>
      <c r="S41" s="173">
        <f t="shared" si="9"/>
        <v>1336836</v>
      </c>
      <c r="T41" s="173">
        <f t="shared" si="9"/>
        <v>2850257</v>
      </c>
      <c r="U41" s="181">
        <v>356073</v>
      </c>
      <c r="V41" s="181">
        <v>389932</v>
      </c>
      <c r="W41" s="173">
        <f t="shared" si="2"/>
        <v>746005</v>
      </c>
      <c r="X41" s="173">
        <v>795954</v>
      </c>
      <c r="Y41" s="173">
        <v>723765</v>
      </c>
      <c r="Z41" s="173">
        <f t="shared" si="3"/>
        <v>1519719</v>
      </c>
      <c r="AA41" s="178">
        <f t="shared" si="4"/>
        <v>23.527689915760387</v>
      </c>
      <c r="AB41" s="178">
        <f t="shared" si="4"/>
        <v>29.168274941728079</v>
      </c>
      <c r="AC41" s="178">
        <f t="shared" si="4"/>
        <v>26.173253850442258</v>
      </c>
      <c r="AD41" s="179">
        <f t="shared" si="5"/>
        <v>52.59303260626092</v>
      </c>
      <c r="AE41" s="179">
        <f t="shared" si="5"/>
        <v>54.140148829026145</v>
      </c>
      <c r="AF41" s="179">
        <f t="shared" si="5"/>
        <v>53.318665650150145</v>
      </c>
    </row>
    <row r="42" spans="1:32" ht="28.5">
      <c r="A42" s="167">
        <v>33</v>
      </c>
      <c r="B42" s="45" t="s">
        <v>247</v>
      </c>
      <c r="C42" s="171">
        <v>82434</v>
      </c>
      <c r="D42" s="171">
        <v>80431</v>
      </c>
      <c r="E42" s="171">
        <v>162865</v>
      </c>
      <c r="F42" s="171">
        <v>58104</v>
      </c>
      <c r="G42" s="171">
        <v>61563</v>
      </c>
      <c r="H42" s="171">
        <v>119667</v>
      </c>
      <c r="I42" s="177"/>
      <c r="J42" s="177"/>
      <c r="K42" s="177"/>
      <c r="L42" s="168">
        <v>58104</v>
      </c>
      <c r="M42" s="168">
        <v>61563</v>
      </c>
      <c r="N42" s="171">
        <v>119667</v>
      </c>
      <c r="O42" s="172">
        <v>70.485479292524928</v>
      </c>
      <c r="P42" s="172">
        <v>76.541383297484799</v>
      </c>
      <c r="Q42" s="172">
        <v>73.476191938108244</v>
      </c>
      <c r="R42" s="173">
        <f t="shared" si="9"/>
        <v>58104</v>
      </c>
      <c r="S42" s="173">
        <f t="shared" si="9"/>
        <v>61563</v>
      </c>
      <c r="T42" s="173">
        <f t="shared" si="9"/>
        <v>119667</v>
      </c>
      <c r="U42" s="181">
        <v>2454</v>
      </c>
      <c r="V42" s="181">
        <v>2454</v>
      </c>
      <c r="W42" s="173">
        <f t="shared" si="2"/>
        <v>4908</v>
      </c>
      <c r="X42" s="173">
        <v>9728</v>
      </c>
      <c r="Y42" s="173">
        <v>14624</v>
      </c>
      <c r="Z42" s="173">
        <f t="shared" si="3"/>
        <v>24352</v>
      </c>
      <c r="AA42" s="178">
        <f t="shared" si="4"/>
        <v>4.223461379595209</v>
      </c>
      <c r="AB42" s="178">
        <f t="shared" si="4"/>
        <v>3.9861605184932509</v>
      </c>
      <c r="AC42" s="178">
        <f t="shared" si="4"/>
        <v>4.1013813331996287</v>
      </c>
      <c r="AD42" s="179">
        <f t="shared" si="5"/>
        <v>16.742392950571389</v>
      </c>
      <c r="AE42" s="179">
        <f t="shared" si="5"/>
        <v>23.75452788200705</v>
      </c>
      <c r="AF42" s="179">
        <f t="shared" si="5"/>
        <v>20.349804039543063</v>
      </c>
    </row>
    <row r="43" spans="1:32" ht="28.5">
      <c r="A43" s="167">
        <v>34</v>
      </c>
      <c r="B43" s="45" t="s">
        <v>104</v>
      </c>
      <c r="C43" s="171">
        <v>519790</v>
      </c>
      <c r="D43" s="171">
        <v>624307</v>
      </c>
      <c r="E43" s="171">
        <v>1144097</v>
      </c>
      <c r="F43" s="171">
        <v>442461</v>
      </c>
      <c r="G43" s="171">
        <v>485594</v>
      </c>
      <c r="H43" s="171">
        <v>928055</v>
      </c>
      <c r="I43" s="177"/>
      <c r="J43" s="177"/>
      <c r="K43" s="177"/>
      <c r="L43" s="168">
        <v>442461</v>
      </c>
      <c r="M43" s="168">
        <v>485594</v>
      </c>
      <c r="N43" s="171">
        <v>928055</v>
      </c>
      <c r="O43" s="172">
        <v>85.123030454606663</v>
      </c>
      <c r="P43" s="172">
        <v>77.781283887574531</v>
      </c>
      <c r="Q43" s="172">
        <v>81.116810899775103</v>
      </c>
      <c r="R43" s="173">
        <f t="shared" si="9"/>
        <v>442461</v>
      </c>
      <c r="S43" s="173">
        <f t="shared" si="9"/>
        <v>485594</v>
      </c>
      <c r="T43" s="173">
        <f t="shared" si="9"/>
        <v>928055</v>
      </c>
      <c r="U43" s="181">
        <v>28169</v>
      </c>
      <c r="V43" s="181">
        <v>20060</v>
      </c>
      <c r="W43" s="173">
        <f t="shared" si="2"/>
        <v>48229</v>
      </c>
      <c r="X43" s="173">
        <v>37555</v>
      </c>
      <c r="Y43" s="173">
        <v>33938</v>
      </c>
      <c r="Z43" s="173">
        <f t="shared" si="3"/>
        <v>71493</v>
      </c>
      <c r="AA43" s="178">
        <f t="shared" si="4"/>
        <v>6.3664368159001592</v>
      </c>
      <c r="AB43" s="178">
        <f t="shared" si="4"/>
        <v>4.1310230357047253</v>
      </c>
      <c r="AC43" s="178">
        <f t="shared" si="4"/>
        <v>5.1967825182774732</v>
      </c>
      <c r="AD43" s="179">
        <f t="shared" si="5"/>
        <v>8.4877537229269926</v>
      </c>
      <c r="AE43" s="179">
        <f t="shared" si="5"/>
        <v>6.988966091014305</v>
      </c>
      <c r="AF43" s="179">
        <f t="shared" si="5"/>
        <v>7.703530501963785</v>
      </c>
    </row>
    <row r="44" spans="1:32" ht="28.5">
      <c r="A44" s="167">
        <v>35</v>
      </c>
      <c r="B44" s="43" t="s">
        <v>309</v>
      </c>
      <c r="C44" s="190">
        <v>15550</v>
      </c>
      <c r="D44" s="190">
        <v>36128</v>
      </c>
      <c r="E44" s="190">
        <v>51678</v>
      </c>
      <c r="F44" s="190">
        <v>12800</v>
      </c>
      <c r="G44" s="190">
        <v>27042</v>
      </c>
      <c r="H44" s="190">
        <v>39842</v>
      </c>
      <c r="I44" s="192"/>
      <c r="J44" s="192"/>
      <c r="K44" s="192"/>
      <c r="L44" s="189">
        <v>12800</v>
      </c>
      <c r="M44" s="189">
        <v>27042</v>
      </c>
      <c r="N44" s="190">
        <v>39842</v>
      </c>
      <c r="O44" s="191">
        <v>82.315112540192928</v>
      </c>
      <c r="P44" s="191">
        <v>74.850531443755543</v>
      </c>
      <c r="Q44" s="191">
        <v>77.096636866751808</v>
      </c>
      <c r="R44" s="194">
        <f t="shared" si="9"/>
        <v>12800</v>
      </c>
      <c r="S44" s="194">
        <f t="shared" si="9"/>
        <v>27042</v>
      </c>
      <c r="T44" s="194">
        <f t="shared" si="9"/>
        <v>39842</v>
      </c>
      <c r="U44" s="195">
        <v>294</v>
      </c>
      <c r="V44" s="195">
        <v>360</v>
      </c>
      <c r="W44" s="194">
        <f t="shared" si="2"/>
        <v>654</v>
      </c>
      <c r="X44" s="194">
        <v>1073</v>
      </c>
      <c r="Y44" s="194">
        <v>1369</v>
      </c>
      <c r="Z44" s="194">
        <f t="shared" si="3"/>
        <v>2442</v>
      </c>
      <c r="AA44" s="178">
        <f t="shared" si="4"/>
        <v>2.296875</v>
      </c>
      <c r="AB44" s="178">
        <f t="shared" si="4"/>
        <v>1.3312624805857554</v>
      </c>
      <c r="AC44" s="178">
        <f t="shared" si="4"/>
        <v>1.6414838612519451</v>
      </c>
      <c r="AD44" s="179">
        <f t="shared" si="5"/>
        <v>8.3828125</v>
      </c>
      <c r="AE44" s="179">
        <f t="shared" si="5"/>
        <v>5.0624953775608308</v>
      </c>
      <c r="AF44" s="179">
        <f t="shared" si="5"/>
        <v>6.1292103810049694</v>
      </c>
    </row>
    <row r="45" spans="1:32" ht="28.5">
      <c r="A45" s="167">
        <v>36</v>
      </c>
      <c r="B45" s="43" t="s">
        <v>163</v>
      </c>
      <c r="C45" s="171">
        <v>1363</v>
      </c>
      <c r="D45" s="171">
        <v>610</v>
      </c>
      <c r="E45" s="171">
        <v>1973</v>
      </c>
      <c r="F45" s="171">
        <v>1286</v>
      </c>
      <c r="G45" s="171">
        <v>589</v>
      </c>
      <c r="H45" s="171">
        <v>1875</v>
      </c>
      <c r="I45" s="177"/>
      <c r="J45" s="177"/>
      <c r="K45" s="177"/>
      <c r="L45" s="168">
        <v>1286</v>
      </c>
      <c r="M45" s="168">
        <v>589</v>
      </c>
      <c r="N45" s="171">
        <v>1875</v>
      </c>
      <c r="O45" s="172">
        <v>94.350696991929567</v>
      </c>
      <c r="P45" s="172">
        <v>96.557377049180332</v>
      </c>
      <c r="Q45" s="182">
        <v>95.032944754181443</v>
      </c>
      <c r="R45" s="173">
        <f t="shared" ref="R45:T51" si="11">L45</f>
        <v>1286</v>
      </c>
      <c r="S45" s="173">
        <f t="shared" si="11"/>
        <v>589</v>
      </c>
      <c r="T45" s="173">
        <f t="shared" si="11"/>
        <v>1875</v>
      </c>
      <c r="U45" s="181">
        <v>16</v>
      </c>
      <c r="V45" s="181">
        <v>0</v>
      </c>
      <c r="W45" s="173">
        <f>U45+V45</f>
        <v>16</v>
      </c>
      <c r="X45" s="173">
        <v>356</v>
      </c>
      <c r="Y45" s="173">
        <v>122</v>
      </c>
      <c r="Z45" s="173">
        <f>X45+Y45</f>
        <v>478</v>
      </c>
      <c r="AA45" s="178">
        <f>U45/R45%</f>
        <v>1.2441679626749611</v>
      </c>
      <c r="AB45" s="178">
        <f>V45/S45%</f>
        <v>0</v>
      </c>
      <c r="AC45" s="178">
        <f>W45/T45%</f>
        <v>0.85333333333333339</v>
      </c>
      <c r="AD45" s="179">
        <f>X45/R45%</f>
        <v>27.682737169517885</v>
      </c>
      <c r="AE45" s="179">
        <f>Y45/S45%</f>
        <v>20.713073005093381</v>
      </c>
      <c r="AF45" s="179">
        <f>Z45/T45%</f>
        <v>25.493333333333332</v>
      </c>
    </row>
    <row r="46" spans="1:32" ht="42.75">
      <c r="A46" s="167">
        <v>37</v>
      </c>
      <c r="B46" s="43" t="s">
        <v>88</v>
      </c>
      <c r="C46" s="171">
        <v>872</v>
      </c>
      <c r="D46" s="171">
        <v>778</v>
      </c>
      <c r="E46" s="171">
        <v>1650</v>
      </c>
      <c r="F46" s="171">
        <v>850</v>
      </c>
      <c r="G46" s="171">
        <v>742</v>
      </c>
      <c r="H46" s="171">
        <v>1592</v>
      </c>
      <c r="I46" s="171">
        <v>10</v>
      </c>
      <c r="J46" s="171">
        <v>10</v>
      </c>
      <c r="K46" s="171">
        <v>20</v>
      </c>
      <c r="L46" s="168">
        <v>860</v>
      </c>
      <c r="M46" s="168">
        <v>752</v>
      </c>
      <c r="N46" s="171">
        <v>1612</v>
      </c>
      <c r="O46" s="172">
        <v>98.623853211009177</v>
      </c>
      <c r="P46" s="172">
        <v>96.658097686375328</v>
      </c>
      <c r="Q46" s="172">
        <v>97.696969696969688</v>
      </c>
      <c r="R46" s="194">
        <f t="shared" si="11"/>
        <v>860</v>
      </c>
      <c r="S46" s="194">
        <f t="shared" si="11"/>
        <v>752</v>
      </c>
      <c r="T46" s="194">
        <f t="shared" si="11"/>
        <v>1612</v>
      </c>
      <c r="U46" s="174"/>
      <c r="V46" s="174"/>
      <c r="W46" s="174"/>
      <c r="X46" s="174"/>
      <c r="Y46" s="174"/>
      <c r="Z46" s="174"/>
      <c r="AA46" s="175"/>
      <c r="AB46" s="175"/>
      <c r="AC46" s="175"/>
      <c r="AD46" s="176"/>
      <c r="AE46" s="176"/>
      <c r="AF46" s="176"/>
    </row>
    <row r="47" spans="1:32" ht="28.5">
      <c r="A47" s="167">
        <v>38</v>
      </c>
      <c r="B47" s="43" t="s">
        <v>50</v>
      </c>
      <c r="C47" s="171">
        <v>508</v>
      </c>
      <c r="D47" s="171">
        <v>280</v>
      </c>
      <c r="E47" s="171">
        <v>788</v>
      </c>
      <c r="F47" s="171">
        <v>467</v>
      </c>
      <c r="G47" s="171">
        <v>259</v>
      </c>
      <c r="H47" s="171">
        <v>726</v>
      </c>
      <c r="I47" s="177"/>
      <c r="J47" s="177"/>
      <c r="K47" s="177"/>
      <c r="L47" s="168">
        <v>467</v>
      </c>
      <c r="M47" s="168">
        <v>259</v>
      </c>
      <c r="N47" s="171">
        <v>726</v>
      </c>
      <c r="O47" s="172">
        <v>91.929133858267718</v>
      </c>
      <c r="P47" s="172">
        <v>92.5</v>
      </c>
      <c r="Q47" s="172">
        <v>92.131979695431482</v>
      </c>
      <c r="R47" s="173">
        <f t="shared" si="11"/>
        <v>467</v>
      </c>
      <c r="S47" s="173">
        <f t="shared" si="11"/>
        <v>259</v>
      </c>
      <c r="T47" s="173">
        <f t="shared" si="11"/>
        <v>726</v>
      </c>
      <c r="U47" s="169">
        <v>7</v>
      </c>
      <c r="V47" s="169">
        <v>0</v>
      </c>
      <c r="W47" s="173">
        <f>U47+V47</f>
        <v>7</v>
      </c>
      <c r="X47" s="173">
        <v>147</v>
      </c>
      <c r="Y47" s="173">
        <v>79</v>
      </c>
      <c r="Z47" s="173">
        <f>X47+Y47</f>
        <v>226</v>
      </c>
      <c r="AA47" s="178">
        <f>U47/R47%</f>
        <v>1.4989293361884368</v>
      </c>
      <c r="AB47" s="178">
        <f>V47/S47%</f>
        <v>0</v>
      </c>
      <c r="AC47" s="178">
        <f>W47/T47%</f>
        <v>0.96418732782369154</v>
      </c>
      <c r="AD47" s="179">
        <f>X47/R47%</f>
        <v>31.477516059957175</v>
      </c>
      <c r="AE47" s="179">
        <f>Y47/S47%</f>
        <v>30.501930501930502</v>
      </c>
      <c r="AF47" s="179">
        <f>Z47/T47%</f>
        <v>31.12947658402204</v>
      </c>
    </row>
    <row r="48" spans="1:32" ht="28.5">
      <c r="A48" s="167">
        <v>39</v>
      </c>
      <c r="B48" s="43" t="s">
        <v>67</v>
      </c>
      <c r="C48" s="171">
        <v>1036</v>
      </c>
      <c r="D48" s="171">
        <v>235</v>
      </c>
      <c r="E48" s="171">
        <v>1271</v>
      </c>
      <c r="F48" s="171">
        <v>400</v>
      </c>
      <c r="G48" s="171">
        <v>37</v>
      </c>
      <c r="H48" s="171">
        <v>437</v>
      </c>
      <c r="I48" s="171">
        <v>176</v>
      </c>
      <c r="J48" s="171">
        <v>21</v>
      </c>
      <c r="K48" s="171">
        <v>197</v>
      </c>
      <c r="L48" s="168">
        <v>576</v>
      </c>
      <c r="M48" s="168">
        <v>58</v>
      </c>
      <c r="N48" s="171">
        <v>634</v>
      </c>
      <c r="O48" s="172">
        <v>55.598455598455601</v>
      </c>
      <c r="P48" s="172">
        <v>24.680851063829788</v>
      </c>
      <c r="Q48" s="172">
        <v>49.881982690794651</v>
      </c>
      <c r="R48" s="173">
        <f t="shared" si="11"/>
        <v>576</v>
      </c>
      <c r="S48" s="173">
        <f t="shared" si="11"/>
        <v>58</v>
      </c>
      <c r="T48" s="173">
        <f t="shared" si="11"/>
        <v>634</v>
      </c>
      <c r="U48" s="174"/>
      <c r="V48" s="174"/>
      <c r="W48" s="173">
        <v>19</v>
      </c>
      <c r="X48" s="174"/>
      <c r="Y48" s="174"/>
      <c r="Z48" s="173">
        <v>55</v>
      </c>
      <c r="AA48" s="175"/>
      <c r="AB48" s="175"/>
      <c r="AC48" s="178">
        <f>W48/T48%</f>
        <v>2.9968454258675079</v>
      </c>
      <c r="AD48" s="176"/>
      <c r="AE48" s="176"/>
      <c r="AF48" s="179">
        <f>Z48/T48%</f>
        <v>8.6750788643533117</v>
      </c>
    </row>
    <row r="49" spans="1:32">
      <c r="A49" s="167">
        <v>40</v>
      </c>
      <c r="B49" s="45" t="s">
        <v>73</v>
      </c>
      <c r="C49" s="171">
        <v>108</v>
      </c>
      <c r="D49" s="171">
        <v>91</v>
      </c>
      <c r="E49" s="171">
        <v>199</v>
      </c>
      <c r="F49" s="171">
        <v>106</v>
      </c>
      <c r="G49" s="171">
        <v>89</v>
      </c>
      <c r="H49" s="171">
        <v>195</v>
      </c>
      <c r="I49" s="177">
        <v>2</v>
      </c>
      <c r="J49" s="177">
        <v>2</v>
      </c>
      <c r="K49" s="177">
        <v>4</v>
      </c>
      <c r="L49" s="168">
        <v>108</v>
      </c>
      <c r="M49" s="168">
        <v>91</v>
      </c>
      <c r="N49" s="171">
        <v>199</v>
      </c>
      <c r="O49" s="172">
        <v>100</v>
      </c>
      <c r="P49" s="172">
        <v>100</v>
      </c>
      <c r="Q49" s="172">
        <v>100</v>
      </c>
      <c r="R49" s="173">
        <f t="shared" si="11"/>
        <v>108</v>
      </c>
      <c r="S49" s="173">
        <f t="shared" si="11"/>
        <v>91</v>
      </c>
      <c r="T49" s="173">
        <f t="shared" si="11"/>
        <v>199</v>
      </c>
      <c r="U49" s="174"/>
      <c r="V49" s="174"/>
      <c r="W49" s="174"/>
      <c r="X49" s="174"/>
      <c r="Y49" s="174"/>
      <c r="Z49" s="174"/>
      <c r="AA49" s="175"/>
      <c r="AB49" s="175"/>
      <c r="AC49" s="175"/>
      <c r="AD49" s="176"/>
      <c r="AE49" s="176"/>
      <c r="AF49" s="176"/>
    </row>
    <row r="50" spans="1:32" ht="28.5">
      <c r="A50" s="167">
        <v>41</v>
      </c>
      <c r="B50" s="45" t="s">
        <v>246</v>
      </c>
      <c r="C50" s="171">
        <v>14106</v>
      </c>
      <c r="D50" s="171">
        <v>6393</v>
      </c>
      <c r="E50" s="171">
        <v>20499</v>
      </c>
      <c r="F50" s="171">
        <v>13454</v>
      </c>
      <c r="G50" s="171">
        <v>6317</v>
      </c>
      <c r="H50" s="171">
        <v>19771</v>
      </c>
      <c r="I50" s="177">
        <v>0</v>
      </c>
      <c r="J50" s="177">
        <v>0</v>
      </c>
      <c r="K50" s="177">
        <v>0</v>
      </c>
      <c r="L50" s="168">
        <v>13454</v>
      </c>
      <c r="M50" s="168">
        <v>6317</v>
      </c>
      <c r="N50" s="171">
        <v>19771</v>
      </c>
      <c r="O50" s="172">
        <v>95.377853395718134</v>
      </c>
      <c r="P50" s="172">
        <v>98.811199749726271</v>
      </c>
      <c r="Q50" s="172">
        <v>96.448607249134099</v>
      </c>
      <c r="R50" s="173">
        <f t="shared" si="11"/>
        <v>13454</v>
      </c>
      <c r="S50" s="173">
        <f t="shared" si="11"/>
        <v>6317</v>
      </c>
      <c r="T50" s="173">
        <f t="shared" si="11"/>
        <v>19771</v>
      </c>
      <c r="U50" s="181">
        <v>1217</v>
      </c>
      <c r="V50" s="181">
        <v>751</v>
      </c>
      <c r="W50" s="173">
        <f>U50+V50</f>
        <v>1968</v>
      </c>
      <c r="X50" s="173">
        <v>8048</v>
      </c>
      <c r="Y50" s="173">
        <v>3526</v>
      </c>
      <c r="Z50" s="173">
        <f>X50+Y50</f>
        <v>11574</v>
      </c>
      <c r="AA50" s="178">
        <f t="shared" ref="AA50:AC51" si="12">U50/R50%</f>
        <v>9.0456369852831884</v>
      </c>
      <c r="AB50" s="178">
        <f t="shared" si="12"/>
        <v>11.888554693683711</v>
      </c>
      <c r="AC50" s="178">
        <f t="shared" si="12"/>
        <v>9.9539729907440186</v>
      </c>
      <c r="AD50" s="179">
        <f t="shared" ref="AD50:AF51" si="13">X50/R50%</f>
        <v>59.818641296268773</v>
      </c>
      <c r="AE50" s="179">
        <f t="shared" si="13"/>
        <v>55.817634953300619</v>
      </c>
      <c r="AF50" s="179">
        <f t="shared" si="13"/>
        <v>58.540286277881741</v>
      </c>
    </row>
    <row r="51" spans="1:32" ht="28.5">
      <c r="A51" s="167">
        <v>42</v>
      </c>
      <c r="B51" s="45" t="s">
        <v>76</v>
      </c>
      <c r="C51" s="171">
        <v>935</v>
      </c>
      <c r="D51" s="171">
        <v>69</v>
      </c>
      <c r="E51" s="171">
        <v>1004</v>
      </c>
      <c r="F51" s="171">
        <v>848</v>
      </c>
      <c r="G51" s="171">
        <v>61</v>
      </c>
      <c r="H51" s="171">
        <v>909</v>
      </c>
      <c r="I51" s="177">
        <v>2</v>
      </c>
      <c r="J51" s="177">
        <v>2</v>
      </c>
      <c r="K51" s="177">
        <v>4</v>
      </c>
      <c r="L51" s="168">
        <v>850</v>
      </c>
      <c r="M51" s="168">
        <v>63</v>
      </c>
      <c r="N51" s="171">
        <v>913</v>
      </c>
      <c r="O51" s="172">
        <v>90.909090909090907</v>
      </c>
      <c r="P51" s="172">
        <v>91.304347826086953</v>
      </c>
      <c r="Q51" s="172">
        <v>90.936254980079681</v>
      </c>
      <c r="R51" s="173">
        <f t="shared" si="11"/>
        <v>850</v>
      </c>
      <c r="S51" s="173">
        <f t="shared" si="11"/>
        <v>63</v>
      </c>
      <c r="T51" s="173">
        <f t="shared" si="11"/>
        <v>913</v>
      </c>
      <c r="U51" s="181">
        <v>4</v>
      </c>
      <c r="V51" s="181">
        <v>1</v>
      </c>
      <c r="W51" s="173">
        <f>U51+V51</f>
        <v>5</v>
      </c>
      <c r="X51" s="173">
        <v>106</v>
      </c>
      <c r="Y51" s="173">
        <v>26</v>
      </c>
      <c r="Z51" s="173">
        <f>X51+Y51</f>
        <v>132</v>
      </c>
      <c r="AA51" s="178">
        <f t="shared" si="12"/>
        <v>0.47058823529411764</v>
      </c>
      <c r="AB51" s="178">
        <f t="shared" si="12"/>
        <v>1.5873015873015872</v>
      </c>
      <c r="AC51" s="178">
        <f t="shared" si="12"/>
        <v>0.54764512595837889</v>
      </c>
      <c r="AD51" s="179">
        <f t="shared" si="13"/>
        <v>12.470588235294118</v>
      </c>
      <c r="AE51" s="179">
        <f t="shared" si="13"/>
        <v>41.269841269841272</v>
      </c>
      <c r="AF51" s="179">
        <f t="shared" si="13"/>
        <v>14.457831325301203</v>
      </c>
    </row>
    <row r="52" spans="1:32">
      <c r="A52" s="640" t="s">
        <v>256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</row>
    <row r="53" spans="1:32" ht="28.5">
      <c r="A53" s="167">
        <v>1</v>
      </c>
      <c r="B53" s="43" t="s">
        <v>249</v>
      </c>
      <c r="C53" s="168">
        <v>95403</v>
      </c>
      <c r="D53" s="168">
        <v>41897</v>
      </c>
      <c r="E53" s="169">
        <f t="shared" ref="E53:E59" si="14">C53+D53</f>
        <v>137300</v>
      </c>
      <c r="F53" s="168">
        <v>38844</v>
      </c>
      <c r="G53" s="168">
        <v>18651</v>
      </c>
      <c r="H53" s="169">
        <f t="shared" ref="H53:H59" si="15">F53+G53</f>
        <v>57495</v>
      </c>
      <c r="I53" s="168"/>
      <c r="J53" s="168"/>
      <c r="K53" s="169"/>
      <c r="L53" s="168">
        <v>38844</v>
      </c>
      <c r="M53" s="168">
        <v>18651</v>
      </c>
      <c r="N53" s="169">
        <f t="shared" ref="N53:N59" si="16">L53+M53</f>
        <v>57495</v>
      </c>
      <c r="O53" s="168">
        <f>+L53/C53%</f>
        <v>40.715700764126915</v>
      </c>
      <c r="P53" s="168">
        <f t="shared" ref="P53:Q53" si="17">+M53/D53%</f>
        <v>44.516313817218411</v>
      </c>
      <c r="Q53" s="168">
        <f t="shared" si="17"/>
        <v>41.875455207574653</v>
      </c>
      <c r="R53" s="173">
        <f t="shared" ref="R53:T57" si="18">F53</f>
        <v>38844</v>
      </c>
      <c r="S53" s="173">
        <f t="shared" si="18"/>
        <v>18651</v>
      </c>
      <c r="T53" s="173">
        <f t="shared" si="18"/>
        <v>57495</v>
      </c>
      <c r="U53" s="173">
        <v>1445</v>
      </c>
      <c r="V53" s="173">
        <v>881</v>
      </c>
      <c r="W53" s="173">
        <f t="shared" ref="W53:W58" si="19">U53+V53</f>
        <v>2326</v>
      </c>
      <c r="X53" s="173">
        <v>19766</v>
      </c>
      <c r="Y53" s="173">
        <v>79</v>
      </c>
      <c r="Z53" s="173">
        <f>X53+Y53</f>
        <v>19845</v>
      </c>
      <c r="AA53" s="178">
        <f>U53/R53%</f>
        <v>3.7200082380805273</v>
      </c>
      <c r="AB53" s="178">
        <f>V53/S53%</f>
        <v>4.7236073132807892</v>
      </c>
      <c r="AC53" s="178">
        <f>W53/T53%</f>
        <v>4.0455691799286893</v>
      </c>
      <c r="AD53" s="179">
        <f>X53/R53%</f>
        <v>50.885593656677997</v>
      </c>
      <c r="AE53" s="179">
        <f>Y53/S53%</f>
        <v>0.42356978178113774</v>
      </c>
      <c r="AF53" s="179">
        <f>Z53/T53%</f>
        <v>34.516044873467258</v>
      </c>
    </row>
    <row r="54" spans="1:32">
      <c r="A54" s="167">
        <v>2</v>
      </c>
      <c r="B54" s="206" t="s">
        <v>250</v>
      </c>
      <c r="C54" s="207">
        <v>34296</v>
      </c>
      <c r="D54" s="207">
        <v>15700</v>
      </c>
      <c r="E54" s="169">
        <f t="shared" si="14"/>
        <v>49996</v>
      </c>
      <c r="F54" s="207">
        <v>25217</v>
      </c>
      <c r="G54" s="207">
        <v>12478</v>
      </c>
      <c r="H54" s="169">
        <f t="shared" si="15"/>
        <v>37695</v>
      </c>
      <c r="I54" s="208"/>
      <c r="J54" s="208"/>
      <c r="K54" s="169"/>
      <c r="L54" s="207">
        <v>25217</v>
      </c>
      <c r="M54" s="207">
        <v>12478</v>
      </c>
      <c r="N54" s="169">
        <f t="shared" si="16"/>
        <v>37695</v>
      </c>
      <c r="O54" s="168">
        <f t="shared" ref="O54:O60" si="20">+L54/C54%</f>
        <v>73.527525075810601</v>
      </c>
      <c r="P54" s="168">
        <f t="shared" ref="P54:P60" si="21">+M54/D54%</f>
        <v>79.477707006369428</v>
      </c>
      <c r="Q54" s="168">
        <f t="shared" ref="Q54:Q60" si="22">+N54/E54%</f>
        <v>75.396031682534613</v>
      </c>
      <c r="R54" s="173">
        <f t="shared" si="18"/>
        <v>25217</v>
      </c>
      <c r="S54" s="173">
        <f t="shared" si="18"/>
        <v>12478</v>
      </c>
      <c r="T54" s="173">
        <f t="shared" si="18"/>
        <v>37695</v>
      </c>
      <c r="U54" s="174"/>
      <c r="V54" s="174"/>
      <c r="W54" s="174"/>
      <c r="X54" s="174"/>
      <c r="Y54" s="174"/>
      <c r="Z54" s="174"/>
      <c r="AA54" s="175"/>
      <c r="AB54" s="175"/>
      <c r="AC54" s="175"/>
      <c r="AD54" s="176"/>
      <c r="AE54" s="176"/>
      <c r="AF54" s="176"/>
    </row>
    <row r="55" spans="1:32">
      <c r="A55" s="167">
        <v>3</v>
      </c>
      <c r="B55" s="45" t="s">
        <v>251</v>
      </c>
      <c r="C55" s="168">
        <f>36799+8093</f>
        <v>44892</v>
      </c>
      <c r="D55" s="168">
        <f>34987+8950</f>
        <v>43937</v>
      </c>
      <c r="E55" s="169">
        <f t="shared" si="14"/>
        <v>88829</v>
      </c>
      <c r="F55" s="168">
        <f>21364+4522</f>
        <v>25886</v>
      </c>
      <c r="G55" s="168">
        <f>19719+4746</f>
        <v>24465</v>
      </c>
      <c r="H55" s="169">
        <f t="shared" si="15"/>
        <v>50351</v>
      </c>
      <c r="I55" s="168"/>
      <c r="J55" s="168"/>
      <c r="K55" s="169"/>
      <c r="L55" s="168">
        <f>21364+4522</f>
        <v>25886</v>
      </c>
      <c r="M55" s="168">
        <f>19719+4746</f>
        <v>24465</v>
      </c>
      <c r="N55" s="169">
        <f t="shared" si="16"/>
        <v>50351</v>
      </c>
      <c r="O55" s="168">
        <f t="shared" si="20"/>
        <v>57.662835249042146</v>
      </c>
      <c r="P55" s="168">
        <f t="shared" si="21"/>
        <v>55.681999226164734</v>
      </c>
      <c r="Q55" s="168">
        <f t="shared" si="22"/>
        <v>56.683065215188734</v>
      </c>
      <c r="R55" s="173">
        <f t="shared" si="18"/>
        <v>25886</v>
      </c>
      <c r="S55" s="173">
        <f t="shared" si="18"/>
        <v>24465</v>
      </c>
      <c r="T55" s="173">
        <f t="shared" si="18"/>
        <v>50351</v>
      </c>
      <c r="U55" s="173">
        <f>448+5</f>
        <v>453</v>
      </c>
      <c r="V55" s="173">
        <f>454+1</f>
        <v>455</v>
      </c>
      <c r="W55" s="173">
        <f>U55+V55</f>
        <v>908</v>
      </c>
      <c r="X55" s="173">
        <f>3851+139</f>
        <v>3990</v>
      </c>
      <c r="Y55" s="173">
        <f>3787+128</f>
        <v>3915</v>
      </c>
      <c r="Z55" s="173">
        <f>X55+Y55</f>
        <v>7905</v>
      </c>
      <c r="AA55" s="178">
        <f t="shared" ref="AA55:AC56" si="23">U55/R55%</f>
        <v>1.7499806845399057</v>
      </c>
      <c r="AB55" s="178">
        <f t="shared" si="23"/>
        <v>1.8597997138769671</v>
      </c>
      <c r="AC55" s="178">
        <f t="shared" si="23"/>
        <v>1.8033405493436079</v>
      </c>
      <c r="AD55" s="179">
        <f t="shared" ref="AD55:AF56" si="24">X55/R55%</f>
        <v>15.413737155219037</v>
      </c>
      <c r="AE55" s="179">
        <f t="shared" si="24"/>
        <v>16.002452483139177</v>
      </c>
      <c r="AF55" s="179">
        <f t="shared" si="24"/>
        <v>15.699787491807511</v>
      </c>
    </row>
    <row r="56" spans="1:32" ht="28.5">
      <c r="A56" s="167">
        <v>4</v>
      </c>
      <c r="B56" s="45" t="s">
        <v>252</v>
      </c>
      <c r="C56" s="168">
        <f>3819+56574+23205+14959</f>
        <v>98557</v>
      </c>
      <c r="D56" s="168">
        <f>2192+39732+15552+13103</f>
        <v>70579</v>
      </c>
      <c r="E56" s="169">
        <f t="shared" si="14"/>
        <v>169136</v>
      </c>
      <c r="F56" s="168">
        <f>1840+6425+8319+1277</f>
        <v>17861</v>
      </c>
      <c r="G56" s="168">
        <f>1099+5451+6189+1546</f>
        <v>14285</v>
      </c>
      <c r="H56" s="169">
        <f t="shared" si="15"/>
        <v>32146</v>
      </c>
      <c r="I56" s="168"/>
      <c r="J56" s="168"/>
      <c r="K56" s="169"/>
      <c r="L56" s="168">
        <f>1840+6425+8319+1277</f>
        <v>17861</v>
      </c>
      <c r="M56" s="168">
        <f>1099+5451+6189+1546</f>
        <v>14285</v>
      </c>
      <c r="N56" s="169">
        <f t="shared" si="16"/>
        <v>32146</v>
      </c>
      <c r="O56" s="168">
        <f t="shared" si="20"/>
        <v>18.122507787371774</v>
      </c>
      <c r="P56" s="168">
        <f t="shared" si="21"/>
        <v>20.239731364853569</v>
      </c>
      <c r="Q56" s="168">
        <f t="shared" si="22"/>
        <v>19.006007000283795</v>
      </c>
      <c r="R56" s="173">
        <f t="shared" si="18"/>
        <v>17861</v>
      </c>
      <c r="S56" s="173">
        <f t="shared" si="18"/>
        <v>14285</v>
      </c>
      <c r="T56" s="173">
        <f t="shared" si="18"/>
        <v>32146</v>
      </c>
      <c r="U56" s="173">
        <v>0</v>
      </c>
      <c r="V56" s="173">
        <v>2</v>
      </c>
      <c r="W56" s="173">
        <f t="shared" si="19"/>
        <v>2</v>
      </c>
      <c r="X56" s="173">
        <f>4+50+24+78</f>
        <v>156</v>
      </c>
      <c r="Y56" s="173">
        <f>4+12+43+43</f>
        <v>102</v>
      </c>
      <c r="Z56" s="173">
        <f>X56+Y56</f>
        <v>258</v>
      </c>
      <c r="AA56" s="178">
        <f t="shared" si="23"/>
        <v>0</v>
      </c>
      <c r="AB56" s="178">
        <f t="shared" si="23"/>
        <v>1.4000700035001751E-2</v>
      </c>
      <c r="AC56" s="178">
        <f t="shared" si="23"/>
        <v>6.2216138866421954E-3</v>
      </c>
      <c r="AD56" s="179">
        <f t="shared" si="24"/>
        <v>0.87341134314987956</v>
      </c>
      <c r="AE56" s="179">
        <f t="shared" si="24"/>
        <v>0.71403570178508924</v>
      </c>
      <c r="AF56" s="179">
        <f t="shared" si="24"/>
        <v>0.80258819137684323</v>
      </c>
    </row>
    <row r="57" spans="1:32" ht="28.5">
      <c r="A57" s="167">
        <v>5</v>
      </c>
      <c r="B57" s="43" t="s">
        <v>253</v>
      </c>
      <c r="C57" s="168">
        <v>32054</v>
      </c>
      <c r="D57" s="168">
        <v>29520</v>
      </c>
      <c r="E57" s="169">
        <f t="shared" si="14"/>
        <v>61574</v>
      </c>
      <c r="F57" s="168">
        <f>12912+5843</f>
        <v>18755</v>
      </c>
      <c r="G57" s="168">
        <f>15281+6821</f>
        <v>22102</v>
      </c>
      <c r="H57" s="169">
        <f t="shared" si="15"/>
        <v>40857</v>
      </c>
      <c r="I57" s="168"/>
      <c r="J57" s="168"/>
      <c r="K57" s="169"/>
      <c r="L57" s="168">
        <f>12912+5843</f>
        <v>18755</v>
      </c>
      <c r="M57" s="168">
        <f>15281+6821</f>
        <v>22102</v>
      </c>
      <c r="N57" s="169">
        <f t="shared" si="16"/>
        <v>40857</v>
      </c>
      <c r="O57" s="168">
        <f t="shared" si="20"/>
        <v>58.510638297872333</v>
      </c>
      <c r="P57" s="168">
        <f t="shared" si="21"/>
        <v>74.871273712737135</v>
      </c>
      <c r="Q57" s="168">
        <f t="shared" si="22"/>
        <v>66.354305388638068</v>
      </c>
      <c r="R57" s="173">
        <f t="shared" si="18"/>
        <v>18755</v>
      </c>
      <c r="S57" s="173">
        <f t="shared" si="18"/>
        <v>22102</v>
      </c>
      <c r="T57" s="173">
        <f t="shared" si="18"/>
        <v>40857</v>
      </c>
      <c r="U57" s="174"/>
      <c r="V57" s="174"/>
      <c r="W57" s="174"/>
      <c r="X57" s="174"/>
      <c r="Y57" s="174"/>
      <c r="Z57" s="174"/>
      <c r="AA57" s="175"/>
      <c r="AB57" s="175"/>
      <c r="AC57" s="175"/>
      <c r="AD57" s="176"/>
      <c r="AE57" s="176"/>
      <c r="AF57" s="176"/>
    </row>
    <row r="58" spans="1:32" ht="28.5">
      <c r="A58" s="167">
        <v>6</v>
      </c>
      <c r="B58" s="45" t="s">
        <v>254</v>
      </c>
      <c r="C58" s="209">
        <f>29742+8614+15314</f>
        <v>53670</v>
      </c>
      <c r="D58" s="209">
        <f>12242+3412+5345</f>
        <v>20999</v>
      </c>
      <c r="E58" s="169">
        <f t="shared" si="14"/>
        <v>74669</v>
      </c>
      <c r="F58" s="209">
        <f>11862+3210+3316</f>
        <v>18388</v>
      </c>
      <c r="G58" s="209">
        <f>5727+1449+1442</f>
        <v>8618</v>
      </c>
      <c r="H58" s="169">
        <f t="shared" si="15"/>
        <v>27006</v>
      </c>
      <c r="I58" s="209"/>
      <c r="J58" s="209"/>
      <c r="K58" s="169"/>
      <c r="L58" s="209">
        <f>11862+3210+3316</f>
        <v>18388</v>
      </c>
      <c r="M58" s="209">
        <f>5727+1449+1442</f>
        <v>8618</v>
      </c>
      <c r="N58" s="169">
        <f t="shared" si="16"/>
        <v>27006</v>
      </c>
      <c r="O58" s="168">
        <f t="shared" si="20"/>
        <v>34.26122601080678</v>
      </c>
      <c r="P58" s="168">
        <f t="shared" si="21"/>
        <v>41.040049526167913</v>
      </c>
      <c r="Q58" s="168">
        <f t="shared" si="22"/>
        <v>36.167619761882442</v>
      </c>
      <c r="R58" s="173">
        <f t="shared" ref="R58:T59" si="25">F58</f>
        <v>18388</v>
      </c>
      <c r="S58" s="173">
        <f t="shared" si="25"/>
        <v>8618</v>
      </c>
      <c r="T58" s="173">
        <f t="shared" si="25"/>
        <v>27006</v>
      </c>
      <c r="U58" s="194">
        <f>792+2</f>
        <v>794</v>
      </c>
      <c r="V58" s="194">
        <v>382</v>
      </c>
      <c r="W58" s="173">
        <f t="shared" si="19"/>
        <v>1176</v>
      </c>
      <c r="X58" s="194">
        <f>3865+119</f>
        <v>3984</v>
      </c>
      <c r="Y58" s="194">
        <f>1858+55</f>
        <v>1913</v>
      </c>
      <c r="Z58" s="173">
        <f>X58+Y58</f>
        <v>5897</v>
      </c>
      <c r="AA58" s="178">
        <f>U58/R58%</f>
        <v>4.3180335001087666</v>
      </c>
      <c r="AB58" s="178">
        <f>V58/S58%</f>
        <v>4.4325829658853557</v>
      </c>
      <c r="AC58" s="178">
        <f>W58/T58%</f>
        <v>4.3545878693623639</v>
      </c>
      <c r="AD58" s="179">
        <f t="shared" ref="AD58:AF60" si="26">X58/R58%</f>
        <v>21.666304111376984</v>
      </c>
      <c r="AE58" s="179">
        <f t="shared" si="26"/>
        <v>22.197725690415407</v>
      </c>
      <c r="AF58" s="179">
        <f t="shared" si="26"/>
        <v>21.835888321113828</v>
      </c>
    </row>
    <row r="59" spans="1:32" ht="28.5">
      <c r="A59" s="167">
        <v>7</v>
      </c>
      <c r="B59" s="211" t="s">
        <v>308</v>
      </c>
      <c r="C59" s="189">
        <f>6181+982+371+13+5865+894+311+17</f>
        <v>14634</v>
      </c>
      <c r="D59" s="189">
        <f>7168+1133+457+5+7591+1135+507+4</f>
        <v>18000</v>
      </c>
      <c r="E59" s="169">
        <f t="shared" si="14"/>
        <v>32634</v>
      </c>
      <c r="F59" s="189">
        <f>1159+192+42+3+1396+206+52+3</f>
        <v>3053</v>
      </c>
      <c r="G59" s="189">
        <f>1670+235+63+2107+328+111+3</f>
        <v>4517</v>
      </c>
      <c r="H59" s="169">
        <f t="shared" si="15"/>
        <v>7570</v>
      </c>
      <c r="I59" s="189"/>
      <c r="J59" s="189"/>
      <c r="K59" s="171"/>
      <c r="L59" s="189">
        <f>1159+192+42+3+1396+206+52+3</f>
        <v>3053</v>
      </c>
      <c r="M59" s="189">
        <f>1670+235+63+2107+328+111+3</f>
        <v>4517</v>
      </c>
      <c r="N59" s="169">
        <f t="shared" si="16"/>
        <v>7570</v>
      </c>
      <c r="O59" s="168">
        <f t="shared" si="20"/>
        <v>20.862375290419571</v>
      </c>
      <c r="P59" s="168">
        <f t="shared" si="21"/>
        <v>25.094444444444445</v>
      </c>
      <c r="Q59" s="168">
        <f t="shared" si="22"/>
        <v>23.196666053808912</v>
      </c>
      <c r="R59" s="173">
        <f t="shared" si="25"/>
        <v>3053</v>
      </c>
      <c r="S59" s="173">
        <f t="shared" si="25"/>
        <v>4517</v>
      </c>
      <c r="T59" s="173">
        <f t="shared" si="25"/>
        <v>7570</v>
      </c>
      <c r="U59" s="177"/>
      <c r="V59" s="177"/>
      <c r="W59" s="177"/>
      <c r="X59" s="214">
        <f>66+110</f>
        <v>176</v>
      </c>
      <c r="Y59" s="214">
        <f>91+87</f>
        <v>178</v>
      </c>
      <c r="Z59" s="173">
        <f>X59+Y59</f>
        <v>354</v>
      </c>
      <c r="AA59" s="216"/>
      <c r="AB59" s="216"/>
      <c r="AC59" s="216"/>
      <c r="AD59" s="179">
        <f t="shared" si="26"/>
        <v>5.7648214870619059</v>
      </c>
      <c r="AE59" s="179">
        <f t="shared" si="26"/>
        <v>3.9406685853442549</v>
      </c>
      <c r="AF59" s="179">
        <f t="shared" si="26"/>
        <v>4.6763540290620869</v>
      </c>
    </row>
    <row r="60" spans="1:32">
      <c r="A60" s="642" t="s">
        <v>3</v>
      </c>
      <c r="B60" s="642"/>
      <c r="C60" s="218">
        <f>SUM(C9:C59)</f>
        <v>10820446</v>
      </c>
      <c r="D60" s="218">
        <f t="shared" ref="D60:N60" si="27">SUM(D9:D59)</f>
        <v>9189510</v>
      </c>
      <c r="E60" s="218">
        <f t="shared" si="27"/>
        <v>20009956</v>
      </c>
      <c r="F60" s="218">
        <f t="shared" si="27"/>
        <v>8039440</v>
      </c>
      <c r="G60" s="218">
        <f t="shared" si="27"/>
        <v>7060624</v>
      </c>
      <c r="H60" s="218">
        <f t="shared" si="27"/>
        <v>15100064</v>
      </c>
      <c r="I60" s="218">
        <f t="shared" si="27"/>
        <v>227057</v>
      </c>
      <c r="J60" s="218">
        <f t="shared" si="27"/>
        <v>185047</v>
      </c>
      <c r="K60" s="218">
        <f t="shared" si="27"/>
        <v>412104</v>
      </c>
      <c r="L60" s="218">
        <f t="shared" si="27"/>
        <v>8266497</v>
      </c>
      <c r="M60" s="218">
        <f t="shared" si="27"/>
        <v>7245671</v>
      </c>
      <c r="N60" s="218">
        <f t="shared" si="27"/>
        <v>15512168</v>
      </c>
      <c r="O60" s="219">
        <f t="shared" si="20"/>
        <v>76.397008034604113</v>
      </c>
      <c r="P60" s="219">
        <f t="shared" si="21"/>
        <v>78.847196422877815</v>
      </c>
      <c r="Q60" s="219">
        <f t="shared" si="22"/>
        <v>77.52224942423662</v>
      </c>
      <c r="R60" s="218">
        <f t="shared" ref="R60" si="28">SUM(R9:R59)</f>
        <v>8266497</v>
      </c>
      <c r="S60" s="218">
        <f t="shared" ref="S60" si="29">SUM(S9:S59)</f>
        <v>7245671</v>
      </c>
      <c r="T60" s="218">
        <f t="shared" ref="T60" si="30">SUM(T9:T59)</f>
        <v>15512168</v>
      </c>
      <c r="U60" s="218">
        <f t="shared" ref="U60" si="31">SUM(U9:U59)</f>
        <v>1079324</v>
      </c>
      <c r="V60" s="218">
        <f t="shared" ref="V60" si="32">SUM(V9:V59)</f>
        <v>1210235</v>
      </c>
      <c r="W60" s="218">
        <f t="shared" ref="W60" si="33">SUM(W9:W59)</f>
        <v>2289578</v>
      </c>
      <c r="X60" s="218">
        <f t="shared" ref="X60" si="34">SUM(X9:X59)</f>
        <v>2009658</v>
      </c>
      <c r="Y60" s="218">
        <f t="shared" ref="Y60" si="35">SUM(Y9:Y59)</f>
        <v>1769047</v>
      </c>
      <c r="Z60" s="218">
        <f t="shared" ref="Z60" si="36">SUM(Z9:Z59)</f>
        <v>3778760</v>
      </c>
      <c r="AA60" s="220">
        <f>+U60/R60%</f>
        <v>13.056606686000128</v>
      </c>
      <c r="AB60" s="220">
        <f t="shared" ref="AB60:AC60" si="37">+V60/S60%</f>
        <v>16.702869892933311</v>
      </c>
      <c r="AC60" s="220">
        <f t="shared" si="37"/>
        <v>14.759883982690235</v>
      </c>
      <c r="AD60" s="220">
        <f t="shared" si="26"/>
        <v>24.310877993423333</v>
      </c>
      <c r="AE60" s="220">
        <f t="shared" si="26"/>
        <v>24.415226691910242</v>
      </c>
      <c r="AF60" s="220">
        <f t="shared" si="26"/>
        <v>24.359973409261684</v>
      </c>
    </row>
    <row r="61" spans="1:32">
      <c r="A61" s="199"/>
      <c r="B61" s="200"/>
      <c r="C61" s="641" t="s">
        <v>248</v>
      </c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 t="s">
        <v>248</v>
      </c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</row>
    <row r="62" spans="1:32">
      <c r="A62" s="203"/>
      <c r="B62" s="204"/>
      <c r="C62" s="641" t="s">
        <v>228</v>
      </c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 t="s">
        <v>228</v>
      </c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</row>
    <row r="63" spans="1:32">
      <c r="C63" s="368" t="s">
        <v>333</v>
      </c>
      <c r="D63" s="368"/>
      <c r="E63" s="368"/>
      <c r="F63" s="370" t="s">
        <v>334</v>
      </c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 t="s">
        <v>333</v>
      </c>
    </row>
  </sheetData>
  <mergeCells count="44">
    <mergeCell ref="A60:B60"/>
    <mergeCell ref="C52:D52"/>
    <mergeCell ref="E52:F52"/>
    <mergeCell ref="G52:H52"/>
    <mergeCell ref="I52:J52"/>
    <mergeCell ref="A52:B52"/>
    <mergeCell ref="K52:L52"/>
    <mergeCell ref="R62:AF62"/>
    <mergeCell ref="R61:AF61"/>
    <mergeCell ref="C62:Q62"/>
    <mergeCell ref="C61:Q61"/>
    <mergeCell ref="Y52:Z52"/>
    <mergeCell ref="AA52:AB52"/>
    <mergeCell ref="AC52:AD52"/>
    <mergeCell ref="AE52:AF52"/>
    <mergeCell ref="M52:N52"/>
    <mergeCell ref="O52:P52"/>
    <mergeCell ref="Q52:R52"/>
    <mergeCell ref="S52:T52"/>
    <mergeCell ref="U52:V52"/>
    <mergeCell ref="W52:X52"/>
    <mergeCell ref="A11:B11"/>
    <mergeCell ref="C11:Q11"/>
    <mergeCell ref="R8:AF8"/>
    <mergeCell ref="A8:B8"/>
    <mergeCell ref="C8:Q8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hyperlinks>
    <hyperlink ref="F63" r:id="rId1"/>
  </hyperlinks>
  <pageMargins left="0.70866141732283472" right="0.70866141732283472" top="0.74803149606299213" bottom="0.74803149606299213" header="0.31496062992125984" footer="0.31496062992125984"/>
  <pageSetup paperSize="9" scale="61" firstPageNumber="65" orientation="landscape" useFirstPageNumber="1" horizontalDpi="300" verticalDpi="300" r:id="rId2"/>
  <headerFooter>
    <oddFooter>Page &amp;P</oddFooter>
  </headerFooter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88"/>
  <sheetViews>
    <sheetView view="pageBreakPreview" zoomScale="60" workbookViewId="0">
      <selection activeCell="B12" sqref="B12"/>
    </sheetView>
  </sheetViews>
  <sheetFormatPr defaultRowHeight="15"/>
  <cols>
    <col min="2" max="2" width="38" customWidth="1"/>
    <col min="3" max="3" width="12" customWidth="1"/>
    <col min="4" max="4" width="10.28515625" bestFit="1" customWidth="1"/>
    <col min="5" max="5" width="11.5703125" bestFit="1" customWidth="1"/>
    <col min="6" max="7" width="10.28515625" bestFit="1" customWidth="1"/>
    <col min="8" max="8" width="11.5703125" bestFit="1" customWidth="1"/>
    <col min="12" max="13" width="10.28515625" bestFit="1" customWidth="1"/>
    <col min="14" max="14" width="11.5703125" bestFit="1" customWidth="1"/>
    <col min="18" max="18" width="11.42578125" customWidth="1"/>
    <col min="19" max="19" width="10.28515625" bestFit="1" customWidth="1"/>
    <col min="20" max="20" width="11.5703125" bestFit="1" customWidth="1"/>
    <col min="22" max="26" width="10.28515625" bestFit="1" customWidth="1"/>
  </cols>
  <sheetData>
    <row r="1" spans="1:32" ht="18" customHeight="1">
      <c r="A1" s="145"/>
      <c r="B1" s="164"/>
      <c r="C1" s="596" t="s">
        <v>257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158" t="s">
        <v>257</v>
      </c>
      <c r="S1" s="158"/>
      <c r="T1" s="158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.75" customHeight="1">
      <c r="A2" s="165"/>
      <c r="B2" s="166"/>
      <c r="C2" s="598" t="s">
        <v>258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337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" customHeight="1">
      <c r="A3" s="604" t="s">
        <v>192</v>
      </c>
      <c r="B3" s="600" t="s">
        <v>260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1" t="s">
        <v>189</v>
      </c>
      <c r="P3" s="601"/>
      <c r="Q3" s="601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261</v>
      </c>
      <c r="AB3" s="564"/>
      <c r="AC3" s="564"/>
      <c r="AD3" s="564"/>
      <c r="AE3" s="564"/>
      <c r="AF3" s="565"/>
    </row>
    <row r="4" spans="1:32">
      <c r="A4" s="604"/>
      <c r="B4" s="600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1"/>
      <c r="P4" s="601"/>
      <c r="Q4" s="601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04"/>
      <c r="B5" s="600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262</v>
      </c>
      <c r="M5" s="600"/>
      <c r="N5" s="600"/>
      <c r="O5" s="601"/>
      <c r="P5" s="601"/>
      <c r="Q5" s="601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04"/>
      <c r="B6" s="600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160" t="s">
        <v>43</v>
      </c>
      <c r="P6" s="160" t="s">
        <v>44</v>
      </c>
      <c r="Q6" s="160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159" t="s">
        <v>3</v>
      </c>
      <c r="X6" s="159" t="s">
        <v>43</v>
      </c>
      <c r="Y6" s="159" t="s">
        <v>44</v>
      </c>
      <c r="Z6" s="159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78">
        <v>8</v>
      </c>
      <c r="X7" s="78">
        <v>9</v>
      </c>
      <c r="Y7" s="78">
        <v>10</v>
      </c>
      <c r="Z7" s="78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03" t="s">
        <v>216</v>
      </c>
      <c r="B8" s="603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6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8"/>
    </row>
    <row r="9" spans="1:32" ht="28.5">
      <c r="A9" s="221">
        <v>1</v>
      </c>
      <c r="B9" s="222" t="s">
        <v>143</v>
      </c>
      <c r="C9" s="171">
        <v>815106</v>
      </c>
      <c r="D9" s="171">
        <v>554364</v>
      </c>
      <c r="E9" s="171">
        <v>1369470</v>
      </c>
      <c r="F9" s="171">
        <v>788283</v>
      </c>
      <c r="G9" s="171">
        <v>540652</v>
      </c>
      <c r="H9" s="171">
        <v>1328935</v>
      </c>
      <c r="I9" s="171">
        <v>14078</v>
      </c>
      <c r="J9" s="171">
        <v>6629</v>
      </c>
      <c r="K9" s="171">
        <v>20707</v>
      </c>
      <c r="L9" s="170">
        <v>802361</v>
      </c>
      <c r="M9" s="170">
        <v>547281</v>
      </c>
      <c r="N9" s="170">
        <v>1349642</v>
      </c>
      <c r="O9" s="223">
        <v>98.436399682986021</v>
      </c>
      <c r="P9" s="223">
        <v>98.722319631144885</v>
      </c>
      <c r="Q9" s="223">
        <v>98.552140609140764</v>
      </c>
      <c r="R9" s="173">
        <f>L9</f>
        <v>802361</v>
      </c>
      <c r="S9" s="173">
        <f t="shared" ref="S9:T9" si="0">M9</f>
        <v>547281</v>
      </c>
      <c r="T9" s="173">
        <f t="shared" si="0"/>
        <v>1349642</v>
      </c>
      <c r="U9" s="224"/>
      <c r="V9" s="224"/>
      <c r="W9" s="224"/>
      <c r="X9" s="224"/>
      <c r="Y9" s="224"/>
      <c r="Z9" s="224"/>
      <c r="AA9" s="225"/>
      <c r="AB9" s="225"/>
      <c r="AC9" s="225"/>
      <c r="AD9" s="225"/>
      <c r="AE9" s="225"/>
      <c r="AF9" s="225"/>
    </row>
    <row r="10" spans="1:32" ht="28.5">
      <c r="A10" s="221">
        <v>2</v>
      </c>
      <c r="B10" s="222" t="s">
        <v>231</v>
      </c>
      <c r="C10" s="171">
        <v>88205</v>
      </c>
      <c r="D10" s="171">
        <v>70632</v>
      </c>
      <c r="E10" s="171">
        <v>158837</v>
      </c>
      <c r="F10" s="171">
        <v>86551</v>
      </c>
      <c r="G10" s="171">
        <v>69893</v>
      </c>
      <c r="H10" s="171">
        <v>156444</v>
      </c>
      <c r="I10" s="213"/>
      <c r="J10" s="213"/>
      <c r="K10" s="213"/>
      <c r="L10" s="170">
        <v>86551</v>
      </c>
      <c r="M10" s="170">
        <v>69893</v>
      </c>
      <c r="N10" s="170">
        <v>156444</v>
      </c>
      <c r="O10" s="223">
        <v>98.124822855847171</v>
      </c>
      <c r="P10" s="223">
        <v>98.953732019481251</v>
      </c>
      <c r="Q10" s="223">
        <v>98.493424076254271</v>
      </c>
      <c r="R10" s="173">
        <f t="shared" ref="R10:T10" si="1">L10</f>
        <v>86551</v>
      </c>
      <c r="S10" s="173">
        <f t="shared" si="1"/>
        <v>69893</v>
      </c>
      <c r="T10" s="173">
        <f t="shared" si="1"/>
        <v>156444</v>
      </c>
      <c r="U10" s="173">
        <v>49566</v>
      </c>
      <c r="V10" s="173">
        <v>45068</v>
      </c>
      <c r="W10" s="173">
        <f>U10+V10</f>
        <v>94634</v>
      </c>
      <c r="X10" s="173">
        <v>26820</v>
      </c>
      <c r="Y10" s="173">
        <v>19729</v>
      </c>
      <c r="Z10" s="173">
        <f>X10+Y10</f>
        <v>46549</v>
      </c>
      <c r="AA10" s="178">
        <f t="shared" ref="AA10:AC10" si="2">U10/R10%</f>
        <v>57.267969174244087</v>
      </c>
      <c r="AB10" s="178">
        <f t="shared" si="2"/>
        <v>64.481421601591009</v>
      </c>
      <c r="AC10" s="178">
        <f t="shared" si="2"/>
        <v>60.490654802996595</v>
      </c>
      <c r="AD10" s="178">
        <f t="shared" ref="AD10:AF10" si="3">X10/R10%</f>
        <v>30.987510254069853</v>
      </c>
      <c r="AE10" s="178">
        <f t="shared" si="3"/>
        <v>28.227433362425423</v>
      </c>
      <c r="AF10" s="178">
        <f t="shared" si="3"/>
        <v>29.754416915957147</v>
      </c>
    </row>
    <row r="11" spans="1:32">
      <c r="A11" s="556" t="s">
        <v>217</v>
      </c>
      <c r="B11" s="557"/>
      <c r="C11" s="643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5"/>
      <c r="R11" s="161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</row>
    <row r="12" spans="1:32" ht="28.5">
      <c r="A12" s="221">
        <v>3</v>
      </c>
      <c r="B12" s="222" t="s">
        <v>263</v>
      </c>
      <c r="C12" s="171">
        <v>336801</v>
      </c>
      <c r="D12" s="171">
        <v>308160</v>
      </c>
      <c r="E12" s="171">
        <v>644961</v>
      </c>
      <c r="F12" s="171">
        <v>297806</v>
      </c>
      <c r="G12" s="171">
        <v>279213</v>
      </c>
      <c r="H12" s="171">
        <v>577019</v>
      </c>
      <c r="I12" s="213"/>
      <c r="J12" s="213"/>
      <c r="K12" s="213"/>
      <c r="L12" s="170">
        <v>297806</v>
      </c>
      <c r="M12" s="170">
        <v>279213</v>
      </c>
      <c r="N12" s="171">
        <v>577019</v>
      </c>
      <c r="O12" s="223">
        <v>88.421946490657689</v>
      </c>
      <c r="P12" s="223">
        <v>90.6065031152648</v>
      </c>
      <c r="Q12" s="223">
        <v>89.465719632659955</v>
      </c>
      <c r="R12" s="173">
        <v>297806</v>
      </c>
      <c r="S12" s="173">
        <v>279213</v>
      </c>
      <c r="T12" s="173">
        <v>577019</v>
      </c>
      <c r="U12" s="169">
        <v>1168</v>
      </c>
      <c r="V12" s="169">
        <v>1135</v>
      </c>
      <c r="W12" s="173">
        <v>2303</v>
      </c>
      <c r="X12" s="173">
        <v>10575</v>
      </c>
      <c r="Y12" s="173">
        <v>5104</v>
      </c>
      <c r="Z12" s="173">
        <v>15679</v>
      </c>
      <c r="AA12" s="178">
        <v>0.39220163462119634</v>
      </c>
      <c r="AB12" s="178">
        <v>0.40649969736366143</v>
      </c>
      <c r="AC12" s="178">
        <v>0.39912030626374523</v>
      </c>
      <c r="AD12" s="178">
        <v>3.5509694230472189</v>
      </c>
      <c r="AE12" s="178">
        <v>1.8279951148406413</v>
      </c>
      <c r="AF12" s="178">
        <v>2.7172415466388458</v>
      </c>
    </row>
    <row r="13" spans="1:32" ht="28.5">
      <c r="A13" s="221">
        <v>4</v>
      </c>
      <c r="B13" s="222" t="s">
        <v>213</v>
      </c>
      <c r="C13" s="171">
        <v>291663</v>
      </c>
      <c r="D13" s="171">
        <v>271129</v>
      </c>
      <c r="E13" s="171">
        <v>562792</v>
      </c>
      <c r="F13" s="171">
        <v>209437</v>
      </c>
      <c r="G13" s="171">
        <v>208728</v>
      </c>
      <c r="H13" s="171">
        <v>418165</v>
      </c>
      <c r="I13" s="213"/>
      <c r="J13" s="213"/>
      <c r="K13" s="213"/>
      <c r="L13" s="170">
        <v>209437</v>
      </c>
      <c r="M13" s="170">
        <v>208728</v>
      </c>
      <c r="N13" s="171">
        <v>418165</v>
      </c>
      <c r="O13" s="223">
        <v>71.807874156132243</v>
      </c>
      <c r="P13" s="223">
        <v>76.984756333700929</v>
      </c>
      <c r="Q13" s="223">
        <v>74.301873516325742</v>
      </c>
      <c r="R13" s="173">
        <v>209437</v>
      </c>
      <c r="S13" s="173">
        <v>208728</v>
      </c>
      <c r="T13" s="173">
        <v>418165</v>
      </c>
      <c r="U13" s="224"/>
      <c r="V13" s="224"/>
      <c r="W13" s="224"/>
      <c r="X13" s="224"/>
      <c r="Y13" s="224"/>
      <c r="Z13" s="224"/>
      <c r="AA13" s="225"/>
      <c r="AB13" s="225"/>
      <c r="AC13" s="225"/>
      <c r="AD13" s="225"/>
      <c r="AE13" s="225"/>
      <c r="AF13" s="225"/>
    </row>
    <row r="14" spans="1:32" ht="27.75" customHeight="1">
      <c r="A14" s="221">
        <v>5</v>
      </c>
      <c r="B14" s="222" t="s">
        <v>264</v>
      </c>
      <c r="C14" s="228">
        <v>191440</v>
      </c>
      <c r="D14" s="228">
        <v>205571</v>
      </c>
      <c r="E14" s="228">
        <v>397011</v>
      </c>
      <c r="F14" s="228">
        <v>127677</v>
      </c>
      <c r="G14" s="228">
        <v>120005</v>
      </c>
      <c r="H14" s="228">
        <v>247682</v>
      </c>
      <c r="I14" s="213"/>
      <c r="J14" s="213"/>
      <c r="K14" s="213"/>
      <c r="L14" s="31">
        <v>127677</v>
      </c>
      <c r="M14" s="31">
        <v>120005</v>
      </c>
      <c r="N14" s="228">
        <v>247682</v>
      </c>
      <c r="O14" s="223">
        <v>66.692958629335564</v>
      </c>
      <c r="P14" s="223">
        <v>58.376424690253003</v>
      </c>
      <c r="Q14" s="223">
        <v>62.386684499925693</v>
      </c>
      <c r="R14" s="32">
        <v>127677</v>
      </c>
      <c r="S14" s="32">
        <v>120005</v>
      </c>
      <c r="T14" s="32">
        <v>247682</v>
      </c>
      <c r="U14" s="32">
        <v>8558</v>
      </c>
      <c r="V14" s="32">
        <v>7912</v>
      </c>
      <c r="W14" s="32">
        <v>16470</v>
      </c>
      <c r="X14" s="32">
        <v>28294</v>
      </c>
      <c r="Y14" s="32">
        <v>23501</v>
      </c>
      <c r="Z14" s="32">
        <v>51795</v>
      </c>
      <c r="AA14" s="182">
        <v>6.7028517274058759</v>
      </c>
      <c r="AB14" s="182">
        <v>6.5930586225573933</v>
      </c>
      <c r="AC14" s="182">
        <v>6.6496556067861201</v>
      </c>
      <c r="AD14" s="182">
        <v>22.160608410285331</v>
      </c>
      <c r="AE14" s="182">
        <v>19.583350693721094</v>
      </c>
      <c r="AF14" s="182">
        <v>20.911895091286407</v>
      </c>
    </row>
    <row r="15" spans="1:32">
      <c r="A15" s="221">
        <v>6</v>
      </c>
      <c r="B15" s="222" t="s">
        <v>265</v>
      </c>
      <c r="C15" s="171">
        <v>8200</v>
      </c>
      <c r="D15" s="171">
        <v>4200</v>
      </c>
      <c r="E15" s="171">
        <v>12400</v>
      </c>
      <c r="F15" s="171">
        <v>6000</v>
      </c>
      <c r="G15" s="171">
        <v>3400</v>
      </c>
      <c r="H15" s="171">
        <v>9400</v>
      </c>
      <c r="I15" s="213"/>
      <c r="J15" s="213"/>
      <c r="K15" s="213"/>
      <c r="L15" s="170">
        <v>6000</v>
      </c>
      <c r="M15" s="170">
        <v>3400</v>
      </c>
      <c r="N15" s="171">
        <v>9400</v>
      </c>
      <c r="O15" s="223">
        <v>73.170731707317074</v>
      </c>
      <c r="P15" s="223">
        <v>80.952380952380949</v>
      </c>
      <c r="Q15" s="223">
        <v>75.806451612903231</v>
      </c>
      <c r="R15" s="173">
        <v>6000</v>
      </c>
      <c r="S15" s="173">
        <v>3400</v>
      </c>
      <c r="T15" s="173">
        <v>9400</v>
      </c>
      <c r="U15" s="224"/>
      <c r="V15" s="224"/>
      <c r="W15" s="224"/>
      <c r="X15" s="224"/>
      <c r="Y15" s="224"/>
      <c r="Z15" s="224"/>
      <c r="AA15" s="225"/>
      <c r="AB15" s="225"/>
      <c r="AC15" s="225"/>
      <c r="AD15" s="225"/>
      <c r="AE15" s="225"/>
      <c r="AF15" s="225"/>
    </row>
    <row r="16" spans="1:32">
      <c r="A16" s="221">
        <v>7</v>
      </c>
      <c r="B16" s="222" t="s">
        <v>266</v>
      </c>
      <c r="C16" s="171">
        <v>23</v>
      </c>
      <c r="D16" s="171">
        <v>212</v>
      </c>
      <c r="E16" s="171">
        <v>235</v>
      </c>
      <c r="F16" s="171">
        <v>22</v>
      </c>
      <c r="G16" s="171">
        <v>206</v>
      </c>
      <c r="H16" s="171">
        <v>228</v>
      </c>
      <c r="I16" s="171">
        <v>1</v>
      </c>
      <c r="J16" s="171">
        <v>6</v>
      </c>
      <c r="K16" s="171">
        <v>7</v>
      </c>
      <c r="L16" s="170">
        <v>23</v>
      </c>
      <c r="M16" s="170">
        <v>212</v>
      </c>
      <c r="N16" s="171">
        <v>235</v>
      </c>
      <c r="O16" s="223">
        <v>100</v>
      </c>
      <c r="P16" s="223">
        <v>100</v>
      </c>
      <c r="Q16" s="223">
        <v>100</v>
      </c>
      <c r="R16" s="173">
        <v>23</v>
      </c>
      <c r="S16" s="173">
        <v>212</v>
      </c>
      <c r="T16" s="173">
        <v>235</v>
      </c>
      <c r="U16" s="181">
        <v>5</v>
      </c>
      <c r="V16" s="181">
        <v>70</v>
      </c>
      <c r="W16" s="173">
        <v>75</v>
      </c>
      <c r="X16" s="173">
        <v>10</v>
      </c>
      <c r="Y16" s="173">
        <v>96</v>
      </c>
      <c r="Z16" s="173">
        <v>106</v>
      </c>
      <c r="AA16" s="178">
        <v>21.739130434782609</v>
      </c>
      <c r="AB16" s="178">
        <v>33.018867924528301</v>
      </c>
      <c r="AC16" s="178">
        <v>31.914893617021274</v>
      </c>
      <c r="AD16" s="178">
        <v>43.478260869565219</v>
      </c>
      <c r="AE16" s="178">
        <v>45.283018867924525</v>
      </c>
      <c r="AF16" s="178">
        <v>45.106382978723403</v>
      </c>
    </row>
    <row r="17" spans="1:32">
      <c r="A17" s="221">
        <v>8</v>
      </c>
      <c r="B17" s="222" t="s">
        <v>138</v>
      </c>
      <c r="C17" s="171">
        <v>691074</v>
      </c>
      <c r="D17" s="171">
        <v>592982</v>
      </c>
      <c r="E17" s="171">
        <v>1284056</v>
      </c>
      <c r="F17" s="171">
        <v>544118</v>
      </c>
      <c r="G17" s="171">
        <v>435608</v>
      </c>
      <c r="H17" s="171">
        <v>979726</v>
      </c>
      <c r="I17" s="171">
        <v>20716</v>
      </c>
      <c r="J17" s="171">
        <v>30775</v>
      </c>
      <c r="K17" s="171">
        <v>51491</v>
      </c>
      <c r="L17" s="170">
        <v>564834</v>
      </c>
      <c r="M17" s="170">
        <v>466383</v>
      </c>
      <c r="N17" s="171">
        <v>1031217</v>
      </c>
      <c r="O17" s="223">
        <v>81.732781149341463</v>
      </c>
      <c r="P17" s="223">
        <v>78.650448074309168</v>
      </c>
      <c r="Q17" s="223">
        <v>80.30934787890871</v>
      </c>
      <c r="R17" s="173">
        <v>564834</v>
      </c>
      <c r="S17" s="173">
        <v>466383</v>
      </c>
      <c r="T17" s="173">
        <v>1031217</v>
      </c>
      <c r="U17" s="181">
        <v>11947</v>
      </c>
      <c r="V17" s="181">
        <v>6070</v>
      </c>
      <c r="W17" s="173">
        <v>18017</v>
      </c>
      <c r="X17" s="173">
        <v>174254</v>
      </c>
      <c r="Y17" s="173">
        <v>113983</v>
      </c>
      <c r="Z17" s="173">
        <v>288237</v>
      </c>
      <c r="AA17" s="178">
        <v>2.1151347121455153</v>
      </c>
      <c r="AB17" s="178">
        <v>1.3015054150773078</v>
      </c>
      <c r="AC17" s="178">
        <v>1.7471589393890907</v>
      </c>
      <c r="AD17" s="178">
        <v>30.850479964024828</v>
      </c>
      <c r="AE17" s="178">
        <v>24.439784468987934</v>
      </c>
      <c r="AF17" s="178">
        <v>27.951148982221977</v>
      </c>
    </row>
    <row r="18" spans="1:32">
      <c r="A18" s="221">
        <v>9</v>
      </c>
      <c r="B18" s="222" t="s">
        <v>267</v>
      </c>
      <c r="C18" s="171">
        <v>32267</v>
      </c>
      <c r="D18" s="171">
        <v>53525</v>
      </c>
      <c r="E18" s="171">
        <v>85792</v>
      </c>
      <c r="F18" s="171">
        <v>24273</v>
      </c>
      <c r="G18" s="171">
        <v>47923</v>
      </c>
      <c r="H18" s="171">
        <v>72196</v>
      </c>
      <c r="I18" s="213"/>
      <c r="J18" s="213"/>
      <c r="K18" s="213"/>
      <c r="L18" s="170">
        <v>24273</v>
      </c>
      <c r="M18" s="170">
        <v>47923</v>
      </c>
      <c r="N18" s="171">
        <v>72196</v>
      </c>
      <c r="O18" s="223">
        <v>75.22546254687451</v>
      </c>
      <c r="P18" s="223">
        <v>89.533862680990197</v>
      </c>
      <c r="Q18" s="223">
        <v>84.152368519209247</v>
      </c>
      <c r="R18" s="173">
        <v>24273</v>
      </c>
      <c r="S18" s="173">
        <v>47923</v>
      </c>
      <c r="T18" s="173">
        <v>72196</v>
      </c>
      <c r="U18" s="181">
        <v>1665</v>
      </c>
      <c r="V18" s="181">
        <v>2613</v>
      </c>
      <c r="W18" s="173">
        <v>4278</v>
      </c>
      <c r="X18" s="173">
        <v>14985</v>
      </c>
      <c r="Y18" s="173">
        <v>23525</v>
      </c>
      <c r="Z18" s="173">
        <v>38510</v>
      </c>
      <c r="AA18" s="178">
        <v>6.8594734890619211</v>
      </c>
      <c r="AB18" s="178">
        <v>5.4524967134778706</v>
      </c>
      <c r="AC18" s="178">
        <v>5.9255360407778825</v>
      </c>
      <c r="AD18" s="178">
        <v>61.735261401557288</v>
      </c>
      <c r="AE18" s="178">
        <v>49.089163867036703</v>
      </c>
      <c r="AF18" s="178">
        <v>53.340905313313755</v>
      </c>
    </row>
    <row r="19" spans="1:32" ht="28.5">
      <c r="A19" s="221">
        <v>10</v>
      </c>
      <c r="B19" s="222" t="s">
        <v>145</v>
      </c>
      <c r="C19" s="171">
        <v>204857</v>
      </c>
      <c r="D19" s="171">
        <v>221798</v>
      </c>
      <c r="E19" s="171">
        <v>426655</v>
      </c>
      <c r="F19" s="171">
        <v>109569</v>
      </c>
      <c r="G19" s="171">
        <v>120890</v>
      </c>
      <c r="H19" s="171">
        <v>230459</v>
      </c>
      <c r="I19" s="171">
        <v>4297</v>
      </c>
      <c r="J19" s="171">
        <v>5269</v>
      </c>
      <c r="K19" s="171">
        <v>9566</v>
      </c>
      <c r="L19" s="171">
        <v>113866</v>
      </c>
      <c r="M19" s="171">
        <v>126159</v>
      </c>
      <c r="N19" s="171">
        <v>240025</v>
      </c>
      <c r="O19" s="223">
        <v>55.583162889234927</v>
      </c>
      <c r="P19" s="223">
        <v>56.880134176142263</v>
      </c>
      <c r="Q19" s="223">
        <v>56.257397663217354</v>
      </c>
      <c r="R19" s="173">
        <v>113866</v>
      </c>
      <c r="S19" s="173">
        <v>126159</v>
      </c>
      <c r="T19" s="173">
        <v>240025</v>
      </c>
      <c r="U19" s="181">
        <v>6698</v>
      </c>
      <c r="V19" s="181">
        <v>6499</v>
      </c>
      <c r="W19" s="173">
        <v>13197</v>
      </c>
      <c r="X19" s="173">
        <v>14826</v>
      </c>
      <c r="Y19" s="173">
        <v>16087</v>
      </c>
      <c r="Z19" s="173">
        <v>30913</v>
      </c>
      <c r="AA19" s="178">
        <v>5.8823529411764701</v>
      </c>
      <c r="AB19" s="178">
        <v>5.1514358864607361</v>
      </c>
      <c r="AC19" s="178">
        <v>5.4981772732007084</v>
      </c>
      <c r="AD19" s="178">
        <v>13.020568036112623</v>
      </c>
      <c r="AE19" s="178">
        <v>12.751369303815029</v>
      </c>
      <c r="AF19" s="178">
        <v>12.879075096344131</v>
      </c>
    </row>
    <row r="20" spans="1:32">
      <c r="A20" s="221">
        <v>11</v>
      </c>
      <c r="B20" s="222" t="s">
        <v>268</v>
      </c>
      <c r="C20" s="171">
        <v>53</v>
      </c>
      <c r="D20" s="171">
        <v>23</v>
      </c>
      <c r="E20" s="171">
        <v>76</v>
      </c>
      <c r="F20" s="171">
        <v>12</v>
      </c>
      <c r="G20" s="171">
        <v>9</v>
      </c>
      <c r="H20" s="171">
        <v>21</v>
      </c>
      <c r="I20" s="213"/>
      <c r="J20" s="213"/>
      <c r="K20" s="213"/>
      <c r="L20" s="171">
        <v>12</v>
      </c>
      <c r="M20" s="171">
        <v>9</v>
      </c>
      <c r="N20" s="171">
        <v>21</v>
      </c>
      <c r="O20" s="223">
        <v>22.641509433962266</v>
      </c>
      <c r="P20" s="223">
        <v>39.130434782608695</v>
      </c>
      <c r="Q20" s="223">
        <v>27.631578947368425</v>
      </c>
      <c r="R20" s="173">
        <v>12</v>
      </c>
      <c r="S20" s="173">
        <v>9</v>
      </c>
      <c r="T20" s="173">
        <v>21</v>
      </c>
      <c r="U20" s="224"/>
      <c r="V20" s="224"/>
      <c r="W20" s="224"/>
      <c r="X20" s="173">
        <v>0</v>
      </c>
      <c r="Y20" s="173">
        <v>1</v>
      </c>
      <c r="Z20" s="173">
        <v>1</v>
      </c>
      <c r="AA20" s="225"/>
      <c r="AB20" s="225"/>
      <c r="AC20" s="225"/>
      <c r="AD20" s="178">
        <v>0</v>
      </c>
      <c r="AE20" s="178">
        <v>11.111111111111111</v>
      </c>
      <c r="AF20" s="178">
        <v>4.7619047619047619</v>
      </c>
    </row>
    <row r="21" spans="1:32">
      <c r="A21" s="221">
        <v>12</v>
      </c>
      <c r="B21" s="222" t="s">
        <v>144</v>
      </c>
      <c r="C21" s="171">
        <v>316</v>
      </c>
      <c r="D21" s="171">
        <v>256</v>
      </c>
      <c r="E21" s="171">
        <v>572</v>
      </c>
      <c r="F21" s="171">
        <v>311</v>
      </c>
      <c r="G21" s="171">
        <v>252</v>
      </c>
      <c r="H21" s="171">
        <v>563</v>
      </c>
      <c r="I21" s="213"/>
      <c r="J21" s="213"/>
      <c r="K21" s="213"/>
      <c r="L21" s="170">
        <v>311</v>
      </c>
      <c r="M21" s="170">
        <v>252</v>
      </c>
      <c r="N21" s="171">
        <v>563</v>
      </c>
      <c r="O21" s="223">
        <v>98.417721518987349</v>
      </c>
      <c r="P21" s="223">
        <v>98.4375</v>
      </c>
      <c r="Q21" s="223">
        <v>98.426573426573427</v>
      </c>
      <c r="R21" s="173">
        <v>311</v>
      </c>
      <c r="S21" s="173">
        <v>252</v>
      </c>
      <c r="T21" s="173">
        <v>563</v>
      </c>
      <c r="U21" s="224"/>
      <c r="V21" s="224"/>
      <c r="W21" s="224"/>
      <c r="X21" s="224"/>
      <c r="Y21" s="224"/>
      <c r="Z21" s="224"/>
      <c r="AA21" s="225"/>
      <c r="AB21" s="225"/>
      <c r="AC21" s="225"/>
      <c r="AD21" s="225"/>
      <c r="AE21" s="225"/>
      <c r="AF21" s="225"/>
    </row>
    <row r="22" spans="1:32" ht="28.5">
      <c r="A22" s="221">
        <v>13</v>
      </c>
      <c r="B22" s="222" t="s">
        <v>148</v>
      </c>
      <c r="C22" s="231">
        <v>10742</v>
      </c>
      <c r="D22" s="231">
        <v>10444</v>
      </c>
      <c r="E22" s="231">
        <v>21186</v>
      </c>
      <c r="F22" s="231">
        <v>8599</v>
      </c>
      <c r="G22" s="231">
        <v>8603</v>
      </c>
      <c r="H22" s="231">
        <v>17202</v>
      </c>
      <c r="I22" s="231">
        <v>604</v>
      </c>
      <c r="J22" s="231">
        <v>621</v>
      </c>
      <c r="K22" s="231">
        <v>1225</v>
      </c>
      <c r="L22" s="230">
        <v>9203</v>
      </c>
      <c r="M22" s="230">
        <v>9224</v>
      </c>
      <c r="N22" s="231">
        <v>18427</v>
      </c>
      <c r="O22" s="232">
        <v>85.673059020666543</v>
      </c>
      <c r="P22" s="232">
        <v>88.31865185752585</v>
      </c>
      <c r="Q22" s="232">
        <v>86.977249126781842</v>
      </c>
      <c r="R22" s="233">
        <v>9203</v>
      </c>
      <c r="S22" s="233">
        <v>9224</v>
      </c>
      <c r="T22" s="233">
        <v>18427</v>
      </c>
      <c r="U22" s="234">
        <v>1491</v>
      </c>
      <c r="V22" s="234">
        <v>2189</v>
      </c>
      <c r="W22" s="233">
        <v>3680</v>
      </c>
      <c r="X22" s="233">
        <v>2782</v>
      </c>
      <c r="Y22" s="233">
        <v>3438</v>
      </c>
      <c r="Z22" s="233">
        <v>6220</v>
      </c>
      <c r="AA22" s="178">
        <v>16.201238726502229</v>
      </c>
      <c r="AB22" s="178">
        <v>23.731569817866436</v>
      </c>
      <c r="AC22" s="178">
        <v>19.970695175557605</v>
      </c>
      <c r="AD22" s="227">
        <v>30.229273063131586</v>
      </c>
      <c r="AE22" s="227">
        <v>37.27233304423244</v>
      </c>
      <c r="AF22" s="227">
        <v>33.754816302165302</v>
      </c>
    </row>
    <row r="23" spans="1:32" ht="28.5">
      <c r="A23" s="221">
        <v>14</v>
      </c>
      <c r="B23" s="222" t="s">
        <v>149</v>
      </c>
      <c r="C23" s="171">
        <v>508027</v>
      </c>
      <c r="D23" s="171">
        <v>345322</v>
      </c>
      <c r="E23" s="171">
        <v>853349</v>
      </c>
      <c r="F23" s="171">
        <v>283935</v>
      </c>
      <c r="G23" s="171">
        <v>222092</v>
      </c>
      <c r="H23" s="171">
        <v>506027</v>
      </c>
      <c r="I23" s="171">
        <v>1728</v>
      </c>
      <c r="J23" s="171">
        <v>1380</v>
      </c>
      <c r="K23" s="171">
        <v>3108</v>
      </c>
      <c r="L23" s="170">
        <v>285663</v>
      </c>
      <c r="M23" s="170">
        <v>223472</v>
      </c>
      <c r="N23" s="171">
        <v>509135</v>
      </c>
      <c r="O23" s="223">
        <v>56.229885419475735</v>
      </c>
      <c r="P23" s="223">
        <v>64.714092933551868</v>
      </c>
      <c r="Q23" s="223">
        <v>59.66316243412718</v>
      </c>
      <c r="R23" s="173">
        <v>285663</v>
      </c>
      <c r="S23" s="173">
        <v>223472</v>
      </c>
      <c r="T23" s="173">
        <v>509135</v>
      </c>
      <c r="U23" s="181">
        <v>25633</v>
      </c>
      <c r="V23" s="181">
        <v>21076</v>
      </c>
      <c r="W23" s="173">
        <v>46709</v>
      </c>
      <c r="X23" s="173">
        <v>78003</v>
      </c>
      <c r="Y23" s="173">
        <v>66880</v>
      </c>
      <c r="Z23" s="173">
        <v>144883</v>
      </c>
      <c r="AA23" s="178">
        <v>8.9731606823424794</v>
      </c>
      <c r="AB23" s="178">
        <v>9.4311591608792167</v>
      </c>
      <c r="AC23" s="178">
        <v>9.1741875926817045</v>
      </c>
      <c r="AD23" s="178">
        <v>27.30595141827958</v>
      </c>
      <c r="AE23" s="178">
        <v>29.927686690055133</v>
      </c>
      <c r="AF23" s="178">
        <v>28.456696161136044</v>
      </c>
    </row>
    <row r="24" spans="1:32">
      <c r="A24" s="221">
        <v>15</v>
      </c>
      <c r="B24" s="222" t="s">
        <v>140</v>
      </c>
      <c r="C24" s="171">
        <v>217556</v>
      </c>
      <c r="D24" s="171">
        <v>172038</v>
      </c>
      <c r="E24" s="171">
        <v>389594</v>
      </c>
      <c r="F24" s="171">
        <v>85536</v>
      </c>
      <c r="G24" s="171">
        <v>77772</v>
      </c>
      <c r="H24" s="171">
        <v>163308</v>
      </c>
      <c r="I24" s="171">
        <v>21630</v>
      </c>
      <c r="J24" s="171">
        <v>15486</v>
      </c>
      <c r="K24" s="171">
        <v>37116</v>
      </c>
      <c r="L24" s="170">
        <v>107166</v>
      </c>
      <c r="M24" s="170">
        <v>93258</v>
      </c>
      <c r="N24" s="171">
        <v>200424</v>
      </c>
      <c r="O24" s="223">
        <v>49.25904135027303</v>
      </c>
      <c r="P24" s="223">
        <v>54.207791301921674</v>
      </c>
      <c r="Q24" s="223">
        <v>51.44432409123344</v>
      </c>
      <c r="R24" s="173">
        <v>107166</v>
      </c>
      <c r="S24" s="173">
        <v>93258</v>
      </c>
      <c r="T24" s="173">
        <v>200424</v>
      </c>
      <c r="U24" s="181">
        <v>1788</v>
      </c>
      <c r="V24" s="181">
        <v>3260</v>
      </c>
      <c r="W24" s="173">
        <v>5048</v>
      </c>
      <c r="X24" s="173">
        <v>29054</v>
      </c>
      <c r="Y24" s="173">
        <v>34496</v>
      </c>
      <c r="Z24" s="173">
        <v>63550</v>
      </c>
      <c r="AA24" s="178">
        <v>1.6684396170427187</v>
      </c>
      <c r="AB24" s="178">
        <v>3.4956786549143235</v>
      </c>
      <c r="AC24" s="178">
        <v>2.5186604398674808</v>
      </c>
      <c r="AD24" s="178">
        <v>27.111210645167308</v>
      </c>
      <c r="AE24" s="178">
        <v>36.98985609813635</v>
      </c>
      <c r="AF24" s="178">
        <v>31.707779507444219</v>
      </c>
    </row>
    <row r="25" spans="1:32">
      <c r="A25" s="221">
        <v>16</v>
      </c>
      <c r="B25" s="222" t="s">
        <v>150</v>
      </c>
      <c r="C25" s="171">
        <v>71170</v>
      </c>
      <c r="D25" s="171">
        <v>62721</v>
      </c>
      <c r="E25" s="171">
        <v>133891</v>
      </c>
      <c r="F25" s="171">
        <v>45465</v>
      </c>
      <c r="G25" s="171">
        <v>42725</v>
      </c>
      <c r="H25" s="171">
        <v>88190</v>
      </c>
      <c r="I25" s="171">
        <v>6492</v>
      </c>
      <c r="J25" s="171">
        <v>5398</v>
      </c>
      <c r="K25" s="171">
        <v>11890</v>
      </c>
      <c r="L25" s="170">
        <v>51957</v>
      </c>
      <c r="M25" s="170">
        <v>48123</v>
      </c>
      <c r="N25" s="171">
        <v>100080</v>
      </c>
      <c r="O25" s="223">
        <v>73.004074750597155</v>
      </c>
      <c r="P25" s="223">
        <v>76.725498636820205</v>
      </c>
      <c r="Q25" s="223">
        <v>74.747369128619539</v>
      </c>
      <c r="R25" s="173">
        <v>51957</v>
      </c>
      <c r="S25" s="173">
        <v>48123</v>
      </c>
      <c r="T25" s="173">
        <v>100080</v>
      </c>
      <c r="U25" s="181">
        <v>7164</v>
      </c>
      <c r="V25" s="181">
        <v>9804</v>
      </c>
      <c r="W25" s="173">
        <v>16968</v>
      </c>
      <c r="X25" s="173">
        <v>17885</v>
      </c>
      <c r="Y25" s="173">
        <v>18430</v>
      </c>
      <c r="Z25" s="173">
        <v>36315</v>
      </c>
      <c r="AA25" s="178">
        <v>13.788324961025461</v>
      </c>
      <c r="AB25" s="178">
        <v>20.372794713546536</v>
      </c>
      <c r="AC25" s="178">
        <v>16.954436450839328</v>
      </c>
      <c r="AD25" s="178">
        <v>34.422695690667283</v>
      </c>
      <c r="AE25" s="178">
        <v>38.297695488643683</v>
      </c>
      <c r="AF25" s="178">
        <v>36.285971223021583</v>
      </c>
    </row>
    <row r="26" spans="1:32">
      <c r="A26" s="221">
        <v>17</v>
      </c>
      <c r="B26" s="222" t="s">
        <v>151</v>
      </c>
      <c r="C26" s="171">
        <v>110502</v>
      </c>
      <c r="D26" s="171">
        <v>91212</v>
      </c>
      <c r="E26" s="171">
        <v>201714</v>
      </c>
      <c r="F26" s="171">
        <v>56137</v>
      </c>
      <c r="G26" s="171">
        <v>47460</v>
      </c>
      <c r="H26" s="171">
        <v>103597</v>
      </c>
      <c r="I26" s="171">
        <v>6456</v>
      </c>
      <c r="J26" s="171">
        <v>5832</v>
      </c>
      <c r="K26" s="171">
        <v>12288</v>
      </c>
      <c r="L26" s="170">
        <v>62593</v>
      </c>
      <c r="M26" s="170">
        <v>53292</v>
      </c>
      <c r="N26" s="171">
        <v>115885</v>
      </c>
      <c r="O26" s="223">
        <v>56.644223633961374</v>
      </c>
      <c r="P26" s="223">
        <v>58.426522825943948</v>
      </c>
      <c r="Q26" s="223">
        <v>57.450152195683003</v>
      </c>
      <c r="R26" s="173">
        <v>62593</v>
      </c>
      <c r="S26" s="173">
        <v>53292</v>
      </c>
      <c r="T26" s="173">
        <v>115885</v>
      </c>
      <c r="U26" s="224"/>
      <c r="V26" s="224"/>
      <c r="W26" s="224"/>
      <c r="X26" s="224"/>
      <c r="Y26" s="224"/>
      <c r="Z26" s="224"/>
      <c r="AA26" s="225"/>
      <c r="AB26" s="225"/>
      <c r="AC26" s="225"/>
      <c r="AD26" s="225"/>
      <c r="AE26" s="225"/>
      <c r="AF26" s="225"/>
    </row>
    <row r="27" spans="1:32">
      <c r="A27" s="221">
        <v>18</v>
      </c>
      <c r="B27" s="222" t="s">
        <v>152</v>
      </c>
      <c r="C27" s="171">
        <v>229066</v>
      </c>
      <c r="D27" s="171">
        <v>226115</v>
      </c>
      <c r="E27" s="171">
        <v>455181</v>
      </c>
      <c r="F27" s="171">
        <v>169392</v>
      </c>
      <c r="G27" s="171">
        <v>154945</v>
      </c>
      <c r="H27" s="171">
        <v>324337</v>
      </c>
      <c r="I27" s="213"/>
      <c r="J27" s="213"/>
      <c r="K27" s="213"/>
      <c r="L27" s="170">
        <v>169392</v>
      </c>
      <c r="M27" s="170">
        <v>154945</v>
      </c>
      <c r="N27" s="171">
        <v>324337</v>
      </c>
      <c r="O27" s="223">
        <v>73.948992866684719</v>
      </c>
      <c r="P27" s="223">
        <v>68.524865665701086</v>
      </c>
      <c r="Q27" s="223">
        <v>71.254511941403536</v>
      </c>
      <c r="R27" s="173">
        <v>169392</v>
      </c>
      <c r="S27" s="173">
        <v>154945</v>
      </c>
      <c r="T27" s="173">
        <v>324337</v>
      </c>
      <c r="U27" s="32">
        <v>9787</v>
      </c>
      <c r="V27" s="32">
        <v>7406</v>
      </c>
      <c r="W27" s="173">
        <v>17193</v>
      </c>
      <c r="X27" s="32">
        <v>42142</v>
      </c>
      <c r="Y27" s="32">
        <v>35327</v>
      </c>
      <c r="Z27" s="173">
        <v>77469</v>
      </c>
      <c r="AA27" s="178">
        <v>5.777722678756966</v>
      </c>
      <c r="AB27" s="178">
        <v>4.7797605601987803</v>
      </c>
      <c r="AC27" s="178">
        <v>5.3009678205076822</v>
      </c>
      <c r="AD27" s="178">
        <v>24.878388589779917</v>
      </c>
      <c r="AE27" s="178">
        <v>22.799703120462098</v>
      </c>
      <c r="AF27" s="178">
        <v>23.885341481237109</v>
      </c>
    </row>
    <row r="28" spans="1:32" ht="28.5">
      <c r="A28" s="221">
        <v>19</v>
      </c>
      <c r="B28" s="222" t="s">
        <v>269</v>
      </c>
      <c r="C28" s="171">
        <v>439695</v>
      </c>
      <c r="D28" s="171">
        <v>396905</v>
      </c>
      <c r="E28" s="171">
        <v>836600</v>
      </c>
      <c r="F28" s="171">
        <v>342882</v>
      </c>
      <c r="G28" s="171">
        <v>342673</v>
      </c>
      <c r="H28" s="171">
        <v>685555</v>
      </c>
      <c r="I28" s="171">
        <v>30630</v>
      </c>
      <c r="J28" s="171">
        <v>17930</v>
      </c>
      <c r="K28" s="171">
        <v>48560</v>
      </c>
      <c r="L28" s="170">
        <v>373512</v>
      </c>
      <c r="M28" s="170">
        <v>360603</v>
      </c>
      <c r="N28" s="171">
        <v>734115</v>
      </c>
      <c r="O28" s="223">
        <v>84.947975301060964</v>
      </c>
      <c r="P28" s="223">
        <v>90.853730741613234</v>
      </c>
      <c r="Q28" s="223">
        <v>87.749820702844843</v>
      </c>
      <c r="R28" s="173">
        <f t="shared" ref="R28:T28" si="4">L28</f>
        <v>373512</v>
      </c>
      <c r="S28" s="173">
        <f t="shared" si="4"/>
        <v>360603</v>
      </c>
      <c r="T28" s="173">
        <f t="shared" si="4"/>
        <v>734115</v>
      </c>
      <c r="U28" s="32">
        <v>66525</v>
      </c>
      <c r="V28" s="32">
        <v>94453</v>
      </c>
      <c r="W28" s="32">
        <f t="shared" ref="W28" si="5">U28+V28</f>
        <v>160978</v>
      </c>
      <c r="X28" s="32">
        <v>110076</v>
      </c>
      <c r="Y28" s="32">
        <v>123793</v>
      </c>
      <c r="Z28" s="173">
        <f t="shared" ref="Z28" si="6">X28+Y28</f>
        <v>233869</v>
      </c>
      <c r="AA28" s="182">
        <f t="shared" ref="AA28:AC28" si="7">U28/R28%</f>
        <v>17.810672749469898</v>
      </c>
      <c r="AB28" s="182">
        <f t="shared" si="7"/>
        <v>26.193071050434966</v>
      </c>
      <c r="AC28" s="182">
        <f t="shared" si="7"/>
        <v>21.928172016645895</v>
      </c>
      <c r="AD28" s="178">
        <f t="shared" ref="AD28:AF28" si="8">X28/R28%</f>
        <v>29.470539099145409</v>
      </c>
      <c r="AE28" s="178">
        <f t="shared" si="8"/>
        <v>34.329442628042472</v>
      </c>
      <c r="AF28" s="178">
        <f t="shared" si="8"/>
        <v>31.857270318683042</v>
      </c>
    </row>
    <row r="29" spans="1:32">
      <c r="A29" s="221">
        <v>20</v>
      </c>
      <c r="B29" s="222" t="s">
        <v>270</v>
      </c>
      <c r="C29" s="228">
        <v>237189</v>
      </c>
      <c r="D29" s="171">
        <v>231054</v>
      </c>
      <c r="E29" s="171">
        <v>468243</v>
      </c>
      <c r="F29" s="171">
        <v>233003</v>
      </c>
      <c r="G29" s="171">
        <v>228822</v>
      </c>
      <c r="H29" s="171">
        <v>461825</v>
      </c>
      <c r="I29" s="213"/>
      <c r="J29" s="213"/>
      <c r="K29" s="213"/>
      <c r="L29" s="170">
        <v>233003</v>
      </c>
      <c r="M29" s="170">
        <v>228822</v>
      </c>
      <c r="N29" s="171">
        <v>461825</v>
      </c>
      <c r="O29" s="223">
        <v>98.235162676178064</v>
      </c>
      <c r="P29" s="223">
        <v>99.033992053805605</v>
      </c>
      <c r="Q29" s="223">
        <v>98.629344165315871</v>
      </c>
      <c r="R29" s="173">
        <v>233003</v>
      </c>
      <c r="S29" s="173">
        <v>228822</v>
      </c>
      <c r="T29" s="173">
        <v>461825</v>
      </c>
      <c r="U29" s="224"/>
      <c r="V29" s="224"/>
      <c r="W29" s="224"/>
      <c r="X29" s="32">
        <v>42716</v>
      </c>
      <c r="Y29" s="32">
        <v>67489</v>
      </c>
      <c r="Z29" s="173">
        <v>110205</v>
      </c>
      <c r="AA29" s="225"/>
      <c r="AB29" s="225"/>
      <c r="AC29" s="225"/>
      <c r="AD29" s="178">
        <v>18.332811165521473</v>
      </c>
      <c r="AE29" s="178">
        <v>29.494104587845577</v>
      </c>
      <c r="AF29" s="178">
        <v>23.862935094462188</v>
      </c>
    </row>
    <row r="30" spans="1:32" ht="28.5">
      <c r="A30" s="221">
        <v>21</v>
      </c>
      <c r="B30" s="222" t="s">
        <v>271</v>
      </c>
      <c r="C30" s="171">
        <v>954495</v>
      </c>
      <c r="D30" s="171">
        <v>770323</v>
      </c>
      <c r="E30" s="171">
        <v>1724818</v>
      </c>
      <c r="F30" s="171">
        <v>815774</v>
      </c>
      <c r="G30" s="171">
        <v>697408</v>
      </c>
      <c r="H30" s="171">
        <v>1513182</v>
      </c>
      <c r="I30" s="171">
        <v>23382</v>
      </c>
      <c r="J30" s="171">
        <v>11959</v>
      </c>
      <c r="K30" s="171">
        <v>35341</v>
      </c>
      <c r="L30" s="170">
        <v>839156</v>
      </c>
      <c r="M30" s="170">
        <v>709367</v>
      </c>
      <c r="N30" s="171">
        <v>1548523</v>
      </c>
      <c r="O30" s="223">
        <v>87.916227953001325</v>
      </c>
      <c r="P30" s="223">
        <v>92.08695573155677</v>
      </c>
      <c r="Q30" s="223">
        <v>89.778921602163237</v>
      </c>
      <c r="R30" s="173">
        <f>L30</f>
        <v>839156</v>
      </c>
      <c r="S30" s="173">
        <f t="shared" ref="S30:T30" si="9">M30</f>
        <v>709367</v>
      </c>
      <c r="T30" s="173">
        <f t="shared" si="9"/>
        <v>1548523</v>
      </c>
      <c r="U30" s="181">
        <v>173357</v>
      </c>
      <c r="V30" s="181">
        <v>201070</v>
      </c>
      <c r="W30" s="173">
        <v>374427</v>
      </c>
      <c r="X30" s="173">
        <v>278602</v>
      </c>
      <c r="Y30" s="173">
        <v>262637</v>
      </c>
      <c r="Z30" s="173">
        <v>541239</v>
      </c>
      <c r="AA30" s="178">
        <v>20.658667292697722</v>
      </c>
      <c r="AB30" s="178">
        <v>28.345029223278253</v>
      </c>
      <c r="AC30" s="178">
        <v>24.179746402198237</v>
      </c>
      <c r="AD30" s="178">
        <v>33.200540070952833</v>
      </c>
      <c r="AE30" s="178">
        <v>37.024187795862787</v>
      </c>
      <c r="AF30" s="178">
        <v>34.952131558299406</v>
      </c>
    </row>
    <row r="31" spans="1:32" ht="28.5">
      <c r="A31" s="221">
        <v>22</v>
      </c>
      <c r="B31" s="222" t="s">
        <v>272</v>
      </c>
      <c r="C31" s="171">
        <v>619327</v>
      </c>
      <c r="D31" s="171">
        <v>495259</v>
      </c>
      <c r="E31" s="171">
        <v>1114586</v>
      </c>
      <c r="F31" s="171">
        <v>245166</v>
      </c>
      <c r="G31" s="171">
        <v>207822</v>
      </c>
      <c r="H31" s="171">
        <v>452988</v>
      </c>
      <c r="I31" s="171">
        <v>64196</v>
      </c>
      <c r="J31" s="171">
        <v>57881</v>
      </c>
      <c r="K31" s="171">
        <v>122077</v>
      </c>
      <c r="L31" s="170">
        <v>309362</v>
      </c>
      <c r="M31" s="170">
        <v>265703</v>
      </c>
      <c r="N31" s="171">
        <v>575065</v>
      </c>
      <c r="O31" s="223">
        <v>49.951318124351111</v>
      </c>
      <c r="P31" s="223">
        <v>53.649302688088454</v>
      </c>
      <c r="Q31" s="223">
        <v>51.594493381399012</v>
      </c>
      <c r="R31" s="173">
        <v>309362</v>
      </c>
      <c r="S31" s="173">
        <v>265703</v>
      </c>
      <c r="T31" s="173">
        <v>575065</v>
      </c>
      <c r="U31" s="181">
        <v>27565</v>
      </c>
      <c r="V31" s="181">
        <v>26912</v>
      </c>
      <c r="W31" s="173">
        <v>54477</v>
      </c>
      <c r="X31" s="173">
        <v>68841</v>
      </c>
      <c r="Y31" s="173">
        <v>60975</v>
      </c>
      <c r="Z31" s="173">
        <v>129816</v>
      </c>
      <c r="AA31" s="178">
        <v>8.9102734013873715</v>
      </c>
      <c r="AB31" s="178">
        <v>10.128602236331542</v>
      </c>
      <c r="AC31" s="178">
        <v>9.4731899872188361</v>
      </c>
      <c r="AD31" s="178">
        <v>22.252571421182953</v>
      </c>
      <c r="AE31" s="178">
        <v>22.948555341866669</v>
      </c>
      <c r="AF31" s="178">
        <v>22.574143792440857</v>
      </c>
    </row>
    <row r="32" spans="1:32">
      <c r="A32" s="221">
        <v>23</v>
      </c>
      <c r="B32" s="222" t="s">
        <v>141</v>
      </c>
      <c r="C32" s="171">
        <v>17213</v>
      </c>
      <c r="D32" s="171">
        <v>17451</v>
      </c>
      <c r="E32" s="171">
        <v>34664</v>
      </c>
      <c r="F32" s="171">
        <v>11184</v>
      </c>
      <c r="G32" s="171">
        <v>10100</v>
      </c>
      <c r="H32" s="171">
        <v>21284</v>
      </c>
      <c r="I32" s="171">
        <v>2195</v>
      </c>
      <c r="J32" s="171">
        <v>2665</v>
      </c>
      <c r="K32" s="171">
        <v>4860</v>
      </c>
      <c r="L32" s="170">
        <v>13379</v>
      </c>
      <c r="M32" s="170">
        <v>12765</v>
      </c>
      <c r="N32" s="171">
        <v>26144</v>
      </c>
      <c r="O32" s="223">
        <v>77.726137221867191</v>
      </c>
      <c r="P32" s="223">
        <v>73.147670620594809</v>
      </c>
      <c r="Q32" s="223">
        <v>75.421186245095768</v>
      </c>
      <c r="R32" s="173">
        <f t="shared" ref="R32:T32" si="10">L32</f>
        <v>13379</v>
      </c>
      <c r="S32" s="173">
        <f t="shared" si="10"/>
        <v>12765</v>
      </c>
      <c r="T32" s="173">
        <f t="shared" si="10"/>
        <v>26144</v>
      </c>
      <c r="U32" s="32">
        <v>553</v>
      </c>
      <c r="V32" s="32">
        <v>425</v>
      </c>
      <c r="W32" s="32">
        <v>978</v>
      </c>
      <c r="X32" s="32">
        <v>3016</v>
      </c>
      <c r="Y32" s="32">
        <v>2689</v>
      </c>
      <c r="Z32" s="32">
        <f t="shared" ref="Z32" si="11">X32+Y32</f>
        <v>5705</v>
      </c>
      <c r="AA32" s="182">
        <f t="shared" ref="AA32:AC32" si="12">U32/R32%</f>
        <v>4.1333432992002397</v>
      </c>
      <c r="AB32" s="182">
        <f t="shared" si="12"/>
        <v>3.3294163728946335</v>
      </c>
      <c r="AC32" s="182">
        <f t="shared" si="12"/>
        <v>3.7408200734394126</v>
      </c>
      <c r="AD32" s="182">
        <f t="shared" ref="AD32:AF32" si="13">X32/R32%</f>
        <v>22.542790941026983</v>
      </c>
      <c r="AE32" s="182">
        <f t="shared" si="13"/>
        <v>21.065413239326283</v>
      </c>
      <c r="AF32" s="182">
        <f t="shared" si="13"/>
        <v>21.821450428396574</v>
      </c>
    </row>
    <row r="33" spans="1:32">
      <c r="A33" s="221">
        <v>24</v>
      </c>
      <c r="B33" s="222" t="s">
        <v>158</v>
      </c>
      <c r="C33" s="171">
        <v>21412</v>
      </c>
      <c r="D33" s="171">
        <v>24459</v>
      </c>
      <c r="E33" s="171">
        <v>45871</v>
      </c>
      <c r="F33" s="171">
        <v>11468</v>
      </c>
      <c r="G33" s="171">
        <v>12905</v>
      </c>
      <c r="H33" s="171">
        <v>24373</v>
      </c>
      <c r="I33" s="213"/>
      <c r="J33" s="213"/>
      <c r="K33" s="213"/>
      <c r="L33" s="170">
        <v>11468</v>
      </c>
      <c r="M33" s="170">
        <v>12905</v>
      </c>
      <c r="N33" s="171">
        <v>24373</v>
      </c>
      <c r="O33" s="223">
        <v>53.558752101625259</v>
      </c>
      <c r="P33" s="223">
        <v>52.761764585633095</v>
      </c>
      <c r="Q33" s="223">
        <v>53.133788232216425</v>
      </c>
      <c r="R33" s="173">
        <v>11468</v>
      </c>
      <c r="S33" s="173">
        <v>12905</v>
      </c>
      <c r="T33" s="173">
        <v>24373</v>
      </c>
      <c r="U33" s="181">
        <v>635</v>
      </c>
      <c r="V33" s="181">
        <v>756</v>
      </c>
      <c r="W33" s="173">
        <v>1391</v>
      </c>
      <c r="X33" s="173">
        <v>1933</v>
      </c>
      <c r="Y33" s="173">
        <v>2205</v>
      </c>
      <c r="Z33" s="173">
        <v>4138</v>
      </c>
      <c r="AA33" s="178">
        <v>5.5371468433903033</v>
      </c>
      <c r="AB33" s="178">
        <v>5.8581944982564895</v>
      </c>
      <c r="AC33" s="178">
        <v>5.7071349444056949</v>
      </c>
      <c r="AD33" s="178">
        <v>16.85559818625741</v>
      </c>
      <c r="AE33" s="178">
        <v>17.086400619914759</v>
      </c>
      <c r="AF33" s="178">
        <v>16.977803306938007</v>
      </c>
    </row>
    <row r="34" spans="1:32">
      <c r="A34" s="221">
        <v>25</v>
      </c>
      <c r="B34" s="222" t="s">
        <v>159</v>
      </c>
      <c r="C34" s="171">
        <v>8287</v>
      </c>
      <c r="D34" s="171">
        <v>8870</v>
      </c>
      <c r="E34" s="171">
        <v>17157</v>
      </c>
      <c r="F34" s="171">
        <v>5672</v>
      </c>
      <c r="G34" s="171">
        <v>6047</v>
      </c>
      <c r="H34" s="171">
        <v>11719</v>
      </c>
      <c r="I34" s="171">
        <v>57</v>
      </c>
      <c r="J34" s="171">
        <v>48</v>
      </c>
      <c r="K34" s="171">
        <v>105</v>
      </c>
      <c r="L34" s="170">
        <v>5729</v>
      </c>
      <c r="M34" s="170">
        <v>6095</v>
      </c>
      <c r="N34" s="171">
        <v>11824</v>
      </c>
      <c r="O34" s="223">
        <v>69.132376010619041</v>
      </c>
      <c r="P34" s="223">
        <v>68.714768883878236</v>
      </c>
      <c r="Q34" s="223">
        <v>68.916477239610657</v>
      </c>
      <c r="R34" s="169">
        <f t="shared" ref="R34:T34" si="14">L34</f>
        <v>5729</v>
      </c>
      <c r="S34" s="169">
        <f t="shared" si="14"/>
        <v>6095</v>
      </c>
      <c r="T34" s="169">
        <f t="shared" si="14"/>
        <v>11824</v>
      </c>
      <c r="U34" s="224"/>
      <c r="V34" s="224"/>
      <c r="W34" s="224"/>
      <c r="X34" s="224"/>
      <c r="Y34" s="224"/>
      <c r="Z34" s="224"/>
      <c r="AA34" s="225"/>
      <c r="AB34" s="225"/>
      <c r="AC34" s="225"/>
      <c r="AD34" s="225"/>
      <c r="AE34" s="225"/>
      <c r="AF34" s="225"/>
    </row>
    <row r="35" spans="1:32">
      <c r="A35" s="221">
        <v>26</v>
      </c>
      <c r="B35" s="222" t="s">
        <v>160</v>
      </c>
      <c r="C35" s="171">
        <v>11541</v>
      </c>
      <c r="D35" s="171">
        <v>12098</v>
      </c>
      <c r="E35" s="171">
        <v>23639</v>
      </c>
      <c r="F35" s="171">
        <v>7389</v>
      </c>
      <c r="G35" s="171">
        <v>7516</v>
      </c>
      <c r="H35" s="171">
        <v>14905</v>
      </c>
      <c r="I35" s="171">
        <v>705</v>
      </c>
      <c r="J35" s="171">
        <v>738</v>
      </c>
      <c r="K35" s="171">
        <v>1443</v>
      </c>
      <c r="L35" s="170">
        <v>8094</v>
      </c>
      <c r="M35" s="170">
        <v>8254</v>
      </c>
      <c r="N35" s="171">
        <v>16348</v>
      </c>
      <c r="O35" s="223">
        <v>70.132570834416427</v>
      </c>
      <c r="P35" s="223">
        <v>68.226153083154244</v>
      </c>
      <c r="Q35" s="223">
        <v>69.156901730191635</v>
      </c>
      <c r="R35" s="173">
        <v>8094</v>
      </c>
      <c r="S35" s="173">
        <v>8254</v>
      </c>
      <c r="T35" s="173">
        <v>16348</v>
      </c>
      <c r="U35" s="181">
        <v>590</v>
      </c>
      <c r="V35" s="181">
        <v>724</v>
      </c>
      <c r="W35" s="173">
        <v>1314</v>
      </c>
      <c r="X35" s="173">
        <v>1533</v>
      </c>
      <c r="Y35" s="173">
        <v>1613</v>
      </c>
      <c r="Z35" s="173">
        <v>3146</v>
      </c>
      <c r="AA35" s="178">
        <v>7.2893501359031383</v>
      </c>
      <c r="AB35" s="178">
        <v>8.7715047249818259</v>
      </c>
      <c r="AC35" s="178">
        <v>8.0376804502079775</v>
      </c>
      <c r="AD35" s="178">
        <v>18.939955522609342</v>
      </c>
      <c r="AE35" s="178">
        <v>19.542040222922218</v>
      </c>
      <c r="AF35" s="178">
        <v>19.243944213359434</v>
      </c>
    </row>
    <row r="36" spans="1:32">
      <c r="A36" s="221">
        <v>27</v>
      </c>
      <c r="B36" s="222" t="s">
        <v>273</v>
      </c>
      <c r="C36" s="171">
        <v>288590</v>
      </c>
      <c r="D36" s="171">
        <v>287901</v>
      </c>
      <c r="E36" s="171">
        <v>576491</v>
      </c>
      <c r="F36" s="171">
        <v>231746</v>
      </c>
      <c r="G36" s="171">
        <v>232627</v>
      </c>
      <c r="H36" s="171">
        <v>464373</v>
      </c>
      <c r="I36" s="213"/>
      <c r="J36" s="213"/>
      <c r="K36" s="213"/>
      <c r="L36" s="170">
        <v>231746</v>
      </c>
      <c r="M36" s="170">
        <v>232627</v>
      </c>
      <c r="N36" s="171">
        <v>464373</v>
      </c>
      <c r="O36" s="223">
        <v>80.302851796666559</v>
      </c>
      <c r="P36" s="223">
        <v>80.801039246129747</v>
      </c>
      <c r="Q36" s="223">
        <v>80.551647814102907</v>
      </c>
      <c r="R36" s="173">
        <v>231746</v>
      </c>
      <c r="S36" s="173">
        <v>232627</v>
      </c>
      <c r="T36" s="173">
        <v>464373</v>
      </c>
      <c r="U36" s="224"/>
      <c r="V36" s="224"/>
      <c r="W36" s="224"/>
      <c r="X36" s="224"/>
      <c r="Y36" s="224"/>
      <c r="Z36" s="224"/>
      <c r="AA36" s="225"/>
      <c r="AB36" s="225"/>
      <c r="AC36" s="225"/>
      <c r="AD36" s="225"/>
      <c r="AE36" s="225"/>
      <c r="AF36" s="225"/>
    </row>
    <row r="37" spans="1:32">
      <c r="A37" s="221">
        <v>28</v>
      </c>
      <c r="B37" s="222" t="s">
        <v>162</v>
      </c>
      <c r="C37" s="171">
        <v>198963</v>
      </c>
      <c r="D37" s="171">
        <v>159192</v>
      </c>
      <c r="E37" s="171">
        <v>358155</v>
      </c>
      <c r="F37" s="171">
        <v>125037</v>
      </c>
      <c r="G37" s="171">
        <v>117438</v>
      </c>
      <c r="H37" s="171">
        <v>242475</v>
      </c>
      <c r="I37" s="213"/>
      <c r="J37" s="213"/>
      <c r="K37" s="213"/>
      <c r="L37" s="170">
        <v>125037</v>
      </c>
      <c r="M37" s="170">
        <v>117438</v>
      </c>
      <c r="N37" s="171">
        <v>242475</v>
      </c>
      <c r="O37" s="223">
        <v>62.844347944090103</v>
      </c>
      <c r="P37" s="223">
        <v>73.771295039951752</v>
      </c>
      <c r="Q37" s="223">
        <v>67.701134983456882</v>
      </c>
      <c r="R37" s="173">
        <v>125037</v>
      </c>
      <c r="S37" s="173">
        <v>117438</v>
      </c>
      <c r="T37" s="173">
        <v>242475</v>
      </c>
      <c r="U37" s="181">
        <v>21238</v>
      </c>
      <c r="V37" s="181">
        <v>37407</v>
      </c>
      <c r="W37" s="173">
        <v>58645</v>
      </c>
      <c r="X37" s="173">
        <v>59046</v>
      </c>
      <c r="Y37" s="173">
        <v>54343</v>
      </c>
      <c r="Z37" s="173">
        <v>113389</v>
      </c>
      <c r="AA37" s="178">
        <v>16.985372329790383</v>
      </c>
      <c r="AB37" s="178">
        <v>31.852551984877124</v>
      </c>
      <c r="AC37" s="178">
        <v>24.185998556552221</v>
      </c>
      <c r="AD37" s="178">
        <v>47.222822044674778</v>
      </c>
      <c r="AE37" s="178">
        <v>46.273778504402316</v>
      </c>
      <c r="AF37" s="178">
        <v>46.763171460975357</v>
      </c>
    </row>
    <row r="38" spans="1:32" ht="28.5">
      <c r="A38" s="221">
        <v>29</v>
      </c>
      <c r="B38" s="222" t="s">
        <v>212</v>
      </c>
      <c r="C38" s="171">
        <v>651966</v>
      </c>
      <c r="D38" s="171">
        <v>454472</v>
      </c>
      <c r="E38" s="171">
        <v>1106438</v>
      </c>
      <c r="F38" s="171">
        <v>487676</v>
      </c>
      <c r="G38" s="171">
        <v>349035</v>
      </c>
      <c r="H38" s="171">
        <v>836711</v>
      </c>
      <c r="I38" s="171">
        <v>7941</v>
      </c>
      <c r="J38" s="171">
        <v>6584</v>
      </c>
      <c r="K38" s="171">
        <v>14525</v>
      </c>
      <c r="L38" s="170">
        <v>495617</v>
      </c>
      <c r="M38" s="170">
        <v>355619</v>
      </c>
      <c r="N38" s="171">
        <v>851236</v>
      </c>
      <c r="O38" s="223">
        <v>76.018841473328365</v>
      </c>
      <c r="P38" s="223">
        <v>78.248825010121635</v>
      </c>
      <c r="Q38" s="223">
        <v>76.934812434135495</v>
      </c>
      <c r="R38" s="173">
        <v>495617</v>
      </c>
      <c r="S38" s="173">
        <v>355619</v>
      </c>
      <c r="T38" s="173">
        <v>851236</v>
      </c>
      <c r="U38" s="181">
        <v>33816</v>
      </c>
      <c r="V38" s="181">
        <v>23493</v>
      </c>
      <c r="W38" s="173">
        <v>57309</v>
      </c>
      <c r="X38" s="173">
        <v>99801</v>
      </c>
      <c r="Y38" s="173">
        <v>72038</v>
      </c>
      <c r="Z38" s="173">
        <v>171839</v>
      </c>
      <c r="AA38" s="178">
        <v>6.823010510131815</v>
      </c>
      <c r="AB38" s="178">
        <v>6.6062274512891603</v>
      </c>
      <c r="AC38" s="178">
        <v>6.7324455262700349</v>
      </c>
      <c r="AD38" s="178">
        <v>20.136718474144349</v>
      </c>
      <c r="AE38" s="178">
        <v>20.257072878558233</v>
      </c>
      <c r="AF38" s="178">
        <v>20.186998670169025</v>
      </c>
    </row>
    <row r="39" spans="1:32" ht="28.5">
      <c r="A39" s="221">
        <v>30</v>
      </c>
      <c r="B39" s="222" t="s">
        <v>274</v>
      </c>
      <c r="C39" s="171">
        <v>533103</v>
      </c>
      <c r="D39" s="171">
        <v>527833</v>
      </c>
      <c r="E39" s="171">
        <v>1060936</v>
      </c>
      <c r="F39" s="171">
        <v>482371</v>
      </c>
      <c r="G39" s="171">
        <v>503579</v>
      </c>
      <c r="H39" s="171">
        <v>985950</v>
      </c>
      <c r="I39" s="213"/>
      <c r="J39" s="213"/>
      <c r="K39" s="213"/>
      <c r="L39" s="170">
        <v>482371</v>
      </c>
      <c r="M39" s="170">
        <v>503579</v>
      </c>
      <c r="N39" s="171">
        <v>985950</v>
      </c>
      <c r="O39" s="223">
        <v>90.48364012207773</v>
      </c>
      <c r="P39" s="223">
        <v>95.40498604672311</v>
      </c>
      <c r="Q39" s="223">
        <v>92.932090154354256</v>
      </c>
      <c r="R39" s="173">
        <v>482371</v>
      </c>
      <c r="S39" s="173">
        <v>503579</v>
      </c>
      <c r="T39" s="173">
        <v>985950</v>
      </c>
      <c r="U39" s="181">
        <v>222302</v>
      </c>
      <c r="V39" s="181">
        <v>296798</v>
      </c>
      <c r="W39" s="173">
        <v>519100</v>
      </c>
      <c r="X39" s="173">
        <v>145673</v>
      </c>
      <c r="Y39" s="173">
        <v>131701</v>
      </c>
      <c r="Z39" s="173">
        <v>277374</v>
      </c>
      <c r="AA39" s="178">
        <v>46.085274612279761</v>
      </c>
      <c r="AB39" s="178">
        <v>58.937723773231212</v>
      </c>
      <c r="AC39" s="178">
        <v>52.649728688067349</v>
      </c>
      <c r="AD39" s="178">
        <v>30.199369365073771</v>
      </c>
      <c r="AE39" s="178">
        <v>26.152996848558022</v>
      </c>
      <c r="AF39" s="178">
        <v>28.132663928191086</v>
      </c>
    </row>
    <row r="40" spans="1:32">
      <c r="A40" s="221">
        <v>31</v>
      </c>
      <c r="B40" s="222" t="s">
        <v>165</v>
      </c>
      <c r="C40" s="171">
        <v>19046</v>
      </c>
      <c r="D40" s="171">
        <v>17755</v>
      </c>
      <c r="E40" s="171">
        <v>36801</v>
      </c>
      <c r="F40" s="171">
        <v>12676</v>
      </c>
      <c r="G40" s="171">
        <v>11284</v>
      </c>
      <c r="H40" s="171">
        <v>23960</v>
      </c>
      <c r="I40" s="213"/>
      <c r="J40" s="213"/>
      <c r="K40" s="213"/>
      <c r="L40" s="170">
        <v>12676</v>
      </c>
      <c r="M40" s="170">
        <v>11284</v>
      </c>
      <c r="N40" s="171">
        <v>23960</v>
      </c>
      <c r="O40" s="223">
        <v>66.554657145857405</v>
      </c>
      <c r="P40" s="223">
        <v>63.553928470853279</v>
      </c>
      <c r="Q40" s="223">
        <v>65.106926442216235</v>
      </c>
      <c r="R40" s="173">
        <v>12676</v>
      </c>
      <c r="S40" s="173">
        <v>11284</v>
      </c>
      <c r="T40" s="173">
        <v>23960</v>
      </c>
      <c r="U40" s="32">
        <v>565</v>
      </c>
      <c r="V40" s="32">
        <v>386</v>
      </c>
      <c r="W40" s="32">
        <v>951</v>
      </c>
      <c r="X40" s="32">
        <v>1166</v>
      </c>
      <c r="Y40" s="32">
        <v>1048</v>
      </c>
      <c r="Z40" s="32">
        <v>2214</v>
      </c>
      <c r="AA40" s="182">
        <v>4.4572420321868096</v>
      </c>
      <c r="AB40" s="182">
        <v>3.4207727756114852</v>
      </c>
      <c r="AC40" s="182">
        <v>3.9691151919866443</v>
      </c>
      <c r="AD40" s="182">
        <v>9.1984853266014515</v>
      </c>
      <c r="AE40" s="182">
        <v>9.2874867068415448</v>
      </c>
      <c r="AF40" s="182">
        <v>9.2404006677796335</v>
      </c>
    </row>
    <row r="41" spans="1:32" ht="28.5">
      <c r="A41" s="221">
        <v>32</v>
      </c>
      <c r="B41" s="222" t="s">
        <v>275</v>
      </c>
      <c r="C41" s="171">
        <v>1694859</v>
      </c>
      <c r="D41" s="171">
        <v>1450246</v>
      </c>
      <c r="E41" s="171">
        <v>3145105</v>
      </c>
      <c r="F41" s="171">
        <v>1298121</v>
      </c>
      <c r="G41" s="171">
        <v>1253225</v>
      </c>
      <c r="H41" s="171">
        <v>2551346</v>
      </c>
      <c r="I41" s="213"/>
      <c r="J41" s="213"/>
      <c r="K41" s="213"/>
      <c r="L41" s="170">
        <v>1298121</v>
      </c>
      <c r="M41" s="170">
        <v>1253225</v>
      </c>
      <c r="N41" s="171">
        <v>2551346</v>
      </c>
      <c r="O41" s="223">
        <v>76.591681077894975</v>
      </c>
      <c r="P41" s="223">
        <v>86.414649652541712</v>
      </c>
      <c r="Q41" s="223">
        <v>81.121170835313933</v>
      </c>
      <c r="R41" s="173">
        <v>1298121</v>
      </c>
      <c r="S41" s="173">
        <v>1253225</v>
      </c>
      <c r="T41" s="173">
        <v>2551346</v>
      </c>
      <c r="U41" s="181">
        <v>242122</v>
      </c>
      <c r="V41" s="181">
        <v>287357</v>
      </c>
      <c r="W41" s="173">
        <v>529479</v>
      </c>
      <c r="X41" s="173">
        <v>692372</v>
      </c>
      <c r="Y41" s="173">
        <v>706726</v>
      </c>
      <c r="Z41" s="173">
        <v>1399098</v>
      </c>
      <c r="AA41" s="178">
        <v>18.651728151690023</v>
      </c>
      <c r="AB41" s="178">
        <v>22.929402142472423</v>
      </c>
      <c r="AC41" s="178">
        <v>20.752928062285555</v>
      </c>
      <c r="AD41" s="178">
        <v>53.33647633772199</v>
      </c>
      <c r="AE41" s="178">
        <v>56.392587125216942</v>
      </c>
      <c r="AF41" s="178">
        <v>54.837642562004525</v>
      </c>
    </row>
    <row r="42" spans="1:32">
      <c r="A42" s="221">
        <v>33</v>
      </c>
      <c r="B42" s="222" t="s">
        <v>276</v>
      </c>
      <c r="C42" s="171">
        <v>86336</v>
      </c>
      <c r="D42" s="171">
        <v>83145</v>
      </c>
      <c r="E42" s="171">
        <v>169481</v>
      </c>
      <c r="F42" s="171">
        <v>56196</v>
      </c>
      <c r="G42" s="171">
        <v>63601</v>
      </c>
      <c r="H42" s="171">
        <v>119797</v>
      </c>
      <c r="I42" s="213"/>
      <c r="J42" s="213"/>
      <c r="K42" s="213"/>
      <c r="L42" s="170">
        <v>56196</v>
      </c>
      <c r="M42" s="170">
        <v>63601</v>
      </c>
      <c r="N42" s="171">
        <v>119797</v>
      </c>
      <c r="O42" s="223">
        <v>65.089881393624907</v>
      </c>
      <c r="P42" s="223">
        <v>76.494076613145708</v>
      </c>
      <c r="Q42" s="223">
        <v>70.684619514871869</v>
      </c>
      <c r="R42" s="173">
        <v>56196</v>
      </c>
      <c r="S42" s="173">
        <v>63601</v>
      </c>
      <c r="T42" s="173">
        <v>119797</v>
      </c>
      <c r="U42" s="181">
        <v>2910</v>
      </c>
      <c r="V42" s="181">
        <v>2547</v>
      </c>
      <c r="W42" s="173">
        <v>5457</v>
      </c>
      <c r="X42" s="173">
        <v>10872</v>
      </c>
      <c r="Y42" s="173">
        <v>15239</v>
      </c>
      <c r="Z42" s="173">
        <v>26111</v>
      </c>
      <c r="AA42" s="178">
        <v>5.1783045056587653</v>
      </c>
      <c r="AB42" s="178">
        <v>4.0046540148739798</v>
      </c>
      <c r="AC42" s="178">
        <v>4.5552058899638554</v>
      </c>
      <c r="AD42" s="178">
        <v>19.346572709801407</v>
      </c>
      <c r="AE42" s="178">
        <v>23.960315089385386</v>
      </c>
      <c r="AF42" s="178">
        <v>21.796038298120987</v>
      </c>
    </row>
    <row r="43" spans="1:32" ht="28.5">
      <c r="A43" s="221">
        <v>34</v>
      </c>
      <c r="B43" s="222" t="s">
        <v>172</v>
      </c>
      <c r="C43" s="171">
        <v>475831</v>
      </c>
      <c r="D43" s="171">
        <v>551859</v>
      </c>
      <c r="E43" s="171">
        <v>1027690</v>
      </c>
      <c r="F43" s="171">
        <v>404855</v>
      </c>
      <c r="G43" s="171">
        <v>423943</v>
      </c>
      <c r="H43" s="171">
        <v>828798</v>
      </c>
      <c r="I43" s="213"/>
      <c r="J43" s="213"/>
      <c r="K43" s="213"/>
      <c r="L43" s="170">
        <v>404855</v>
      </c>
      <c r="M43" s="170">
        <v>423943</v>
      </c>
      <c r="N43" s="171">
        <v>828798</v>
      </c>
      <c r="O43" s="223">
        <v>85.08377974532975</v>
      </c>
      <c r="P43" s="223">
        <v>76.820890843494439</v>
      </c>
      <c r="Q43" s="223">
        <v>80.646693068921564</v>
      </c>
      <c r="R43" s="173">
        <v>404855</v>
      </c>
      <c r="S43" s="173">
        <v>423943</v>
      </c>
      <c r="T43" s="173">
        <v>828798</v>
      </c>
      <c r="U43" s="181">
        <v>29795</v>
      </c>
      <c r="V43" s="181">
        <v>21978</v>
      </c>
      <c r="W43" s="173">
        <v>51773</v>
      </c>
      <c r="X43" s="173">
        <v>38562</v>
      </c>
      <c r="Y43" s="173">
        <v>34495</v>
      </c>
      <c r="Z43" s="173">
        <v>73057</v>
      </c>
      <c r="AA43" s="178">
        <v>7.3594249793135811</v>
      </c>
      <c r="AB43" s="178">
        <v>5.1841874969040642</v>
      </c>
      <c r="AC43" s="178">
        <v>6.2467573522136881</v>
      </c>
      <c r="AD43" s="178">
        <v>9.5248916278667668</v>
      </c>
      <c r="AE43" s="178">
        <v>8.1367070573166664</v>
      </c>
      <c r="AF43" s="178">
        <v>8.8148137423111539</v>
      </c>
    </row>
    <row r="44" spans="1:32" ht="28.5">
      <c r="A44" s="235">
        <v>35</v>
      </c>
      <c r="B44" s="236" t="s">
        <v>277</v>
      </c>
      <c r="C44" s="190">
        <v>13667</v>
      </c>
      <c r="D44" s="190">
        <v>28566</v>
      </c>
      <c r="E44" s="190">
        <v>42233</v>
      </c>
      <c r="F44" s="190">
        <v>11546</v>
      </c>
      <c r="G44" s="190">
        <v>21306</v>
      </c>
      <c r="H44" s="190">
        <v>32852</v>
      </c>
      <c r="I44" s="238"/>
      <c r="J44" s="238"/>
      <c r="K44" s="238"/>
      <c r="L44" s="189">
        <v>11546</v>
      </c>
      <c r="M44" s="189">
        <v>21306</v>
      </c>
      <c r="N44" s="190">
        <v>32852</v>
      </c>
      <c r="O44" s="237">
        <v>84.480866320333647</v>
      </c>
      <c r="P44" s="237">
        <v>74.585171182524675</v>
      </c>
      <c r="Q44" s="237">
        <v>77.787512135060268</v>
      </c>
      <c r="R44" s="194">
        <v>11546</v>
      </c>
      <c r="S44" s="194">
        <v>21306</v>
      </c>
      <c r="T44" s="194">
        <v>32852</v>
      </c>
      <c r="U44" s="195">
        <v>289</v>
      </c>
      <c r="V44" s="195">
        <v>212</v>
      </c>
      <c r="W44" s="194">
        <v>501</v>
      </c>
      <c r="X44" s="194">
        <v>805</v>
      </c>
      <c r="Y44" s="194">
        <v>1018</v>
      </c>
      <c r="Z44" s="194">
        <v>1823</v>
      </c>
      <c r="AA44" s="196">
        <v>2.5030313528494719</v>
      </c>
      <c r="AB44" s="196">
        <v>0.99502487562189057</v>
      </c>
      <c r="AC44" s="196">
        <v>1.5250213076829418</v>
      </c>
      <c r="AD44" s="196">
        <v>6.9721115537848606</v>
      </c>
      <c r="AE44" s="196">
        <v>4.7779968084107765</v>
      </c>
      <c r="AF44" s="196">
        <v>5.5491294289540978</v>
      </c>
    </row>
    <row r="45" spans="1:32">
      <c r="A45" s="640" t="s">
        <v>256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</row>
    <row r="46" spans="1:32" ht="28.5">
      <c r="A46" s="240">
        <v>1</v>
      </c>
      <c r="B46" s="53" t="s">
        <v>280</v>
      </c>
      <c r="C46" s="31">
        <v>90534</v>
      </c>
      <c r="D46" s="31">
        <v>40612</v>
      </c>
      <c r="E46" s="228">
        <f t="shared" ref="E46:E48" si="15">C46+D46</f>
        <v>131146</v>
      </c>
      <c r="F46" s="31">
        <v>52910</v>
      </c>
      <c r="G46" s="31">
        <v>24736</v>
      </c>
      <c r="H46" s="228">
        <f t="shared" ref="H46:H48" si="16">F46+G46</f>
        <v>77646</v>
      </c>
      <c r="I46" s="31"/>
      <c r="J46" s="31"/>
      <c r="K46" s="228"/>
      <c r="L46" s="31">
        <v>52910</v>
      </c>
      <c r="M46" s="31">
        <v>24736</v>
      </c>
      <c r="N46" s="228">
        <f t="shared" ref="N46:N48" si="17">L46+M46</f>
        <v>77646</v>
      </c>
      <c r="O46" s="237">
        <f>+L46/C46%</f>
        <v>58.442132237612384</v>
      </c>
      <c r="P46" s="237">
        <f t="shared" ref="P46:Q46" si="18">+M46/D46%</f>
        <v>60.908105978528511</v>
      </c>
      <c r="Q46" s="237">
        <f t="shared" si="18"/>
        <v>59.205770667805346</v>
      </c>
      <c r="R46" s="228">
        <f t="shared" ref="R46:T48" si="19">F46</f>
        <v>52910</v>
      </c>
      <c r="S46" s="228">
        <f t="shared" si="19"/>
        <v>24736</v>
      </c>
      <c r="T46" s="228">
        <f t="shared" si="19"/>
        <v>77646</v>
      </c>
      <c r="U46" s="228">
        <v>1050</v>
      </c>
      <c r="V46" s="228">
        <v>565</v>
      </c>
      <c r="W46" s="228">
        <f t="shared" ref="W46" si="20">U46+V46</f>
        <v>1615</v>
      </c>
      <c r="X46" s="228">
        <v>11963</v>
      </c>
      <c r="Y46" s="228">
        <v>4829</v>
      </c>
      <c r="Z46" s="228">
        <f t="shared" ref="Z46:Z48" si="21">X46+Y46</f>
        <v>16792</v>
      </c>
      <c r="AA46" s="217">
        <f t="shared" ref="AA46:AC46" si="22">U46/R46%</f>
        <v>1.9845019845019845</v>
      </c>
      <c r="AB46" s="217">
        <f t="shared" si="22"/>
        <v>2.2841203104786545</v>
      </c>
      <c r="AC46" s="217">
        <f t="shared" si="22"/>
        <v>2.079952605414316</v>
      </c>
      <c r="AD46" s="217">
        <f t="shared" ref="AD46:AF46" si="23">X46/R46%</f>
        <v>22.610092610092607</v>
      </c>
      <c r="AE46" s="217">
        <f t="shared" si="23"/>
        <v>19.522153945666233</v>
      </c>
      <c r="AF46" s="217">
        <f t="shared" si="23"/>
        <v>21.626355510908482</v>
      </c>
    </row>
    <row r="47" spans="1:32">
      <c r="A47" s="240">
        <v>2</v>
      </c>
      <c r="B47" s="53" t="s">
        <v>288</v>
      </c>
      <c r="C47" s="241">
        <v>32320</v>
      </c>
      <c r="D47" s="241">
        <v>15485</v>
      </c>
      <c r="E47" s="228">
        <f t="shared" si="15"/>
        <v>47805</v>
      </c>
      <c r="F47" s="241">
        <f>23699+2933</f>
        <v>26632</v>
      </c>
      <c r="G47" s="241">
        <f>12232+1257</f>
        <v>13489</v>
      </c>
      <c r="H47" s="228">
        <f t="shared" si="16"/>
        <v>40121</v>
      </c>
      <c r="I47" s="242"/>
      <c r="J47" s="242"/>
      <c r="K47" s="228"/>
      <c r="L47" s="241">
        <f>23699+2933</f>
        <v>26632</v>
      </c>
      <c r="M47" s="241">
        <f>12232+1257</f>
        <v>13489</v>
      </c>
      <c r="N47" s="228">
        <f t="shared" si="17"/>
        <v>40121</v>
      </c>
      <c r="O47" s="237">
        <f t="shared" ref="O47:O48" si="24">+L47/C47%</f>
        <v>82.400990099009903</v>
      </c>
      <c r="P47" s="237">
        <f t="shared" ref="P47:P48" si="25">+M47/D47%</f>
        <v>87.110106554730393</v>
      </c>
      <c r="Q47" s="237">
        <f t="shared" ref="Q47:Q48" si="26">+N47/E47%</f>
        <v>83.926367534776702</v>
      </c>
      <c r="R47" s="228">
        <f t="shared" si="19"/>
        <v>26632</v>
      </c>
      <c r="S47" s="228">
        <f t="shared" si="19"/>
        <v>13489</v>
      </c>
      <c r="T47" s="228">
        <f t="shared" si="19"/>
        <v>40121</v>
      </c>
      <c r="U47" s="213"/>
      <c r="V47" s="213"/>
      <c r="W47" s="213"/>
      <c r="X47" s="213"/>
      <c r="Y47" s="213"/>
      <c r="Z47" s="213"/>
      <c r="AA47" s="229"/>
      <c r="AB47" s="229"/>
      <c r="AC47" s="229"/>
      <c r="AD47" s="229"/>
      <c r="AE47" s="229"/>
      <c r="AF47" s="229"/>
    </row>
    <row r="48" spans="1:32">
      <c r="A48" s="240">
        <v>3</v>
      </c>
      <c r="B48" s="53" t="s">
        <v>223</v>
      </c>
      <c r="C48" s="31">
        <v>49677</v>
      </c>
      <c r="D48" s="31">
        <v>56400</v>
      </c>
      <c r="E48" s="228">
        <f t="shared" si="15"/>
        <v>106077</v>
      </c>
      <c r="F48" s="31">
        <f>30622+8490</f>
        <v>39112</v>
      </c>
      <c r="G48" s="31">
        <f>31312+4565</f>
        <v>35877</v>
      </c>
      <c r="H48" s="228">
        <f t="shared" si="16"/>
        <v>74989</v>
      </c>
      <c r="I48" s="31"/>
      <c r="J48" s="31"/>
      <c r="K48" s="228"/>
      <c r="L48" s="31">
        <f>30622+8490</f>
        <v>39112</v>
      </c>
      <c r="M48" s="31">
        <f>31312+4565</f>
        <v>35877</v>
      </c>
      <c r="N48" s="228">
        <f t="shared" si="17"/>
        <v>74989</v>
      </c>
      <c r="O48" s="237">
        <f t="shared" si="24"/>
        <v>78.732612677899226</v>
      </c>
      <c r="P48" s="237">
        <f t="shared" si="25"/>
        <v>63.611702127659576</v>
      </c>
      <c r="Q48" s="237">
        <f t="shared" si="26"/>
        <v>70.692987169697489</v>
      </c>
      <c r="R48" s="228">
        <f t="shared" si="19"/>
        <v>39112</v>
      </c>
      <c r="S48" s="228">
        <f t="shared" si="19"/>
        <v>35877</v>
      </c>
      <c r="T48" s="228">
        <f t="shared" si="19"/>
        <v>74989</v>
      </c>
      <c r="U48" s="228">
        <v>41</v>
      </c>
      <c r="V48" s="228">
        <v>44</v>
      </c>
      <c r="W48" s="228">
        <f>U48+V48</f>
        <v>85</v>
      </c>
      <c r="X48" s="228">
        <v>1948</v>
      </c>
      <c r="Y48" s="228">
        <v>1759</v>
      </c>
      <c r="Z48" s="228">
        <f t="shared" si="21"/>
        <v>3707</v>
      </c>
      <c r="AA48" s="217">
        <f t="shared" ref="AA48:AC48" si="27">U48/R48%</f>
        <v>0.1048271630190223</v>
      </c>
      <c r="AB48" s="217">
        <f t="shared" si="27"/>
        <v>0.12264124648103242</v>
      </c>
      <c r="AC48" s="217">
        <f t="shared" si="27"/>
        <v>0.1133499579938391</v>
      </c>
      <c r="AD48" s="217">
        <f>X48/R48%</f>
        <v>4.9805686234403765</v>
      </c>
      <c r="AE48" s="217">
        <f>Y48/S48%</f>
        <v>4.9028625581849097</v>
      </c>
      <c r="AF48" s="217">
        <f>Z48/T48%</f>
        <v>4.9433916974489591</v>
      </c>
    </row>
    <row r="49" spans="1:32" ht="28.5">
      <c r="A49" s="240">
        <v>4</v>
      </c>
      <c r="B49" s="53" t="s">
        <v>281</v>
      </c>
      <c r="C49" s="226"/>
      <c r="D49" s="226"/>
      <c r="E49" s="213"/>
      <c r="F49" s="226"/>
      <c r="G49" s="226"/>
      <c r="H49" s="213"/>
      <c r="I49" s="226"/>
      <c r="J49" s="226"/>
      <c r="K49" s="213"/>
      <c r="L49" s="226"/>
      <c r="M49" s="226"/>
      <c r="N49" s="213"/>
      <c r="O49" s="226"/>
      <c r="P49" s="226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29"/>
      <c r="AB49" s="229"/>
      <c r="AC49" s="229"/>
      <c r="AD49" s="229"/>
      <c r="AE49" s="229"/>
      <c r="AF49" s="229"/>
    </row>
    <row r="50" spans="1:32">
      <c r="A50" s="240">
        <v>5</v>
      </c>
      <c r="B50" s="53" t="s">
        <v>282</v>
      </c>
      <c r="C50" s="31">
        <v>22522</v>
      </c>
      <c r="D50" s="31">
        <v>20681</v>
      </c>
      <c r="E50" s="228">
        <f t="shared" ref="E50:E51" si="28">C50+D50</f>
        <v>43203</v>
      </c>
      <c r="F50" s="31">
        <f>9467+4493</f>
        <v>13960</v>
      </c>
      <c r="G50" s="31">
        <f>11750+5133</f>
        <v>16883</v>
      </c>
      <c r="H50" s="228">
        <f t="shared" ref="H50:H51" si="29">F50+G50</f>
        <v>30843</v>
      </c>
      <c r="I50" s="31"/>
      <c r="J50" s="31"/>
      <c r="K50" s="228"/>
      <c r="L50" s="31">
        <f>9467+4493</f>
        <v>13960</v>
      </c>
      <c r="M50" s="31">
        <f>11750+5133</f>
        <v>16883</v>
      </c>
      <c r="N50" s="228">
        <f t="shared" ref="N50:N51" si="30">L50+M50</f>
        <v>30843</v>
      </c>
      <c r="O50" s="237">
        <f t="shared" ref="O50" si="31">+L50/C50%</f>
        <v>61.983838025042182</v>
      </c>
      <c r="P50" s="237">
        <f t="shared" ref="P50" si="32">+M50/D50%</f>
        <v>81.635317441129544</v>
      </c>
      <c r="Q50" s="237">
        <f t="shared" ref="Q50" si="33">+N50/E50%</f>
        <v>71.390875633636554</v>
      </c>
      <c r="R50" s="171">
        <f t="shared" ref="R50:T51" si="34">F50</f>
        <v>13960</v>
      </c>
      <c r="S50" s="171">
        <f t="shared" si="34"/>
        <v>16883</v>
      </c>
      <c r="T50" s="228">
        <f t="shared" si="34"/>
        <v>30843</v>
      </c>
      <c r="U50" s="213"/>
      <c r="V50" s="213"/>
      <c r="W50" s="213"/>
      <c r="X50" s="213"/>
      <c r="Y50" s="213"/>
      <c r="Z50" s="213"/>
      <c r="AA50" s="229"/>
      <c r="AB50" s="229"/>
      <c r="AC50" s="229"/>
      <c r="AD50" s="229"/>
      <c r="AE50" s="229"/>
      <c r="AF50" s="229"/>
    </row>
    <row r="51" spans="1:32" ht="28.5">
      <c r="A51" s="243">
        <v>6</v>
      </c>
      <c r="B51" s="211" t="s">
        <v>255</v>
      </c>
      <c r="C51" s="189">
        <f>8555+1339+487+39+6987+1097+395+27</f>
        <v>18926</v>
      </c>
      <c r="D51" s="189">
        <f>9263+1393+526+10843+1578+673+24</f>
        <v>24300</v>
      </c>
      <c r="E51" s="228">
        <f t="shared" si="28"/>
        <v>43226</v>
      </c>
      <c r="F51" s="189">
        <f>2059+302+88+13+1791+242+59+5</f>
        <v>4559</v>
      </c>
      <c r="G51" s="189">
        <f>2796+373+95+4+3117+366+136+9</f>
        <v>6896</v>
      </c>
      <c r="H51" s="228">
        <f t="shared" si="29"/>
        <v>11455</v>
      </c>
      <c r="I51" s="189"/>
      <c r="J51" s="189"/>
      <c r="K51" s="171"/>
      <c r="L51" s="189">
        <f>2059+302+88+13+1791+242+59+5</f>
        <v>4559</v>
      </c>
      <c r="M51" s="189">
        <f>2796+373+95+4+3117+366+136+9</f>
        <v>6896</v>
      </c>
      <c r="N51" s="228">
        <f t="shared" si="30"/>
        <v>11455</v>
      </c>
      <c r="O51" s="237">
        <f t="shared" ref="O51" si="35">+L51/C51%</f>
        <v>24.088555426397548</v>
      </c>
      <c r="P51" s="237">
        <f t="shared" ref="P51" si="36">+M51/D51%</f>
        <v>28.378600823045268</v>
      </c>
      <c r="Q51" s="237">
        <f t="shared" ref="Q51" si="37">+N51/E51%</f>
        <v>26.500254476472495</v>
      </c>
      <c r="R51" s="171">
        <f t="shared" si="34"/>
        <v>4559</v>
      </c>
      <c r="S51" s="171">
        <f t="shared" si="34"/>
        <v>6896</v>
      </c>
      <c r="T51" s="228">
        <f t="shared" si="34"/>
        <v>11455</v>
      </c>
      <c r="U51" s="213"/>
      <c r="V51" s="213"/>
      <c r="W51" s="213"/>
      <c r="X51" s="214">
        <f>179+13+2+86+7+1</f>
        <v>288</v>
      </c>
      <c r="Y51" s="214">
        <f>116+9+281+24+1</f>
        <v>431</v>
      </c>
      <c r="Z51" s="228">
        <f t="shared" ref="Z51" si="38">X51+Y51</f>
        <v>719</v>
      </c>
      <c r="AA51" s="229"/>
      <c r="AB51" s="229"/>
      <c r="AC51" s="229"/>
      <c r="AD51" s="217">
        <f>X51/R51%</f>
        <v>6.3171748190392627</v>
      </c>
      <c r="AE51" s="217">
        <f>Y51/S51%</f>
        <v>6.2500000000000009</v>
      </c>
      <c r="AF51" s="217">
        <f>Z51/T51%</f>
        <v>6.2767350501964208</v>
      </c>
    </row>
    <row r="52" spans="1:32">
      <c r="A52" s="642" t="s">
        <v>3</v>
      </c>
      <c r="B52" s="642"/>
      <c r="C52" s="218">
        <f t="shared" ref="C52:L52" si="39">SUM(C9:C51)</f>
        <v>10292567</v>
      </c>
      <c r="D52" s="218">
        <f t="shared" si="39"/>
        <v>8865570</v>
      </c>
      <c r="E52" s="218">
        <f t="shared" si="39"/>
        <v>19158137</v>
      </c>
      <c r="F52" s="218">
        <f t="shared" si="39"/>
        <v>7763058</v>
      </c>
      <c r="G52" s="218">
        <f t="shared" si="39"/>
        <v>6967588</v>
      </c>
      <c r="H52" s="218">
        <f t="shared" si="39"/>
        <v>14730646</v>
      </c>
      <c r="I52" s="218">
        <f t="shared" si="39"/>
        <v>205108</v>
      </c>
      <c r="J52" s="218">
        <f t="shared" si="39"/>
        <v>169201</v>
      </c>
      <c r="K52" s="218">
        <f t="shared" si="39"/>
        <v>374309</v>
      </c>
      <c r="L52" s="218">
        <f t="shared" si="39"/>
        <v>7968166</v>
      </c>
      <c r="M52" s="218">
        <f t="shared" ref="M52:N52" si="40">SUM(M9:M51)</f>
        <v>7136789</v>
      </c>
      <c r="N52" s="218">
        <f t="shared" si="40"/>
        <v>15104955</v>
      </c>
      <c r="O52" s="219">
        <f t="shared" ref="O52:Q52" si="41">+L52/C52%</f>
        <v>77.41670275257863</v>
      </c>
      <c r="P52" s="219">
        <f t="shared" si="41"/>
        <v>80.500058089891567</v>
      </c>
      <c r="Q52" s="219">
        <f t="shared" si="41"/>
        <v>78.843548305349316</v>
      </c>
      <c r="R52" s="218">
        <f t="shared" ref="R52:Z52" si="42">SUM(R9:R51)</f>
        <v>7968166</v>
      </c>
      <c r="S52" s="218">
        <f t="shared" si="42"/>
        <v>7136789</v>
      </c>
      <c r="T52" s="218">
        <f t="shared" si="42"/>
        <v>15104955</v>
      </c>
      <c r="U52" s="218">
        <f t="shared" si="42"/>
        <v>948823</v>
      </c>
      <c r="V52" s="218">
        <f t="shared" si="42"/>
        <v>1108229</v>
      </c>
      <c r="W52" s="218">
        <f t="shared" si="42"/>
        <v>2057052</v>
      </c>
      <c r="X52" s="218">
        <f t="shared" si="42"/>
        <v>2008843</v>
      </c>
      <c r="Y52" s="218">
        <f t="shared" si="42"/>
        <v>1905625</v>
      </c>
      <c r="Z52" s="218">
        <f t="shared" si="42"/>
        <v>3914468</v>
      </c>
      <c r="AA52" s="220">
        <f>+U52/R52%</f>
        <v>11.907671100225572</v>
      </c>
      <c r="AB52" s="220">
        <f t="shared" ref="AB52:AC52" si="43">+V52/S52%</f>
        <v>15.52839799523287</v>
      </c>
      <c r="AC52" s="220">
        <f t="shared" si="43"/>
        <v>13.618392110403507</v>
      </c>
      <c r="AD52" s="220">
        <f>+X52/R52%</f>
        <v>25.210857805924224</v>
      </c>
      <c r="AE52" s="220">
        <f t="shared" ref="AE52:AF52" si="44">+Y52/S52%</f>
        <v>26.701433936186149</v>
      </c>
      <c r="AF52" s="220">
        <f t="shared" si="44"/>
        <v>25.915125202292892</v>
      </c>
    </row>
    <row r="53" spans="1:32">
      <c r="A53" s="205"/>
      <c r="B53" s="145"/>
      <c r="C53" s="625" t="s">
        <v>278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 t="s">
        <v>278</v>
      </c>
      <c r="S53" s="625"/>
      <c r="T53" s="625"/>
      <c r="U53" s="625"/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</row>
    <row r="54" spans="1:32">
      <c r="A54" s="205"/>
      <c r="B54" s="145"/>
      <c r="C54" s="625" t="s">
        <v>248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 t="s">
        <v>248</v>
      </c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</row>
    <row r="55" spans="1:32">
      <c r="A55" s="205"/>
      <c r="B55" s="145"/>
      <c r="C55" s="625" t="s">
        <v>228</v>
      </c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 t="s">
        <v>228</v>
      </c>
      <c r="S55" s="625"/>
      <c r="T55" s="625"/>
      <c r="U55" s="625"/>
      <c r="V55" s="625"/>
      <c r="W55" s="625"/>
      <c r="X55" s="625"/>
      <c r="Y55" s="625"/>
      <c r="Z55" s="625"/>
      <c r="AA55" s="625"/>
      <c r="AB55" s="625"/>
      <c r="AC55" s="625"/>
      <c r="AD55" s="625"/>
      <c r="AE55" s="625"/>
      <c r="AF55" s="625"/>
    </row>
    <row r="56" spans="1:32">
      <c r="A56" s="205"/>
      <c r="B56" s="145"/>
      <c r="C56" s="345" t="s">
        <v>310</v>
      </c>
      <c r="D56" s="121"/>
      <c r="E56" s="121"/>
      <c r="F56" s="121"/>
      <c r="G56" s="121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345" t="s">
        <v>310</v>
      </c>
      <c r="S56" s="121"/>
      <c r="T56" s="121"/>
      <c r="U56" s="121"/>
      <c r="V56" s="121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</row>
    <row r="57" spans="1:32">
      <c r="A57" s="205"/>
      <c r="C57" s="343" t="s">
        <v>279</v>
      </c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R57" s="343" t="s">
        <v>279</v>
      </c>
      <c r="S57" s="343"/>
      <c r="T57" s="343"/>
      <c r="U57" s="343"/>
      <c r="V57" s="343"/>
      <c r="W57" s="343"/>
      <c r="X57" s="343"/>
      <c r="Y57" s="343"/>
      <c r="Z57" s="343"/>
      <c r="AA57" s="343"/>
      <c r="AB57" s="343"/>
    </row>
    <row r="58" spans="1:32">
      <c r="A58" s="205"/>
      <c r="C58" s="369" t="s">
        <v>333</v>
      </c>
      <c r="D58" s="369"/>
      <c r="E58" s="369"/>
      <c r="F58" s="370" t="s">
        <v>334</v>
      </c>
      <c r="G58" s="369"/>
      <c r="H58" s="369"/>
      <c r="I58" s="369"/>
      <c r="R58" s="369" t="s">
        <v>333</v>
      </c>
      <c r="S58" s="369"/>
      <c r="T58" s="369"/>
      <c r="U58" s="370" t="s">
        <v>334</v>
      </c>
      <c r="V58" s="369"/>
      <c r="W58" s="369"/>
      <c r="X58" s="369"/>
    </row>
    <row r="59" spans="1:32">
      <c r="A59" s="205"/>
    </row>
    <row r="60" spans="1:32">
      <c r="A60" s="205"/>
    </row>
    <row r="61" spans="1:32">
      <c r="A61" s="205"/>
    </row>
    <row r="62" spans="1:32">
      <c r="A62" s="205"/>
    </row>
    <row r="63" spans="1:32">
      <c r="A63" s="205"/>
    </row>
    <row r="64" spans="1:32">
      <c r="A64" s="205"/>
    </row>
    <row r="65" spans="1:2">
      <c r="A65" s="205"/>
      <c r="B65" s="145"/>
    </row>
    <row r="66" spans="1:2">
      <c r="A66" s="205"/>
      <c r="B66" s="145"/>
    </row>
    <row r="67" spans="1:2">
      <c r="A67" s="205"/>
      <c r="B67" s="145"/>
    </row>
    <row r="68" spans="1:2">
      <c r="A68" s="205"/>
      <c r="B68" s="145"/>
    </row>
    <row r="69" spans="1:2">
      <c r="A69" s="205"/>
      <c r="B69" s="145"/>
    </row>
    <row r="70" spans="1:2">
      <c r="A70" s="205"/>
      <c r="B70" s="145"/>
    </row>
    <row r="71" spans="1:2">
      <c r="A71" s="205"/>
      <c r="B71" s="145"/>
    </row>
    <row r="72" spans="1:2">
      <c r="A72" s="205"/>
      <c r="B72" s="145"/>
    </row>
    <row r="73" spans="1:2">
      <c r="A73" s="205"/>
      <c r="B73" s="145"/>
    </row>
    <row r="74" spans="1:2">
      <c r="A74" s="205"/>
      <c r="B74" s="145"/>
    </row>
    <row r="75" spans="1:2">
      <c r="A75" s="205"/>
      <c r="B75" s="145"/>
    </row>
    <row r="76" spans="1:2">
      <c r="A76" s="205"/>
      <c r="B76" s="145"/>
    </row>
    <row r="77" spans="1:2">
      <c r="A77" s="205"/>
      <c r="B77" s="145"/>
    </row>
    <row r="78" spans="1:2">
      <c r="A78" s="205"/>
      <c r="B78" s="145"/>
    </row>
    <row r="79" spans="1:2">
      <c r="A79" s="205"/>
      <c r="B79" s="145"/>
    </row>
    <row r="80" spans="1:2">
      <c r="A80" s="205"/>
      <c r="B80" s="145"/>
    </row>
    <row r="81" spans="1:2">
      <c r="A81" s="205"/>
      <c r="B81" s="145"/>
    </row>
    <row r="82" spans="1:2">
      <c r="A82" s="205"/>
      <c r="B82" s="145"/>
    </row>
    <row r="83" spans="1:2">
      <c r="A83" s="205"/>
      <c r="B83" s="145"/>
    </row>
    <row r="84" spans="1:2">
      <c r="A84" s="205"/>
      <c r="B84" s="145"/>
    </row>
    <row r="85" spans="1:2">
      <c r="A85" s="205"/>
      <c r="B85" s="145"/>
    </row>
    <row r="86" spans="1:2">
      <c r="A86" s="205"/>
      <c r="B86" s="145"/>
    </row>
    <row r="87" spans="1:2">
      <c r="A87" s="205"/>
      <c r="B87" s="145"/>
    </row>
    <row r="88" spans="1:2">
      <c r="A88" s="205"/>
      <c r="B88" s="145"/>
    </row>
  </sheetData>
  <mergeCells count="46">
    <mergeCell ref="K45:L45"/>
    <mergeCell ref="A52:B52"/>
    <mergeCell ref="C45:D45"/>
    <mergeCell ref="E45:F45"/>
    <mergeCell ref="G45:H45"/>
    <mergeCell ref="I45:J45"/>
    <mergeCell ref="A45:B45"/>
    <mergeCell ref="R55:AF55"/>
    <mergeCell ref="C55:Q55"/>
    <mergeCell ref="R54:AF54"/>
    <mergeCell ref="R53:AF53"/>
    <mergeCell ref="C54:Q54"/>
    <mergeCell ref="C53:Q53"/>
    <mergeCell ref="Y45:Z45"/>
    <mergeCell ref="AA45:AB45"/>
    <mergeCell ref="AC45:AD45"/>
    <mergeCell ref="AE45:AF45"/>
    <mergeCell ref="M45:N45"/>
    <mergeCell ref="O45:P45"/>
    <mergeCell ref="Q45:R45"/>
    <mergeCell ref="S45:T45"/>
    <mergeCell ref="U45:V45"/>
    <mergeCell ref="W45:X45"/>
    <mergeCell ref="A11:B11"/>
    <mergeCell ref="C11:Q11"/>
    <mergeCell ref="R8:AF8"/>
    <mergeCell ref="A8:B8"/>
    <mergeCell ref="C8:Q8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hyperlinks>
    <hyperlink ref="F58" r:id="rId1"/>
    <hyperlink ref="U58" r:id="rId2"/>
  </hyperlinks>
  <pageMargins left="0.23622047244094491" right="0.23622047244094491" top="0.74803149606299213" bottom="0.74803149606299213" header="0.31496062992125984" footer="0.31496062992125984"/>
  <pageSetup paperSize="9" scale="70" firstPageNumber="69" orientation="landscape" useFirstPageNumber="1" r:id="rId3"/>
  <headerFooter>
    <oddFooter>Page &amp;P</oddFooter>
  </headerFooter>
  <rowBreaks count="1" manualBreakCount="1">
    <brk id="31" max="16383" man="1"/>
  </rowBreaks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93"/>
  <sheetViews>
    <sheetView view="pageBreakPreview" zoomScale="60" workbookViewId="0">
      <selection activeCell="R3" sqref="R3:T5"/>
    </sheetView>
  </sheetViews>
  <sheetFormatPr defaultRowHeight="15"/>
  <cols>
    <col min="1" max="1" width="9.28515625" bestFit="1" customWidth="1"/>
    <col min="2" max="2" width="35.85546875" customWidth="1"/>
    <col min="3" max="3" width="12.5703125" customWidth="1"/>
    <col min="4" max="4" width="12" bestFit="1" customWidth="1"/>
    <col min="5" max="5" width="13" bestFit="1" customWidth="1"/>
    <col min="6" max="7" width="12" bestFit="1" customWidth="1"/>
    <col min="8" max="8" width="11.7109375" bestFit="1" customWidth="1"/>
    <col min="9" max="9" width="10.5703125" bestFit="1" customWidth="1"/>
    <col min="10" max="10" width="10.140625" bestFit="1" customWidth="1"/>
    <col min="11" max="11" width="10.5703125" bestFit="1" customWidth="1"/>
    <col min="12" max="12" width="11.5703125" bestFit="1" customWidth="1"/>
    <col min="13" max="13" width="10.5703125" bestFit="1" customWidth="1"/>
    <col min="14" max="14" width="13" bestFit="1" customWidth="1"/>
    <col min="15" max="16" width="9.28515625" bestFit="1" customWidth="1"/>
    <col min="18" max="18" width="11.5703125" customWidth="1"/>
    <col min="19" max="19" width="10.28515625" bestFit="1" customWidth="1"/>
    <col min="20" max="20" width="11.5703125" bestFit="1" customWidth="1"/>
    <col min="22" max="26" width="10.28515625" bestFit="1" customWidth="1"/>
  </cols>
  <sheetData>
    <row r="1" spans="1:32" ht="18" customHeight="1">
      <c r="A1" s="145"/>
      <c r="B1" s="164"/>
      <c r="C1" s="596" t="s">
        <v>283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158" t="s">
        <v>283</v>
      </c>
      <c r="S1" s="158"/>
      <c r="T1" s="158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.75" customHeight="1">
      <c r="A2" s="165"/>
      <c r="B2" s="244"/>
      <c r="C2" s="598" t="s">
        <v>338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339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" customHeight="1">
      <c r="A3" s="633" t="s">
        <v>192</v>
      </c>
      <c r="B3" s="646" t="s">
        <v>260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47" t="s">
        <v>189</v>
      </c>
      <c r="P3" s="647"/>
      <c r="Q3" s="647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195</v>
      </c>
      <c r="AB3" s="564"/>
      <c r="AC3" s="564"/>
      <c r="AD3" s="564"/>
      <c r="AE3" s="564"/>
      <c r="AF3" s="565"/>
    </row>
    <row r="4" spans="1:32">
      <c r="A4" s="633"/>
      <c r="B4" s="600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47"/>
      <c r="P4" s="647"/>
      <c r="Q4" s="647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33"/>
      <c r="B5" s="600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262</v>
      </c>
      <c r="M5" s="600"/>
      <c r="N5" s="600"/>
      <c r="O5" s="647"/>
      <c r="P5" s="647"/>
      <c r="Q5" s="647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33"/>
      <c r="B6" s="600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245" t="s">
        <v>43</v>
      </c>
      <c r="P6" s="245" t="s">
        <v>44</v>
      </c>
      <c r="Q6" s="245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159" t="s">
        <v>3</v>
      </c>
      <c r="X6" s="159" t="s">
        <v>43</v>
      </c>
      <c r="Y6" s="159" t="s">
        <v>44</v>
      </c>
      <c r="Z6" s="159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246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247">
        <v>15</v>
      </c>
      <c r="P7" s="247">
        <v>16</v>
      </c>
      <c r="Q7" s="247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78">
        <v>8</v>
      </c>
      <c r="X7" s="78">
        <v>9</v>
      </c>
      <c r="Y7" s="78">
        <v>10</v>
      </c>
      <c r="Z7" s="78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03" t="s">
        <v>216</v>
      </c>
      <c r="B8" s="603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6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8"/>
    </row>
    <row r="9" spans="1:32" ht="28.5">
      <c r="A9" s="248">
        <v>1</v>
      </c>
      <c r="B9" s="27" t="s">
        <v>143</v>
      </c>
      <c r="C9" s="251">
        <v>791561</v>
      </c>
      <c r="D9" s="251">
        <v>533686</v>
      </c>
      <c r="E9" s="251">
        <v>1325247</v>
      </c>
      <c r="F9" s="251">
        <v>781556</v>
      </c>
      <c r="G9" s="251">
        <v>528666</v>
      </c>
      <c r="H9" s="251">
        <v>1310222</v>
      </c>
      <c r="I9" s="251">
        <v>1851</v>
      </c>
      <c r="J9" s="251">
        <v>810</v>
      </c>
      <c r="K9" s="251">
        <v>2661</v>
      </c>
      <c r="L9" s="249">
        <v>783407</v>
      </c>
      <c r="M9" s="249">
        <v>529476</v>
      </c>
      <c r="N9" s="249">
        <v>1312883</v>
      </c>
      <c r="O9" s="250">
        <v>98.969883559195054</v>
      </c>
      <c r="P9" s="250">
        <v>99.211146629291378</v>
      </c>
      <c r="Q9" s="250">
        <v>99.067041842011335</v>
      </c>
      <c r="R9" s="181">
        <f t="shared" ref="R9:T10" si="0">L9</f>
        <v>783407</v>
      </c>
      <c r="S9" s="181">
        <f t="shared" si="0"/>
        <v>529476</v>
      </c>
      <c r="T9" s="181">
        <f t="shared" si="0"/>
        <v>1312883</v>
      </c>
      <c r="U9" s="108"/>
      <c r="V9" s="108"/>
      <c r="W9" s="108"/>
      <c r="X9" s="108"/>
      <c r="Y9" s="108"/>
      <c r="Z9" s="108"/>
      <c r="AA9" s="252"/>
      <c r="AB9" s="252"/>
      <c r="AC9" s="252"/>
      <c r="AD9" s="253"/>
      <c r="AE9" s="253"/>
      <c r="AF9" s="253"/>
    </row>
    <row r="10" spans="1:32" ht="28.5">
      <c r="A10" s="254">
        <v>2</v>
      </c>
      <c r="B10" s="27" t="s">
        <v>231</v>
      </c>
      <c r="C10" s="251">
        <v>82860</v>
      </c>
      <c r="D10" s="251">
        <v>66234</v>
      </c>
      <c r="E10" s="251">
        <v>149094</v>
      </c>
      <c r="F10" s="251">
        <v>81106</v>
      </c>
      <c r="G10" s="251">
        <v>65433</v>
      </c>
      <c r="H10" s="251">
        <v>146539</v>
      </c>
      <c r="I10" s="255"/>
      <c r="J10" s="255"/>
      <c r="K10" s="255"/>
      <c r="L10" s="249">
        <v>81106</v>
      </c>
      <c r="M10" s="249">
        <v>65433</v>
      </c>
      <c r="N10" s="249">
        <v>146539</v>
      </c>
      <c r="O10" s="250">
        <v>97.88317644219164</v>
      </c>
      <c r="P10" s="250">
        <v>98.790651327112968</v>
      </c>
      <c r="Q10" s="250">
        <v>98.286316015399677</v>
      </c>
      <c r="R10" s="181">
        <f t="shared" si="0"/>
        <v>81106</v>
      </c>
      <c r="S10" s="181">
        <f t="shared" si="0"/>
        <v>65433</v>
      </c>
      <c r="T10" s="181">
        <f t="shared" si="0"/>
        <v>146539</v>
      </c>
      <c r="U10" s="181">
        <v>43360</v>
      </c>
      <c r="V10" s="181">
        <v>40162</v>
      </c>
      <c r="W10" s="181">
        <f>U10+V10</f>
        <v>83522</v>
      </c>
      <c r="X10" s="181">
        <v>25652</v>
      </c>
      <c r="Y10" s="181">
        <v>18954</v>
      </c>
      <c r="Z10" s="181">
        <f>X10+Y10</f>
        <v>44606</v>
      </c>
      <c r="AA10" s="250">
        <f t="shared" ref="AA10:AC10" si="1">U10/R10%</f>
        <v>53.46090301580648</v>
      </c>
      <c r="AB10" s="250">
        <f t="shared" si="1"/>
        <v>61.378814971039077</v>
      </c>
      <c r="AC10" s="250">
        <f t="shared" si="1"/>
        <v>56.996430984243098</v>
      </c>
      <c r="AD10" s="256">
        <f t="shared" ref="AD10:AF10" si="2">X10/R10%</f>
        <v>31.627746405937909</v>
      </c>
      <c r="AE10" s="256">
        <f t="shared" si="2"/>
        <v>28.967034982348355</v>
      </c>
      <c r="AF10" s="256">
        <f t="shared" si="2"/>
        <v>30.439678174410904</v>
      </c>
    </row>
    <row r="11" spans="1:32">
      <c r="A11" s="648" t="s">
        <v>217</v>
      </c>
      <c r="B11" s="648"/>
      <c r="C11" s="649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1"/>
      <c r="R11" s="257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</row>
    <row r="12" spans="1:32" ht="28.5">
      <c r="A12" s="248">
        <v>3</v>
      </c>
      <c r="B12" s="43" t="s">
        <v>263</v>
      </c>
      <c r="C12" s="251">
        <v>336271</v>
      </c>
      <c r="D12" s="251">
        <v>296731</v>
      </c>
      <c r="E12" s="251">
        <v>633002</v>
      </c>
      <c r="F12" s="251">
        <v>286548</v>
      </c>
      <c r="G12" s="251">
        <v>263757</v>
      </c>
      <c r="H12" s="251">
        <v>550305</v>
      </c>
      <c r="I12" s="255"/>
      <c r="J12" s="255"/>
      <c r="K12" s="255"/>
      <c r="L12" s="249">
        <v>286548</v>
      </c>
      <c r="M12" s="249">
        <v>263757</v>
      </c>
      <c r="N12" s="251">
        <v>550305</v>
      </c>
      <c r="O12" s="250">
        <v>85.213414180824401</v>
      </c>
      <c r="P12" s="250">
        <v>88.887578311669486</v>
      </c>
      <c r="Q12" s="250">
        <v>86.935744278849043</v>
      </c>
      <c r="R12" s="181">
        <v>286548</v>
      </c>
      <c r="S12" s="181">
        <v>263757</v>
      </c>
      <c r="T12" s="181">
        <v>550305</v>
      </c>
      <c r="U12" s="181">
        <v>1997</v>
      </c>
      <c r="V12" s="181">
        <v>2025</v>
      </c>
      <c r="W12" s="181">
        <v>4022</v>
      </c>
      <c r="X12" s="181">
        <v>14910</v>
      </c>
      <c r="Y12" s="181">
        <v>8421</v>
      </c>
      <c r="Z12" s="181">
        <v>23331</v>
      </c>
      <c r="AA12" s="250">
        <v>0.69691639795077964</v>
      </c>
      <c r="AB12" s="250">
        <v>0.7677521354883472</v>
      </c>
      <c r="AC12" s="250">
        <v>0.73086742806261984</v>
      </c>
      <c r="AD12" s="256">
        <v>5.2033167218057708</v>
      </c>
      <c r="AE12" s="256">
        <v>3.1927114730604305</v>
      </c>
      <c r="AF12" s="256">
        <v>4.2396489219614573</v>
      </c>
    </row>
    <row r="13" spans="1:32" ht="28.5">
      <c r="A13" s="254">
        <v>4</v>
      </c>
      <c r="B13" s="43" t="s">
        <v>213</v>
      </c>
      <c r="C13" s="251">
        <v>310603</v>
      </c>
      <c r="D13" s="251">
        <v>271785</v>
      </c>
      <c r="E13" s="251">
        <v>582388</v>
      </c>
      <c r="F13" s="251">
        <v>230782</v>
      </c>
      <c r="G13" s="251">
        <v>221749</v>
      </c>
      <c r="H13" s="251">
        <v>452531</v>
      </c>
      <c r="I13" s="255"/>
      <c r="J13" s="255"/>
      <c r="K13" s="255"/>
      <c r="L13" s="249">
        <v>230782</v>
      </c>
      <c r="M13" s="249">
        <v>221749</v>
      </c>
      <c r="N13" s="251">
        <v>452531</v>
      </c>
      <c r="O13" s="250">
        <v>74.301278480890403</v>
      </c>
      <c r="P13" s="250">
        <v>81.589859631694168</v>
      </c>
      <c r="Q13" s="250">
        <v>77.702665576900614</v>
      </c>
      <c r="R13" s="181">
        <v>230782</v>
      </c>
      <c r="S13" s="181">
        <v>221749</v>
      </c>
      <c r="T13" s="181">
        <v>452531</v>
      </c>
      <c r="U13" s="108"/>
      <c r="V13" s="108"/>
      <c r="W13" s="108"/>
      <c r="X13" s="108"/>
      <c r="Y13" s="108"/>
      <c r="Z13" s="108"/>
      <c r="AA13" s="252"/>
      <c r="AB13" s="252"/>
      <c r="AC13" s="252"/>
      <c r="AD13" s="253"/>
      <c r="AE13" s="253"/>
      <c r="AF13" s="253"/>
    </row>
    <row r="14" spans="1:32">
      <c r="A14" s="248">
        <v>5</v>
      </c>
      <c r="B14" s="43" t="s">
        <v>264</v>
      </c>
      <c r="C14" s="251">
        <v>183527</v>
      </c>
      <c r="D14" s="251">
        <v>195504</v>
      </c>
      <c r="E14" s="251">
        <v>379031</v>
      </c>
      <c r="F14" s="251">
        <v>119915</v>
      </c>
      <c r="G14" s="251">
        <v>112883</v>
      </c>
      <c r="H14" s="251">
        <v>232798</v>
      </c>
      <c r="I14" s="255"/>
      <c r="J14" s="255"/>
      <c r="K14" s="255"/>
      <c r="L14" s="249">
        <v>119915</v>
      </c>
      <c r="M14" s="249">
        <v>112883</v>
      </c>
      <c r="N14" s="251">
        <v>232798</v>
      </c>
      <c r="O14" s="250">
        <v>65.339159905626971</v>
      </c>
      <c r="P14" s="250">
        <v>57.739483591128568</v>
      </c>
      <c r="Q14" s="250">
        <v>61.41925066815115</v>
      </c>
      <c r="R14" s="181">
        <v>119915</v>
      </c>
      <c r="S14" s="181">
        <v>112883</v>
      </c>
      <c r="T14" s="181">
        <v>232798</v>
      </c>
      <c r="U14" s="181">
        <v>6075</v>
      </c>
      <c r="V14" s="181">
        <v>5424</v>
      </c>
      <c r="W14" s="181">
        <v>11499</v>
      </c>
      <c r="X14" s="181">
        <v>21279</v>
      </c>
      <c r="Y14" s="181">
        <v>18268</v>
      </c>
      <c r="Z14" s="181">
        <v>39547</v>
      </c>
      <c r="AA14" s="250">
        <v>5.0660884793395322</v>
      </c>
      <c r="AB14" s="250">
        <v>4.8049750626755143</v>
      </c>
      <c r="AC14" s="250">
        <v>4.9394754250466066</v>
      </c>
      <c r="AD14" s="256">
        <v>17.745069424175455</v>
      </c>
      <c r="AE14" s="256">
        <v>16.183127663155659</v>
      </c>
      <c r="AF14" s="256">
        <v>16.987688897670942</v>
      </c>
    </row>
    <row r="15" spans="1:32">
      <c r="A15" s="254">
        <v>6</v>
      </c>
      <c r="B15" s="43" t="s">
        <v>265</v>
      </c>
      <c r="C15" s="251">
        <v>8180</v>
      </c>
      <c r="D15" s="251">
        <v>5759</v>
      </c>
      <c r="E15" s="251">
        <v>13939</v>
      </c>
      <c r="F15" s="251">
        <v>4975</v>
      </c>
      <c r="G15" s="251">
        <v>4140</v>
      </c>
      <c r="H15" s="251">
        <v>9115</v>
      </c>
      <c r="I15" s="255"/>
      <c r="J15" s="255"/>
      <c r="K15" s="255"/>
      <c r="L15" s="249">
        <v>4975</v>
      </c>
      <c r="M15" s="249">
        <v>4140</v>
      </c>
      <c r="N15" s="251">
        <v>9115</v>
      </c>
      <c r="O15" s="250">
        <v>60.819070904645478</v>
      </c>
      <c r="P15" s="250">
        <v>71.887480465358564</v>
      </c>
      <c r="Q15" s="250">
        <v>65.392065427936004</v>
      </c>
      <c r="R15" s="181">
        <v>4975</v>
      </c>
      <c r="S15" s="181">
        <v>4140</v>
      </c>
      <c r="T15" s="181">
        <v>9115</v>
      </c>
      <c r="U15" s="108"/>
      <c r="V15" s="108"/>
      <c r="W15" s="108"/>
      <c r="X15" s="108"/>
      <c r="Y15" s="108"/>
      <c r="Z15" s="108"/>
      <c r="AA15" s="252"/>
      <c r="AB15" s="252"/>
      <c r="AC15" s="252"/>
      <c r="AD15" s="253"/>
      <c r="AE15" s="253"/>
      <c r="AF15" s="253"/>
    </row>
    <row r="16" spans="1:32">
      <c r="A16" s="248">
        <v>7</v>
      </c>
      <c r="B16" s="43" t="s">
        <v>266</v>
      </c>
      <c r="C16" s="251">
        <v>27</v>
      </c>
      <c r="D16" s="251">
        <v>171</v>
      </c>
      <c r="E16" s="251">
        <v>198</v>
      </c>
      <c r="F16" s="251">
        <v>26</v>
      </c>
      <c r="G16" s="251">
        <v>159</v>
      </c>
      <c r="H16" s="251">
        <v>185</v>
      </c>
      <c r="I16" s="251">
        <v>0</v>
      </c>
      <c r="J16" s="251">
        <v>8</v>
      </c>
      <c r="K16" s="251">
        <v>8</v>
      </c>
      <c r="L16" s="249">
        <v>26</v>
      </c>
      <c r="M16" s="249">
        <v>167</v>
      </c>
      <c r="N16" s="251">
        <v>193</v>
      </c>
      <c r="O16" s="250">
        <v>96.296296296296291</v>
      </c>
      <c r="P16" s="250">
        <v>97.660818713450297</v>
      </c>
      <c r="Q16" s="250">
        <v>97.474747474747474</v>
      </c>
      <c r="R16" s="181">
        <v>26</v>
      </c>
      <c r="S16" s="181">
        <v>167</v>
      </c>
      <c r="T16" s="181">
        <v>193</v>
      </c>
      <c r="U16" s="181">
        <v>7</v>
      </c>
      <c r="V16" s="181">
        <v>81</v>
      </c>
      <c r="W16" s="181">
        <v>88</v>
      </c>
      <c r="X16" s="181">
        <v>11</v>
      </c>
      <c r="Y16" s="181">
        <v>54</v>
      </c>
      <c r="Z16" s="181">
        <v>65</v>
      </c>
      <c r="AA16" s="250">
        <v>26.923076923076923</v>
      </c>
      <c r="AB16" s="250">
        <v>48.50299401197605</v>
      </c>
      <c r="AC16" s="250">
        <v>45.595854922279791</v>
      </c>
      <c r="AD16" s="256">
        <v>42.307692307692307</v>
      </c>
      <c r="AE16" s="256">
        <v>32.335329341317369</v>
      </c>
      <c r="AF16" s="256">
        <v>33.678756476683937</v>
      </c>
    </row>
    <row r="17" spans="1:32">
      <c r="A17" s="254">
        <v>8</v>
      </c>
      <c r="B17" s="43" t="s">
        <v>138</v>
      </c>
      <c r="C17" s="251">
        <v>640094</v>
      </c>
      <c r="D17" s="251">
        <v>541838</v>
      </c>
      <c r="E17" s="251">
        <v>1181932</v>
      </c>
      <c r="F17" s="251">
        <v>509647</v>
      </c>
      <c r="G17" s="251">
        <v>401338</v>
      </c>
      <c r="H17" s="251">
        <v>910985</v>
      </c>
      <c r="I17" s="228">
        <v>18914</v>
      </c>
      <c r="J17" s="251">
        <v>26869</v>
      </c>
      <c r="K17" s="251">
        <v>45783</v>
      </c>
      <c r="L17" s="249">
        <v>528561</v>
      </c>
      <c r="M17" s="249">
        <v>428207</v>
      </c>
      <c r="N17" s="251">
        <v>956768</v>
      </c>
      <c r="O17" s="250">
        <v>82.575527969329514</v>
      </c>
      <c r="P17" s="250">
        <v>79.028602645071032</v>
      </c>
      <c r="Q17" s="250">
        <v>80.949496248515146</v>
      </c>
      <c r="R17" s="181">
        <v>528561</v>
      </c>
      <c r="S17" s="181">
        <v>428207</v>
      </c>
      <c r="T17" s="181">
        <v>956768</v>
      </c>
      <c r="U17" s="181">
        <v>5547</v>
      </c>
      <c r="V17" s="181">
        <v>2644</v>
      </c>
      <c r="W17" s="181">
        <v>8191</v>
      </c>
      <c r="X17" s="181">
        <v>135569</v>
      </c>
      <c r="Y17" s="181">
        <v>89030</v>
      </c>
      <c r="Z17" s="181">
        <v>224599</v>
      </c>
      <c r="AA17" s="250">
        <v>1.0494531378592065</v>
      </c>
      <c r="AB17" s="250">
        <v>0.61745837877475152</v>
      </c>
      <c r="AC17" s="250">
        <v>0.85611140840830791</v>
      </c>
      <c r="AD17" s="256">
        <v>25.64869523101402</v>
      </c>
      <c r="AE17" s="256">
        <v>20.791346241420623</v>
      </c>
      <c r="AF17" s="256">
        <v>23.474760861567276</v>
      </c>
    </row>
    <row r="18" spans="1:32">
      <c r="A18" s="248">
        <v>9</v>
      </c>
      <c r="B18" s="43" t="s">
        <v>267</v>
      </c>
      <c r="C18" s="251">
        <v>27086</v>
      </c>
      <c r="D18" s="251">
        <v>47562</v>
      </c>
      <c r="E18" s="251">
        <v>74648</v>
      </c>
      <c r="F18" s="251">
        <v>23692</v>
      </c>
      <c r="G18" s="251">
        <v>43772</v>
      </c>
      <c r="H18" s="251">
        <v>67464</v>
      </c>
      <c r="I18" s="255"/>
      <c r="J18" s="255"/>
      <c r="K18" s="255"/>
      <c r="L18" s="249">
        <v>23692</v>
      </c>
      <c r="M18" s="249">
        <v>43772</v>
      </c>
      <c r="N18" s="251">
        <v>67464</v>
      </c>
      <c r="O18" s="250">
        <v>87.469541460533122</v>
      </c>
      <c r="P18" s="250">
        <v>92.031453681510442</v>
      </c>
      <c r="Q18" s="250">
        <v>90.376165469938911</v>
      </c>
      <c r="R18" s="181">
        <v>23692</v>
      </c>
      <c r="S18" s="181">
        <v>43772</v>
      </c>
      <c r="T18" s="181">
        <v>67464</v>
      </c>
      <c r="U18" s="181">
        <v>1766</v>
      </c>
      <c r="V18" s="181">
        <v>3184</v>
      </c>
      <c r="W18" s="181">
        <v>4950</v>
      </c>
      <c r="X18" s="181">
        <v>15895</v>
      </c>
      <c r="Y18" s="181">
        <v>28656</v>
      </c>
      <c r="Z18" s="181">
        <v>44551</v>
      </c>
      <c r="AA18" s="250">
        <v>7.4539929089988188</v>
      </c>
      <c r="AB18" s="250">
        <v>7.2740564744585576</v>
      </c>
      <c r="AC18" s="250">
        <v>7.3372465314834576</v>
      </c>
      <c r="AD18" s="256">
        <v>67.090157015026179</v>
      </c>
      <c r="AE18" s="256">
        <v>65.466508270127022</v>
      </c>
      <c r="AF18" s="256">
        <v>66.036701055377691</v>
      </c>
    </row>
    <row r="19" spans="1:32" ht="28.5">
      <c r="A19" s="248">
        <v>10</v>
      </c>
      <c r="B19" s="43" t="s">
        <v>145</v>
      </c>
      <c r="C19" s="251">
        <v>216396</v>
      </c>
      <c r="D19" s="251">
        <v>223899</v>
      </c>
      <c r="E19" s="251">
        <v>440295</v>
      </c>
      <c r="F19" s="251">
        <v>113736</v>
      </c>
      <c r="G19" s="251">
        <v>120456</v>
      </c>
      <c r="H19" s="251">
        <v>234192</v>
      </c>
      <c r="I19" s="251">
        <v>5767</v>
      </c>
      <c r="J19" s="251">
        <v>7005</v>
      </c>
      <c r="K19" s="251">
        <v>12772</v>
      </c>
      <c r="L19" s="181">
        <v>119503</v>
      </c>
      <c r="M19" s="181">
        <v>127461</v>
      </c>
      <c r="N19" s="251">
        <v>246964</v>
      </c>
      <c r="O19" s="250">
        <v>55.224218562265484</v>
      </c>
      <c r="P19" s="250">
        <v>56.927900526576714</v>
      </c>
      <c r="Q19" s="250">
        <v>56.090575636788977</v>
      </c>
      <c r="R19" s="181">
        <v>119503</v>
      </c>
      <c r="S19" s="181">
        <v>127461</v>
      </c>
      <c r="T19" s="181">
        <v>246964</v>
      </c>
      <c r="U19" s="181">
        <v>4394</v>
      </c>
      <c r="V19" s="181">
        <v>4134</v>
      </c>
      <c r="W19" s="181">
        <v>8528</v>
      </c>
      <c r="X19" s="181">
        <v>11494</v>
      </c>
      <c r="Y19" s="181">
        <v>11646</v>
      </c>
      <c r="Z19" s="181">
        <v>23140</v>
      </c>
      <c r="AA19" s="250">
        <v>3.6768951407077646</v>
      </c>
      <c r="AB19" s="250">
        <v>3.2433450231835623</v>
      </c>
      <c r="AC19" s="250">
        <v>3.453134869859575</v>
      </c>
      <c r="AD19" s="256">
        <v>9.6181685815418856</v>
      </c>
      <c r="AE19" s="256">
        <v>9.1369124673429525</v>
      </c>
      <c r="AF19" s="256">
        <v>9.3697866895579924</v>
      </c>
    </row>
    <row r="20" spans="1:32">
      <c r="A20" s="254">
        <v>11</v>
      </c>
      <c r="B20" s="43" t="s">
        <v>268</v>
      </c>
      <c r="C20" s="251">
        <v>75</v>
      </c>
      <c r="D20" s="251">
        <v>65</v>
      </c>
      <c r="E20" s="251">
        <v>140</v>
      </c>
      <c r="F20" s="251">
        <v>24</v>
      </c>
      <c r="G20" s="251">
        <v>36</v>
      </c>
      <c r="H20" s="251">
        <v>60</v>
      </c>
      <c r="I20" s="255"/>
      <c r="J20" s="255"/>
      <c r="K20" s="255"/>
      <c r="L20" s="181">
        <v>24</v>
      </c>
      <c r="M20" s="181">
        <v>36</v>
      </c>
      <c r="N20" s="251">
        <v>60</v>
      </c>
      <c r="O20" s="250">
        <v>32</v>
      </c>
      <c r="P20" s="250">
        <v>55.384615384615387</v>
      </c>
      <c r="Q20" s="250">
        <v>42.857142857142854</v>
      </c>
      <c r="R20" s="181">
        <v>24</v>
      </c>
      <c r="S20" s="181">
        <v>36</v>
      </c>
      <c r="T20" s="181">
        <v>60</v>
      </c>
      <c r="U20" s="181">
        <v>1</v>
      </c>
      <c r="V20" s="181">
        <v>0</v>
      </c>
      <c r="W20" s="181">
        <v>1</v>
      </c>
      <c r="X20" s="181">
        <v>1</v>
      </c>
      <c r="Y20" s="181">
        <v>4</v>
      </c>
      <c r="Z20" s="181">
        <v>5</v>
      </c>
      <c r="AA20" s="250">
        <v>4.166666666666667</v>
      </c>
      <c r="AB20" s="250">
        <v>0</v>
      </c>
      <c r="AC20" s="250">
        <v>1.6666666666666667</v>
      </c>
      <c r="AD20" s="256">
        <v>4.166666666666667</v>
      </c>
      <c r="AE20" s="256">
        <v>11.111111111111111</v>
      </c>
      <c r="AF20" s="256">
        <v>8.3333333333333339</v>
      </c>
    </row>
    <row r="21" spans="1:32" ht="28.5">
      <c r="A21" s="248">
        <v>12</v>
      </c>
      <c r="B21" s="43" t="s">
        <v>144</v>
      </c>
      <c r="C21" s="251">
        <v>331</v>
      </c>
      <c r="D21" s="251">
        <v>247</v>
      </c>
      <c r="E21" s="251">
        <v>578</v>
      </c>
      <c r="F21" s="251">
        <v>265</v>
      </c>
      <c r="G21" s="251">
        <v>199</v>
      </c>
      <c r="H21" s="251">
        <v>464</v>
      </c>
      <c r="I21" s="251">
        <v>31</v>
      </c>
      <c r="J21" s="251">
        <v>18</v>
      </c>
      <c r="K21" s="251">
        <v>49</v>
      </c>
      <c r="L21" s="249">
        <v>296</v>
      </c>
      <c r="M21" s="249">
        <v>217</v>
      </c>
      <c r="N21" s="251">
        <v>513</v>
      </c>
      <c r="O21" s="250">
        <v>89.42598187311178</v>
      </c>
      <c r="P21" s="250">
        <v>87.854251012145738</v>
      </c>
      <c r="Q21" s="250">
        <v>88.754325259515582</v>
      </c>
      <c r="R21" s="181">
        <v>296</v>
      </c>
      <c r="S21" s="181">
        <v>217</v>
      </c>
      <c r="T21" s="181">
        <v>513</v>
      </c>
      <c r="U21" s="108"/>
      <c r="V21" s="108"/>
      <c r="W21" s="108"/>
      <c r="X21" s="181">
        <v>37</v>
      </c>
      <c r="Y21" s="181">
        <v>32</v>
      </c>
      <c r="Z21" s="181">
        <v>69</v>
      </c>
      <c r="AA21" s="252"/>
      <c r="AB21" s="252"/>
      <c r="AC21" s="252"/>
      <c r="AD21" s="256">
        <v>12.5</v>
      </c>
      <c r="AE21" s="256">
        <v>14.746543778801843</v>
      </c>
      <c r="AF21" s="256">
        <v>13.450292397660819</v>
      </c>
    </row>
    <row r="22" spans="1:32" ht="28.5">
      <c r="A22" s="254">
        <v>13</v>
      </c>
      <c r="B22" s="43" t="s">
        <v>148</v>
      </c>
      <c r="C22" s="251">
        <v>10115</v>
      </c>
      <c r="D22" s="251">
        <v>9847</v>
      </c>
      <c r="E22" s="251">
        <v>19962</v>
      </c>
      <c r="F22" s="251">
        <v>7846</v>
      </c>
      <c r="G22" s="251">
        <v>7798</v>
      </c>
      <c r="H22" s="251">
        <v>15644</v>
      </c>
      <c r="I22" s="251">
        <v>587</v>
      </c>
      <c r="J22" s="251">
        <v>570</v>
      </c>
      <c r="K22" s="251">
        <v>1157</v>
      </c>
      <c r="L22" s="249">
        <v>8433</v>
      </c>
      <c r="M22" s="249">
        <v>8368</v>
      </c>
      <c r="N22" s="251">
        <v>16801</v>
      </c>
      <c r="O22" s="250">
        <v>83.371230845279285</v>
      </c>
      <c r="P22" s="250">
        <v>84.980197014319074</v>
      </c>
      <c r="Q22" s="250">
        <v>84.164913335337147</v>
      </c>
      <c r="R22" s="181">
        <v>8433</v>
      </c>
      <c r="S22" s="181">
        <v>8368</v>
      </c>
      <c r="T22" s="181">
        <v>16801</v>
      </c>
      <c r="U22" s="181">
        <v>1189</v>
      </c>
      <c r="V22" s="181">
        <v>1867</v>
      </c>
      <c r="W22" s="181">
        <v>3056</v>
      </c>
      <c r="X22" s="181">
        <v>2400</v>
      </c>
      <c r="Y22" s="181">
        <v>3009</v>
      </c>
      <c r="Z22" s="181">
        <v>5409</v>
      </c>
      <c r="AA22" s="250">
        <v>14.099371516660739</v>
      </c>
      <c r="AB22" s="250">
        <v>22.311185468451242</v>
      </c>
      <c r="AC22" s="250">
        <v>18.189393488482828</v>
      </c>
      <c r="AD22" s="256">
        <v>28.459622909996444</v>
      </c>
      <c r="AE22" s="256">
        <v>35.958413001912042</v>
      </c>
      <c r="AF22" s="256">
        <v>32.194512231414798</v>
      </c>
    </row>
    <row r="23" spans="1:32" ht="28.5">
      <c r="A23" s="248">
        <v>14</v>
      </c>
      <c r="B23" s="43" t="s">
        <v>149</v>
      </c>
      <c r="C23" s="251">
        <v>494147</v>
      </c>
      <c r="D23" s="251">
        <v>317855</v>
      </c>
      <c r="E23" s="251">
        <v>812002</v>
      </c>
      <c r="F23" s="251">
        <v>329873</v>
      </c>
      <c r="G23" s="251">
        <v>241368</v>
      </c>
      <c r="H23" s="251">
        <v>571241</v>
      </c>
      <c r="I23" s="251">
        <v>18665</v>
      </c>
      <c r="J23" s="251">
        <v>9315</v>
      </c>
      <c r="K23" s="251">
        <v>27980</v>
      </c>
      <c r="L23" s="249">
        <v>348538</v>
      </c>
      <c r="M23" s="249">
        <v>250683</v>
      </c>
      <c r="N23" s="251">
        <v>599221</v>
      </c>
      <c r="O23" s="250">
        <v>70.533262369294974</v>
      </c>
      <c r="P23" s="250">
        <v>78.867093486023492</v>
      </c>
      <c r="Q23" s="250">
        <v>73.795507892837691</v>
      </c>
      <c r="R23" s="181">
        <v>348538</v>
      </c>
      <c r="S23" s="181">
        <v>250683</v>
      </c>
      <c r="T23" s="181">
        <v>599221</v>
      </c>
      <c r="U23" s="181">
        <v>45904</v>
      </c>
      <c r="V23" s="181">
        <v>38424</v>
      </c>
      <c r="W23" s="181">
        <v>84328</v>
      </c>
      <c r="X23" s="181">
        <v>132021</v>
      </c>
      <c r="Y23" s="181">
        <v>105783</v>
      </c>
      <c r="Z23" s="181">
        <v>237804</v>
      </c>
      <c r="AA23" s="250">
        <v>13.170443394981321</v>
      </c>
      <c r="AB23" s="250">
        <v>15.327724656239155</v>
      </c>
      <c r="AC23" s="250">
        <v>14.072938031210521</v>
      </c>
      <c r="AD23" s="256">
        <v>37.87850966035267</v>
      </c>
      <c r="AE23" s="256">
        <v>42.197915295412933</v>
      </c>
      <c r="AF23" s="256">
        <v>39.685525040010283</v>
      </c>
    </row>
    <row r="24" spans="1:32">
      <c r="A24" s="254">
        <v>15</v>
      </c>
      <c r="B24" s="27" t="s">
        <v>284</v>
      </c>
      <c r="C24" s="251">
        <v>225605</v>
      </c>
      <c r="D24" s="251">
        <v>177529</v>
      </c>
      <c r="E24" s="251">
        <v>403134</v>
      </c>
      <c r="F24" s="251">
        <v>131342</v>
      </c>
      <c r="G24" s="251">
        <v>111145</v>
      </c>
      <c r="H24" s="251">
        <v>242487</v>
      </c>
      <c r="I24" s="251">
        <v>18601</v>
      </c>
      <c r="J24" s="251">
        <v>11626</v>
      </c>
      <c r="K24" s="251">
        <v>30227</v>
      </c>
      <c r="L24" s="249">
        <v>149943</v>
      </c>
      <c r="M24" s="249">
        <v>122771</v>
      </c>
      <c r="N24" s="251">
        <v>272714</v>
      </c>
      <c r="O24" s="250">
        <v>66.462622725560166</v>
      </c>
      <c r="P24" s="250">
        <v>69.155461924530641</v>
      </c>
      <c r="Q24" s="250">
        <v>67.648474204606899</v>
      </c>
      <c r="R24" s="32">
        <f t="shared" ref="R24:T24" si="3">L24</f>
        <v>149943</v>
      </c>
      <c r="S24" s="181">
        <f t="shared" si="3"/>
        <v>122771</v>
      </c>
      <c r="T24" s="181">
        <f t="shared" si="3"/>
        <v>272714</v>
      </c>
      <c r="U24" s="181">
        <v>4539</v>
      </c>
      <c r="V24" s="181">
        <v>7395</v>
      </c>
      <c r="W24" s="181">
        <f t="shared" ref="W24" si="4">U24+V24</f>
        <v>11934</v>
      </c>
      <c r="X24" s="181">
        <v>59980</v>
      </c>
      <c r="Y24" s="181">
        <v>58482</v>
      </c>
      <c r="Z24" s="181">
        <f t="shared" ref="Z24" si="5">X24+Y24</f>
        <v>118462</v>
      </c>
      <c r="AA24" s="250">
        <f t="shared" ref="AA24:AC24" si="6">U24/R24%</f>
        <v>3.0271503171205056</v>
      </c>
      <c r="AB24" s="250">
        <f t="shared" si="6"/>
        <v>6.023409437082047</v>
      </c>
      <c r="AC24" s="250">
        <f t="shared" si="6"/>
        <v>4.3760129659643434</v>
      </c>
      <c r="AD24" s="256">
        <f t="shared" ref="AD24:AF24" si="7">X24/R24%</f>
        <v>40.001867376269651</v>
      </c>
      <c r="AE24" s="256">
        <f t="shared" si="7"/>
        <v>47.635027816015182</v>
      </c>
      <c r="AF24" s="256">
        <f t="shared" si="7"/>
        <v>43.438180658125361</v>
      </c>
    </row>
    <row r="25" spans="1:32">
      <c r="A25" s="248">
        <v>16</v>
      </c>
      <c r="B25" s="43" t="s">
        <v>150</v>
      </c>
      <c r="C25" s="251">
        <v>75888</v>
      </c>
      <c r="D25" s="251">
        <v>66243</v>
      </c>
      <c r="E25" s="251">
        <v>142131</v>
      </c>
      <c r="F25" s="251">
        <v>42856</v>
      </c>
      <c r="G25" s="251">
        <v>39436</v>
      </c>
      <c r="H25" s="251">
        <v>82292</v>
      </c>
      <c r="I25" s="251">
        <v>8379</v>
      </c>
      <c r="J25" s="251">
        <v>7639</v>
      </c>
      <c r="K25" s="251">
        <v>16018</v>
      </c>
      <c r="L25" s="249">
        <v>51235</v>
      </c>
      <c r="M25" s="249">
        <v>47075</v>
      </c>
      <c r="N25" s="251">
        <v>98310</v>
      </c>
      <c r="O25" s="250">
        <v>67.513967952772504</v>
      </c>
      <c r="P25" s="250">
        <v>71.064112434521391</v>
      </c>
      <c r="Q25" s="250">
        <v>69.168583912024815</v>
      </c>
      <c r="R25" s="181">
        <v>51235</v>
      </c>
      <c r="S25" s="181">
        <v>47075</v>
      </c>
      <c r="T25" s="181">
        <v>98310</v>
      </c>
      <c r="U25" s="181">
        <v>6185</v>
      </c>
      <c r="V25" s="181">
        <v>7669</v>
      </c>
      <c r="W25" s="181">
        <v>13854</v>
      </c>
      <c r="X25" s="181">
        <v>16518</v>
      </c>
      <c r="Y25" s="181">
        <v>17016</v>
      </c>
      <c r="Z25" s="181">
        <v>33534</v>
      </c>
      <c r="AA25" s="250">
        <v>12.071825900263491</v>
      </c>
      <c r="AB25" s="250">
        <v>16.291024960169942</v>
      </c>
      <c r="AC25" s="250">
        <v>14.092157461092462</v>
      </c>
      <c r="AD25" s="256">
        <v>32.239679906314045</v>
      </c>
      <c r="AE25" s="256">
        <v>36.146574614976103</v>
      </c>
      <c r="AF25" s="256">
        <v>34.110466890448578</v>
      </c>
    </row>
    <row r="26" spans="1:32">
      <c r="A26" s="254">
        <v>17</v>
      </c>
      <c r="B26" s="43" t="s">
        <v>151</v>
      </c>
      <c r="C26" s="251">
        <v>136322</v>
      </c>
      <c r="D26" s="251">
        <v>109973</v>
      </c>
      <c r="E26" s="251">
        <v>246295</v>
      </c>
      <c r="F26" s="251">
        <v>66482</v>
      </c>
      <c r="G26" s="251">
        <v>53596</v>
      </c>
      <c r="H26" s="251">
        <v>120078</v>
      </c>
      <c r="I26" s="251">
        <v>25028</v>
      </c>
      <c r="J26" s="251">
        <v>20222</v>
      </c>
      <c r="K26" s="251">
        <v>45250</v>
      </c>
      <c r="L26" s="249">
        <v>91510</v>
      </c>
      <c r="M26" s="249">
        <v>73818</v>
      </c>
      <c r="N26" s="251">
        <v>165328</v>
      </c>
      <c r="O26" s="250">
        <v>67.127829697334249</v>
      </c>
      <c r="P26" s="250">
        <v>67.123748556463852</v>
      </c>
      <c r="Q26" s="250">
        <v>67.126007430114299</v>
      </c>
      <c r="R26" s="181">
        <v>91510</v>
      </c>
      <c r="S26" s="181">
        <v>73818</v>
      </c>
      <c r="T26" s="181">
        <v>165328</v>
      </c>
      <c r="U26" s="108"/>
      <c r="V26" s="108"/>
      <c r="W26" s="108">
        <v>0</v>
      </c>
      <c r="X26" s="108"/>
      <c r="Y26" s="108"/>
      <c r="Z26" s="108"/>
      <c r="AA26" s="252"/>
      <c r="AB26" s="252"/>
      <c r="AC26" s="252"/>
      <c r="AD26" s="253"/>
      <c r="AE26" s="253"/>
      <c r="AF26" s="253"/>
    </row>
    <row r="27" spans="1:32">
      <c r="A27" s="248">
        <v>18</v>
      </c>
      <c r="B27" s="43" t="s">
        <v>152</v>
      </c>
      <c r="C27" s="251">
        <v>243171</v>
      </c>
      <c r="D27" s="251">
        <v>234148</v>
      </c>
      <c r="E27" s="251">
        <v>477319</v>
      </c>
      <c r="F27" s="251">
        <v>188952</v>
      </c>
      <c r="G27" s="251">
        <v>170687</v>
      </c>
      <c r="H27" s="251">
        <v>359639</v>
      </c>
      <c r="I27" s="251">
        <v>3839</v>
      </c>
      <c r="J27" s="251">
        <v>5995</v>
      </c>
      <c r="K27" s="251">
        <v>9834</v>
      </c>
      <c r="L27" s="249">
        <v>192791</v>
      </c>
      <c r="M27" s="249">
        <v>176682</v>
      </c>
      <c r="N27" s="251">
        <v>369473</v>
      </c>
      <c r="O27" s="250">
        <v>79.282068996714244</v>
      </c>
      <c r="P27" s="250">
        <v>75.457403010062009</v>
      </c>
      <c r="Q27" s="250">
        <v>77.405885791263287</v>
      </c>
      <c r="R27" s="181">
        <v>192791</v>
      </c>
      <c r="S27" s="181">
        <v>176682</v>
      </c>
      <c r="T27" s="181">
        <v>369473</v>
      </c>
      <c r="U27" s="32">
        <v>11334</v>
      </c>
      <c r="V27" s="32">
        <v>8107</v>
      </c>
      <c r="W27" s="32">
        <v>19441</v>
      </c>
      <c r="X27" s="32">
        <v>50729</v>
      </c>
      <c r="Y27" s="32">
        <v>42557</v>
      </c>
      <c r="Z27" s="32">
        <v>93286</v>
      </c>
      <c r="AA27" s="182">
        <v>5.8789051356131763</v>
      </c>
      <c r="AB27" s="182">
        <v>4.5884696799900384</v>
      </c>
      <c r="AC27" s="182">
        <v>5.2618188609181189</v>
      </c>
      <c r="AD27" s="260">
        <v>26.312950293322821</v>
      </c>
      <c r="AE27" s="260">
        <v>24.086777374039237</v>
      </c>
      <c r="AF27" s="260">
        <v>25.248394334633382</v>
      </c>
    </row>
    <row r="28" spans="1:32" ht="28.5">
      <c r="A28" s="254">
        <v>19</v>
      </c>
      <c r="B28" s="27" t="s">
        <v>285</v>
      </c>
      <c r="C28" s="251">
        <v>432568</v>
      </c>
      <c r="D28" s="251">
        <v>381033</v>
      </c>
      <c r="E28" s="251">
        <v>813601</v>
      </c>
      <c r="F28" s="251">
        <v>335207</v>
      </c>
      <c r="G28" s="251">
        <v>325795</v>
      </c>
      <c r="H28" s="251">
        <v>661002</v>
      </c>
      <c r="I28" s="251">
        <v>38778</v>
      </c>
      <c r="J28" s="251">
        <v>22250</v>
      </c>
      <c r="K28" s="251">
        <v>61028</v>
      </c>
      <c r="L28" s="249">
        <v>373985</v>
      </c>
      <c r="M28" s="249">
        <v>348045</v>
      </c>
      <c r="N28" s="251">
        <v>722030</v>
      </c>
      <c r="O28" s="250">
        <v>86.456927003384436</v>
      </c>
      <c r="P28" s="250">
        <v>91.342482147215591</v>
      </c>
      <c r="Q28" s="250">
        <v>88.744974502243736</v>
      </c>
      <c r="R28" s="32">
        <f t="shared" ref="R28:T28" si="8">L28</f>
        <v>373985</v>
      </c>
      <c r="S28" s="32">
        <f t="shared" si="8"/>
        <v>348045</v>
      </c>
      <c r="T28" s="32">
        <f t="shared" si="8"/>
        <v>722030</v>
      </c>
      <c r="U28" s="261">
        <v>56040</v>
      </c>
      <c r="V28" s="261">
        <v>73998</v>
      </c>
      <c r="W28" s="32">
        <f t="shared" ref="W28" si="9">U28+V28</f>
        <v>130038</v>
      </c>
      <c r="X28" s="261">
        <v>85860</v>
      </c>
      <c r="Y28" s="261">
        <v>96176</v>
      </c>
      <c r="Z28" s="32">
        <f t="shared" ref="Z28" si="10">X28+Y28</f>
        <v>182036</v>
      </c>
      <c r="AA28" s="182">
        <f t="shared" ref="AA28:AC28" si="11">U28/R28%</f>
        <v>14.984558204206051</v>
      </c>
      <c r="AB28" s="182">
        <f t="shared" si="11"/>
        <v>21.261043830539155</v>
      </c>
      <c r="AC28" s="182">
        <f t="shared" si="11"/>
        <v>18.010054983864936</v>
      </c>
      <c r="AD28" s="260">
        <f t="shared" ref="AD28:AF28" si="12">X28/R28%</f>
        <v>22.95814003235424</v>
      </c>
      <c r="AE28" s="260">
        <f t="shared" si="12"/>
        <v>27.633208349495039</v>
      </c>
      <c r="AF28" s="260">
        <f t="shared" si="12"/>
        <v>25.211694804925003</v>
      </c>
    </row>
    <row r="29" spans="1:32">
      <c r="A29" s="248">
        <v>20</v>
      </c>
      <c r="B29" s="43" t="s">
        <v>286</v>
      </c>
      <c r="C29" s="251">
        <v>227855</v>
      </c>
      <c r="D29" s="251">
        <v>219827</v>
      </c>
      <c r="E29" s="251">
        <v>447682</v>
      </c>
      <c r="F29" s="251">
        <v>215457</v>
      </c>
      <c r="G29" s="251">
        <v>212332</v>
      </c>
      <c r="H29" s="251">
        <v>427789</v>
      </c>
      <c r="I29" s="255"/>
      <c r="J29" s="255"/>
      <c r="K29" s="255"/>
      <c r="L29" s="249">
        <v>215457</v>
      </c>
      <c r="M29" s="249">
        <v>212332</v>
      </c>
      <c r="N29" s="251">
        <v>427789</v>
      </c>
      <c r="O29" s="250">
        <v>94.5588203023853</v>
      </c>
      <c r="P29" s="250">
        <v>96.590500711923468</v>
      </c>
      <c r="Q29" s="250">
        <v>95.556444083076826</v>
      </c>
      <c r="R29" s="181">
        <v>215457</v>
      </c>
      <c r="S29" s="181">
        <v>212332</v>
      </c>
      <c r="T29" s="181">
        <v>427789</v>
      </c>
      <c r="U29" s="108"/>
      <c r="V29" s="108"/>
      <c r="W29" s="108"/>
      <c r="X29" s="108"/>
      <c r="Y29" s="108"/>
      <c r="Z29" s="108"/>
      <c r="AA29" s="252"/>
      <c r="AB29" s="252"/>
      <c r="AC29" s="252"/>
      <c r="AD29" s="253"/>
      <c r="AE29" s="253"/>
      <c r="AF29" s="253"/>
    </row>
    <row r="30" spans="1:32" ht="42.75">
      <c r="A30" s="254">
        <v>21</v>
      </c>
      <c r="B30" s="43" t="s">
        <v>271</v>
      </c>
      <c r="C30" s="251">
        <v>960361</v>
      </c>
      <c r="D30" s="251">
        <v>757928</v>
      </c>
      <c r="E30" s="251">
        <v>1718289</v>
      </c>
      <c r="F30" s="251">
        <v>755982</v>
      </c>
      <c r="G30" s="251">
        <v>650816</v>
      </c>
      <c r="H30" s="251">
        <v>1406798</v>
      </c>
      <c r="I30" s="251">
        <v>26354</v>
      </c>
      <c r="J30" s="251">
        <v>13632</v>
      </c>
      <c r="K30" s="251">
        <v>39986</v>
      </c>
      <c r="L30" s="249">
        <v>782336</v>
      </c>
      <c r="M30" s="249">
        <v>664448</v>
      </c>
      <c r="N30" s="251">
        <v>1446784</v>
      </c>
      <c r="O30" s="250">
        <v>81.462699963867763</v>
      </c>
      <c r="P30" s="250">
        <v>87.666374642446243</v>
      </c>
      <c r="Q30" s="250">
        <v>84.199107367852548</v>
      </c>
      <c r="R30" s="181">
        <f>L30</f>
        <v>782336</v>
      </c>
      <c r="S30" s="181">
        <f t="shared" ref="S30:T30" si="13">M30</f>
        <v>664448</v>
      </c>
      <c r="T30" s="181">
        <f t="shared" si="13"/>
        <v>1446784</v>
      </c>
      <c r="U30" s="181">
        <v>150719</v>
      </c>
      <c r="V30" s="181">
        <v>169847</v>
      </c>
      <c r="W30" s="181">
        <v>320566</v>
      </c>
      <c r="X30" s="181">
        <v>261724</v>
      </c>
      <c r="Y30" s="181">
        <v>247651</v>
      </c>
      <c r="Z30" s="181">
        <v>509375</v>
      </c>
      <c r="AA30" s="250">
        <v>19.265350260503215</v>
      </c>
      <c r="AB30" s="250">
        <v>25.562159209086651</v>
      </c>
      <c r="AC30" s="250">
        <v>22.157219589170147</v>
      </c>
      <c r="AD30" s="256">
        <v>33.454339078549772</v>
      </c>
      <c r="AE30" s="256">
        <v>37.271746279236716</v>
      </c>
      <c r="AF30" s="256">
        <v>35.207519600436555</v>
      </c>
    </row>
    <row r="31" spans="1:32" ht="28.5">
      <c r="A31" s="248">
        <v>22</v>
      </c>
      <c r="B31" s="43" t="s">
        <v>272</v>
      </c>
      <c r="C31" s="251">
        <v>603627</v>
      </c>
      <c r="D31" s="251">
        <v>480473</v>
      </c>
      <c r="E31" s="251">
        <v>1084100</v>
      </c>
      <c r="F31" s="251">
        <v>241016</v>
      </c>
      <c r="G31" s="251">
        <v>198543</v>
      </c>
      <c r="H31" s="251">
        <v>439559</v>
      </c>
      <c r="I31" s="251">
        <v>73413</v>
      </c>
      <c r="J31" s="251">
        <v>62355</v>
      </c>
      <c r="K31" s="251">
        <v>135768</v>
      </c>
      <c r="L31" s="249">
        <v>314429</v>
      </c>
      <c r="M31" s="249">
        <v>260898</v>
      </c>
      <c r="N31" s="251">
        <v>575327</v>
      </c>
      <c r="O31" s="250">
        <v>52.089949588073424</v>
      </c>
      <c r="P31" s="250">
        <v>54.30024163688698</v>
      </c>
      <c r="Q31" s="250">
        <v>53.069550779448392</v>
      </c>
      <c r="R31" s="181">
        <v>314429</v>
      </c>
      <c r="S31" s="181">
        <v>260898</v>
      </c>
      <c r="T31" s="181">
        <v>575327</v>
      </c>
      <c r="U31" s="181">
        <v>26186</v>
      </c>
      <c r="V31" s="181">
        <v>24289</v>
      </c>
      <c r="W31" s="181">
        <v>50475</v>
      </c>
      <c r="X31" s="181">
        <v>71890</v>
      </c>
      <c r="Y31" s="181">
        <v>61803</v>
      </c>
      <c r="Z31" s="181">
        <v>133693</v>
      </c>
      <c r="AA31" s="250">
        <v>8.328112228833854</v>
      </c>
      <c r="AB31" s="250">
        <v>9.3097685685593596</v>
      </c>
      <c r="AC31" s="250">
        <v>8.7732715481804249</v>
      </c>
      <c r="AD31" s="256">
        <v>22.863667155383251</v>
      </c>
      <c r="AE31" s="256">
        <v>23.688567946093876</v>
      </c>
      <c r="AF31" s="256">
        <v>23.23774131928451</v>
      </c>
    </row>
    <row r="32" spans="1:32" ht="28.5">
      <c r="A32" s="262">
        <v>23</v>
      </c>
      <c r="B32" s="27" t="s">
        <v>141</v>
      </c>
      <c r="C32" s="251">
        <v>18315</v>
      </c>
      <c r="D32" s="251">
        <v>17575</v>
      </c>
      <c r="E32" s="251">
        <v>35890</v>
      </c>
      <c r="F32" s="251">
        <v>12234</v>
      </c>
      <c r="G32" s="251">
        <v>11047</v>
      </c>
      <c r="H32" s="251">
        <v>23281</v>
      </c>
      <c r="I32" s="228">
        <v>2175</v>
      </c>
      <c r="J32" s="228">
        <v>2465</v>
      </c>
      <c r="K32" s="228">
        <v>4640</v>
      </c>
      <c r="L32" s="249">
        <v>14409</v>
      </c>
      <c r="M32" s="249">
        <v>13512</v>
      </c>
      <c r="N32" s="251">
        <v>27921</v>
      </c>
      <c r="O32" s="250">
        <v>78.67321867321867</v>
      </c>
      <c r="P32" s="182">
        <v>76.881934566145091</v>
      </c>
      <c r="Q32" s="250">
        <v>77.796043466146557</v>
      </c>
      <c r="R32" s="181">
        <f t="shared" ref="R32:T32" si="14">L32</f>
        <v>14409</v>
      </c>
      <c r="S32" s="181">
        <f t="shared" si="14"/>
        <v>13512</v>
      </c>
      <c r="T32" s="181">
        <f t="shared" si="14"/>
        <v>27921</v>
      </c>
      <c r="U32" s="32">
        <v>622</v>
      </c>
      <c r="V32" s="32">
        <v>513</v>
      </c>
      <c r="W32" s="32">
        <f t="shared" ref="W32" si="15">U32+V32</f>
        <v>1135</v>
      </c>
      <c r="X32" s="32">
        <v>4089</v>
      </c>
      <c r="Y32" s="32">
        <v>3573</v>
      </c>
      <c r="Z32" s="32">
        <f t="shared" ref="Z32" si="16">X32+Y32</f>
        <v>7662</v>
      </c>
      <c r="AA32" s="250">
        <f t="shared" ref="AA32:AC32" si="17">U32/R32%</f>
        <v>4.3167464778957596</v>
      </c>
      <c r="AB32" s="250">
        <f t="shared" si="17"/>
        <v>3.7966252220248666</v>
      </c>
      <c r="AC32" s="250">
        <f t="shared" si="17"/>
        <v>4.0650406504065044</v>
      </c>
      <c r="AD32" s="256">
        <f t="shared" ref="AD32:AF32" si="18">X32/R32%</f>
        <v>28.378097022694149</v>
      </c>
      <c r="AE32" s="256">
        <f t="shared" si="18"/>
        <v>26.443161634103017</v>
      </c>
      <c r="AF32" s="256">
        <f t="shared" si="18"/>
        <v>27.441710540453425</v>
      </c>
    </row>
    <row r="33" spans="1:32">
      <c r="A33" s="248">
        <v>24</v>
      </c>
      <c r="B33" s="43" t="s">
        <v>158</v>
      </c>
      <c r="C33" s="251">
        <v>19814</v>
      </c>
      <c r="D33" s="251">
        <v>22993</v>
      </c>
      <c r="E33" s="251">
        <v>42807</v>
      </c>
      <c r="F33" s="251">
        <v>10590</v>
      </c>
      <c r="G33" s="251">
        <v>12659</v>
      </c>
      <c r="H33" s="251">
        <v>23249</v>
      </c>
      <c r="I33" s="255"/>
      <c r="J33" s="255"/>
      <c r="K33" s="255"/>
      <c r="L33" s="249">
        <v>10590</v>
      </c>
      <c r="M33" s="249">
        <v>12659</v>
      </c>
      <c r="N33" s="251">
        <v>23249</v>
      </c>
      <c r="O33" s="250">
        <v>53.447057636014939</v>
      </c>
      <c r="P33" s="250">
        <v>55.05588657417475</v>
      </c>
      <c r="Q33" s="250">
        <v>54.311210783283101</v>
      </c>
      <c r="R33" s="181">
        <v>10590</v>
      </c>
      <c r="S33" s="181">
        <v>12659</v>
      </c>
      <c r="T33" s="181">
        <v>23249</v>
      </c>
      <c r="U33" s="181">
        <v>1890</v>
      </c>
      <c r="V33" s="181">
        <v>2253</v>
      </c>
      <c r="W33" s="181">
        <v>4143</v>
      </c>
      <c r="X33" s="181">
        <v>3091</v>
      </c>
      <c r="Y33" s="181">
        <v>3816</v>
      </c>
      <c r="Z33" s="181">
        <v>6907</v>
      </c>
      <c r="AA33" s="250">
        <v>17.847025495750707</v>
      </c>
      <c r="AB33" s="250">
        <v>17.797614345524924</v>
      </c>
      <c r="AC33" s="250">
        <v>17.820121295539593</v>
      </c>
      <c r="AD33" s="256">
        <v>29.187913125590178</v>
      </c>
      <c r="AE33" s="256">
        <v>30.144561181767912</v>
      </c>
      <c r="AF33" s="256">
        <v>29.708804679771173</v>
      </c>
    </row>
    <row r="34" spans="1:32">
      <c r="A34" s="254">
        <v>25</v>
      </c>
      <c r="B34" s="27" t="s">
        <v>159</v>
      </c>
      <c r="C34" s="251">
        <v>8933</v>
      </c>
      <c r="D34" s="251">
        <v>9441</v>
      </c>
      <c r="E34" s="251">
        <v>18374</v>
      </c>
      <c r="F34" s="251">
        <v>6154</v>
      </c>
      <c r="G34" s="251">
        <v>6297</v>
      </c>
      <c r="H34" s="251">
        <v>12451</v>
      </c>
      <c r="I34" s="228">
        <v>66</v>
      </c>
      <c r="J34" s="228">
        <v>83</v>
      </c>
      <c r="K34" s="228">
        <v>149</v>
      </c>
      <c r="L34" s="249">
        <v>6220</v>
      </c>
      <c r="M34" s="249">
        <v>6380</v>
      </c>
      <c r="N34" s="251">
        <v>12600</v>
      </c>
      <c r="O34" s="250">
        <v>69.629463785962159</v>
      </c>
      <c r="P34" s="250">
        <v>67.577587120008474</v>
      </c>
      <c r="Q34" s="250">
        <v>68.575160552955268</v>
      </c>
      <c r="R34" s="181">
        <f t="shared" ref="R34:T34" si="19">L34</f>
        <v>6220</v>
      </c>
      <c r="S34" s="181">
        <f t="shared" si="19"/>
        <v>6380</v>
      </c>
      <c r="T34" s="181">
        <f t="shared" si="19"/>
        <v>12600</v>
      </c>
      <c r="U34" s="32">
        <v>201</v>
      </c>
      <c r="V34" s="32">
        <v>229</v>
      </c>
      <c r="W34" s="181">
        <f t="shared" ref="W34" si="20">U34+V34</f>
        <v>430</v>
      </c>
      <c r="X34" s="32">
        <v>958</v>
      </c>
      <c r="Y34" s="32">
        <v>1000</v>
      </c>
      <c r="Z34" s="181">
        <f t="shared" ref="Z34" si="21">X34+Y34</f>
        <v>1958</v>
      </c>
      <c r="AA34" s="250">
        <f t="shared" ref="AA34:AC34" si="22">U34/R34%</f>
        <v>3.2315112540192925</v>
      </c>
      <c r="AB34" s="250">
        <f t="shared" si="22"/>
        <v>3.5893416927899686</v>
      </c>
      <c r="AC34" s="250">
        <f t="shared" si="22"/>
        <v>3.4126984126984126</v>
      </c>
      <c r="AD34" s="256">
        <f t="shared" ref="AD34:AF34" si="23">X34/R34%</f>
        <v>15.40192926045016</v>
      </c>
      <c r="AE34" s="256">
        <f t="shared" si="23"/>
        <v>15.673981191222571</v>
      </c>
      <c r="AF34" s="256">
        <f t="shared" si="23"/>
        <v>15.53968253968254</v>
      </c>
    </row>
    <row r="35" spans="1:32">
      <c r="A35" s="248">
        <v>26</v>
      </c>
      <c r="B35" s="43" t="s">
        <v>160</v>
      </c>
      <c r="C35" s="251">
        <v>10836</v>
      </c>
      <c r="D35" s="251">
        <v>10842</v>
      </c>
      <c r="E35" s="251">
        <v>21678</v>
      </c>
      <c r="F35" s="251">
        <v>7221</v>
      </c>
      <c r="G35" s="251">
        <v>6910</v>
      </c>
      <c r="H35" s="251">
        <v>14131</v>
      </c>
      <c r="I35" s="255"/>
      <c r="J35" s="255"/>
      <c r="K35" s="255"/>
      <c r="L35" s="249">
        <v>7221</v>
      </c>
      <c r="M35" s="249">
        <v>6910</v>
      </c>
      <c r="N35" s="251">
        <v>14131</v>
      </c>
      <c r="O35" s="250">
        <v>66.638981173864892</v>
      </c>
      <c r="P35" s="250">
        <v>63.733628481829918</v>
      </c>
      <c r="Q35" s="250">
        <v>65.185902758557063</v>
      </c>
      <c r="R35" s="181">
        <v>7221</v>
      </c>
      <c r="S35" s="181">
        <v>6910</v>
      </c>
      <c r="T35" s="181">
        <v>14131</v>
      </c>
      <c r="U35" s="181">
        <v>510</v>
      </c>
      <c r="V35" s="181">
        <v>612</v>
      </c>
      <c r="W35" s="181">
        <v>1122</v>
      </c>
      <c r="X35" s="181">
        <v>1862</v>
      </c>
      <c r="Y35" s="181">
        <v>1931</v>
      </c>
      <c r="Z35" s="181">
        <v>3793</v>
      </c>
      <c r="AA35" s="250">
        <v>7.062733693394267</v>
      </c>
      <c r="AB35" s="250">
        <v>8.8567293777134601</v>
      </c>
      <c r="AC35" s="250">
        <v>7.9399900927039839</v>
      </c>
      <c r="AD35" s="256">
        <v>25.785902229608091</v>
      </c>
      <c r="AE35" s="256">
        <v>27.945007235890017</v>
      </c>
      <c r="AF35" s="256">
        <v>26.841695562946711</v>
      </c>
    </row>
    <row r="36" spans="1:32">
      <c r="A36" s="254">
        <v>27</v>
      </c>
      <c r="B36" s="43" t="s">
        <v>273</v>
      </c>
      <c r="C36" s="251">
        <v>295462</v>
      </c>
      <c r="D36" s="251">
        <v>297407</v>
      </c>
      <c r="E36" s="251">
        <v>592869</v>
      </c>
      <c r="F36" s="251">
        <v>242462</v>
      </c>
      <c r="G36" s="251">
        <v>244849</v>
      </c>
      <c r="H36" s="251">
        <v>487311</v>
      </c>
      <c r="I36" s="251">
        <v>3064</v>
      </c>
      <c r="J36" s="251">
        <v>2079</v>
      </c>
      <c r="K36" s="251">
        <v>5143</v>
      </c>
      <c r="L36" s="249">
        <v>245526</v>
      </c>
      <c r="M36" s="249">
        <v>246928</v>
      </c>
      <c r="N36" s="251">
        <v>492454</v>
      </c>
      <c r="O36" s="250">
        <v>83.099011040336819</v>
      </c>
      <c r="P36" s="250">
        <v>83.026963050634322</v>
      </c>
      <c r="Q36" s="250">
        <v>83.062868863104669</v>
      </c>
      <c r="R36" s="181">
        <v>245526</v>
      </c>
      <c r="S36" s="181">
        <v>246928</v>
      </c>
      <c r="T36" s="181">
        <v>492454</v>
      </c>
      <c r="U36" s="108"/>
      <c r="V36" s="108"/>
      <c r="W36" s="108"/>
      <c r="X36" s="108"/>
      <c r="Y36" s="108"/>
      <c r="Z36" s="108"/>
      <c r="AA36" s="252"/>
      <c r="AB36" s="252"/>
      <c r="AC36" s="252"/>
      <c r="AD36" s="253"/>
      <c r="AE36" s="253"/>
      <c r="AF36" s="253"/>
    </row>
    <row r="37" spans="1:32">
      <c r="A37" s="248">
        <v>28</v>
      </c>
      <c r="B37" s="43" t="s">
        <v>162</v>
      </c>
      <c r="C37" s="251">
        <v>219685</v>
      </c>
      <c r="D37" s="251">
        <v>163816</v>
      </c>
      <c r="E37" s="251">
        <v>383501</v>
      </c>
      <c r="F37" s="251">
        <v>142866</v>
      </c>
      <c r="G37" s="251">
        <v>128359</v>
      </c>
      <c r="H37" s="251">
        <v>271225</v>
      </c>
      <c r="I37" s="255"/>
      <c r="J37" s="255"/>
      <c r="K37" s="255"/>
      <c r="L37" s="249">
        <v>142866</v>
      </c>
      <c r="M37" s="249">
        <v>128359</v>
      </c>
      <c r="N37" s="251">
        <v>271225</v>
      </c>
      <c r="O37" s="250">
        <v>65.032205202904152</v>
      </c>
      <c r="P37" s="250">
        <v>78.355594081164242</v>
      </c>
      <c r="Q37" s="250">
        <v>70.723414019780918</v>
      </c>
      <c r="R37" s="181">
        <v>142866</v>
      </c>
      <c r="S37" s="181">
        <v>128359</v>
      </c>
      <c r="T37" s="181">
        <v>271225</v>
      </c>
      <c r="U37" s="181">
        <v>15877</v>
      </c>
      <c r="V37" s="181">
        <v>30354</v>
      </c>
      <c r="W37" s="181">
        <v>46231</v>
      </c>
      <c r="X37" s="181">
        <v>56079</v>
      </c>
      <c r="Y37" s="181">
        <v>56562</v>
      </c>
      <c r="Z37" s="181">
        <v>112641</v>
      </c>
      <c r="AA37" s="250">
        <v>11.113210980919183</v>
      </c>
      <c r="AB37" s="250">
        <v>23.64773798487056</v>
      </c>
      <c r="AC37" s="250">
        <v>17.045257627431099</v>
      </c>
      <c r="AD37" s="256">
        <v>39.252866322288014</v>
      </c>
      <c r="AE37" s="256">
        <v>44.065472619761763</v>
      </c>
      <c r="AF37" s="256">
        <v>41.530463637201585</v>
      </c>
    </row>
    <row r="38" spans="1:32" ht="28.5">
      <c r="A38" s="254">
        <v>29</v>
      </c>
      <c r="B38" s="43" t="s">
        <v>212</v>
      </c>
      <c r="C38" s="251">
        <v>652675</v>
      </c>
      <c r="D38" s="251">
        <v>451651</v>
      </c>
      <c r="E38" s="251">
        <v>1104326</v>
      </c>
      <c r="F38" s="251">
        <v>435246</v>
      </c>
      <c r="G38" s="251">
        <v>298730</v>
      </c>
      <c r="H38" s="251">
        <v>733976</v>
      </c>
      <c r="I38" s="251">
        <v>20171</v>
      </c>
      <c r="J38" s="251">
        <v>19638</v>
      </c>
      <c r="K38" s="251">
        <v>39809</v>
      </c>
      <c r="L38" s="249">
        <v>455417</v>
      </c>
      <c r="M38" s="249">
        <v>318368</v>
      </c>
      <c r="N38" s="251">
        <v>773785</v>
      </c>
      <c r="O38" s="250">
        <v>69.776994675757464</v>
      </c>
      <c r="P38" s="250">
        <v>70.489825108324794</v>
      </c>
      <c r="Q38" s="250">
        <v>70.068530488279734</v>
      </c>
      <c r="R38" s="181">
        <v>455417</v>
      </c>
      <c r="S38" s="181">
        <v>318368</v>
      </c>
      <c r="T38" s="181">
        <v>773785</v>
      </c>
      <c r="U38" s="108"/>
      <c r="V38" s="108"/>
      <c r="W38" s="108"/>
      <c r="X38" s="108"/>
      <c r="Y38" s="108"/>
      <c r="Z38" s="108"/>
      <c r="AA38" s="252"/>
      <c r="AB38" s="252"/>
      <c r="AC38" s="252"/>
      <c r="AD38" s="253"/>
      <c r="AE38" s="253"/>
      <c r="AF38" s="253"/>
    </row>
    <row r="39" spans="1:32" ht="28.5">
      <c r="A39" s="248">
        <v>30</v>
      </c>
      <c r="B39" s="43" t="s">
        <v>274</v>
      </c>
      <c r="C39" s="251">
        <v>518639</v>
      </c>
      <c r="D39" s="251">
        <v>502110</v>
      </c>
      <c r="E39" s="251">
        <v>1020749</v>
      </c>
      <c r="F39" s="251">
        <v>456328</v>
      </c>
      <c r="G39" s="251">
        <v>469810</v>
      </c>
      <c r="H39" s="251">
        <v>926138</v>
      </c>
      <c r="I39" s="255"/>
      <c r="J39" s="255"/>
      <c r="K39" s="255"/>
      <c r="L39" s="249">
        <v>456328</v>
      </c>
      <c r="M39" s="249">
        <v>469810</v>
      </c>
      <c r="N39" s="251">
        <v>926138</v>
      </c>
      <c r="O39" s="250">
        <v>87.985670186777327</v>
      </c>
      <c r="P39" s="250">
        <v>93.567146641174247</v>
      </c>
      <c r="Q39" s="250">
        <v>90.731217958577474</v>
      </c>
      <c r="R39" s="181">
        <v>456328</v>
      </c>
      <c r="S39" s="181">
        <v>469810</v>
      </c>
      <c r="T39" s="181">
        <v>926138</v>
      </c>
      <c r="U39" s="181">
        <v>194594</v>
      </c>
      <c r="V39" s="181">
        <v>257212</v>
      </c>
      <c r="W39" s="181">
        <v>451806</v>
      </c>
      <c r="X39" s="181">
        <v>133899</v>
      </c>
      <c r="Y39" s="181">
        <v>124305</v>
      </c>
      <c r="Z39" s="181">
        <v>258204</v>
      </c>
      <c r="AA39" s="250">
        <v>42.643449448642208</v>
      </c>
      <c r="AB39" s="250">
        <v>54.748089653264081</v>
      </c>
      <c r="AC39" s="250">
        <v>48.783874541375049</v>
      </c>
      <c r="AD39" s="256">
        <v>29.342709629915326</v>
      </c>
      <c r="AE39" s="256">
        <v>26.458568357421083</v>
      </c>
      <c r="AF39" s="256">
        <v>27.879646445778061</v>
      </c>
    </row>
    <row r="40" spans="1:32" ht="28.5">
      <c r="A40" s="254">
        <v>31</v>
      </c>
      <c r="B40" s="43" t="s">
        <v>165</v>
      </c>
      <c r="C40" s="251">
        <v>24240</v>
      </c>
      <c r="D40" s="251">
        <v>22631</v>
      </c>
      <c r="E40" s="251">
        <v>46871</v>
      </c>
      <c r="F40" s="251">
        <v>14414</v>
      </c>
      <c r="G40" s="251">
        <v>12907</v>
      </c>
      <c r="H40" s="251">
        <v>27321</v>
      </c>
      <c r="I40" s="255"/>
      <c r="J40" s="255"/>
      <c r="K40" s="255"/>
      <c r="L40" s="249">
        <v>14414</v>
      </c>
      <c r="M40" s="249">
        <v>12907</v>
      </c>
      <c r="N40" s="251">
        <v>27321</v>
      </c>
      <c r="O40" s="250">
        <v>59.463696369636963</v>
      </c>
      <c r="P40" s="250">
        <v>57.032389200653967</v>
      </c>
      <c r="Q40" s="250">
        <v>58.289774060719843</v>
      </c>
      <c r="R40" s="181">
        <v>14414</v>
      </c>
      <c r="S40" s="181">
        <v>12907</v>
      </c>
      <c r="T40" s="181">
        <v>27321</v>
      </c>
      <c r="U40" s="181">
        <v>446</v>
      </c>
      <c r="V40" s="181">
        <v>349</v>
      </c>
      <c r="W40" s="181">
        <v>795</v>
      </c>
      <c r="X40" s="181">
        <v>1174</v>
      </c>
      <c r="Y40" s="181">
        <v>845</v>
      </c>
      <c r="Z40" s="181">
        <v>2019</v>
      </c>
      <c r="AA40" s="250">
        <v>3.0942139586513115</v>
      </c>
      <c r="AB40" s="250">
        <v>2.7039590919656002</v>
      </c>
      <c r="AC40" s="250">
        <v>2.9098495662677064</v>
      </c>
      <c r="AD40" s="256">
        <v>8.1448591647009856</v>
      </c>
      <c r="AE40" s="256">
        <v>6.5468350507476565</v>
      </c>
      <c r="AF40" s="256">
        <v>7.3899198418798733</v>
      </c>
    </row>
    <row r="41" spans="1:32" ht="28.5">
      <c r="A41" s="248">
        <v>32</v>
      </c>
      <c r="B41" s="43" t="s">
        <v>275</v>
      </c>
      <c r="C41" s="251">
        <v>1863463</v>
      </c>
      <c r="D41" s="251">
        <v>1525291</v>
      </c>
      <c r="E41" s="251">
        <v>3388754</v>
      </c>
      <c r="F41" s="251">
        <v>1503469</v>
      </c>
      <c r="G41" s="251">
        <v>1368272</v>
      </c>
      <c r="H41" s="251">
        <v>2871741</v>
      </c>
      <c r="I41" s="255"/>
      <c r="J41" s="255"/>
      <c r="K41" s="255"/>
      <c r="L41" s="249">
        <v>1503469</v>
      </c>
      <c r="M41" s="249">
        <v>1368272</v>
      </c>
      <c r="N41" s="251">
        <v>2871741</v>
      </c>
      <c r="O41" s="250">
        <v>80.681451684310346</v>
      </c>
      <c r="P41" s="250">
        <v>89.705636498215739</v>
      </c>
      <c r="Q41" s="250">
        <v>84.743271420705071</v>
      </c>
      <c r="R41" s="181">
        <v>1503469</v>
      </c>
      <c r="S41" s="181">
        <v>1368272</v>
      </c>
      <c r="T41" s="181">
        <v>2871741</v>
      </c>
      <c r="U41" s="181">
        <v>342852</v>
      </c>
      <c r="V41" s="181">
        <v>413837</v>
      </c>
      <c r="W41" s="181">
        <v>756689</v>
      </c>
      <c r="X41" s="181">
        <v>836159</v>
      </c>
      <c r="Y41" s="181">
        <v>769572</v>
      </c>
      <c r="Z41" s="181">
        <v>1605731</v>
      </c>
      <c r="AA41" s="250">
        <v>22.80406180639574</v>
      </c>
      <c r="AB41" s="250">
        <v>30.245229018791587</v>
      </c>
      <c r="AC41" s="250">
        <v>26.349486252416217</v>
      </c>
      <c r="AD41" s="256">
        <v>55.615313651295772</v>
      </c>
      <c r="AE41" s="256">
        <v>56.24408012441971</v>
      </c>
      <c r="AF41" s="256">
        <v>55.914896224972935</v>
      </c>
    </row>
    <row r="42" spans="1:32" ht="28.5">
      <c r="A42" s="254">
        <v>33</v>
      </c>
      <c r="B42" s="43" t="s">
        <v>287</v>
      </c>
      <c r="C42" s="251">
        <v>88043</v>
      </c>
      <c r="D42" s="251">
        <v>82358</v>
      </c>
      <c r="E42" s="251">
        <v>170401</v>
      </c>
      <c r="F42" s="251">
        <v>54178</v>
      </c>
      <c r="G42" s="251">
        <v>60673</v>
      </c>
      <c r="H42" s="251">
        <v>114851</v>
      </c>
      <c r="I42" s="255"/>
      <c r="J42" s="255"/>
      <c r="K42" s="255"/>
      <c r="L42" s="249">
        <v>54178</v>
      </c>
      <c r="M42" s="249">
        <v>60673</v>
      </c>
      <c r="N42" s="251">
        <v>114851</v>
      </c>
      <c r="O42" s="250">
        <v>61.535840441602396</v>
      </c>
      <c r="P42" s="250">
        <v>73.669831710337803</v>
      </c>
      <c r="Q42" s="250">
        <v>67.40042605383772</v>
      </c>
      <c r="R42" s="181">
        <v>54178</v>
      </c>
      <c r="S42" s="181">
        <v>60673</v>
      </c>
      <c r="T42" s="181">
        <v>114851</v>
      </c>
      <c r="U42" s="181">
        <v>2307</v>
      </c>
      <c r="V42" s="181">
        <v>1835</v>
      </c>
      <c r="W42" s="181">
        <v>4142</v>
      </c>
      <c r="X42" s="181">
        <v>9712</v>
      </c>
      <c r="Y42" s="181">
        <v>14098</v>
      </c>
      <c r="Z42" s="181">
        <v>23810</v>
      </c>
      <c r="AA42" s="250">
        <v>4.2581859795488946</v>
      </c>
      <c r="AB42" s="250">
        <v>3.0244095396634418</v>
      </c>
      <c r="AC42" s="250">
        <v>3.6064117857049567</v>
      </c>
      <c r="AD42" s="256">
        <v>17.926095463103106</v>
      </c>
      <c r="AE42" s="256">
        <v>23.236035798460598</v>
      </c>
      <c r="AF42" s="256">
        <v>20.731208261138345</v>
      </c>
    </row>
    <row r="43" spans="1:32" ht="28.5">
      <c r="A43" s="248">
        <v>34</v>
      </c>
      <c r="B43" s="43" t="s">
        <v>172</v>
      </c>
      <c r="C43" s="251">
        <v>489584</v>
      </c>
      <c r="D43" s="251">
        <v>553155</v>
      </c>
      <c r="E43" s="251">
        <v>1042739</v>
      </c>
      <c r="F43" s="251">
        <v>412332</v>
      </c>
      <c r="G43" s="251">
        <v>425541</v>
      </c>
      <c r="H43" s="251">
        <v>837873</v>
      </c>
      <c r="I43" s="255"/>
      <c r="J43" s="255"/>
      <c r="K43" s="255"/>
      <c r="L43" s="249">
        <v>412332</v>
      </c>
      <c r="M43" s="249">
        <v>425541</v>
      </c>
      <c r="N43" s="251">
        <v>837873</v>
      </c>
      <c r="O43" s="250">
        <v>84.220889571554622</v>
      </c>
      <c r="P43" s="250">
        <v>76.929793638311139</v>
      </c>
      <c r="Q43" s="250">
        <v>80.353089315734806</v>
      </c>
      <c r="R43" s="181">
        <v>412332</v>
      </c>
      <c r="S43" s="181">
        <v>425541</v>
      </c>
      <c r="T43" s="181">
        <v>837873</v>
      </c>
      <c r="U43" s="181">
        <v>26357</v>
      </c>
      <c r="V43" s="181">
        <v>18379</v>
      </c>
      <c r="W43" s="181">
        <v>44736</v>
      </c>
      <c r="X43" s="181">
        <v>37160</v>
      </c>
      <c r="Y43" s="181">
        <v>31020</v>
      </c>
      <c r="Z43" s="181">
        <v>68180</v>
      </c>
      <c r="AA43" s="250">
        <v>6.3921791177982792</v>
      </c>
      <c r="AB43" s="250">
        <v>4.3189727899309354</v>
      </c>
      <c r="AC43" s="250">
        <v>5.3392339889219489</v>
      </c>
      <c r="AD43" s="256">
        <v>9.0121552535335603</v>
      </c>
      <c r="AE43" s="256">
        <v>7.2895443682277383</v>
      </c>
      <c r="AF43" s="256">
        <v>8.1372714003196194</v>
      </c>
    </row>
    <row r="44" spans="1:32" ht="28.5">
      <c r="A44" s="254">
        <v>35</v>
      </c>
      <c r="B44" s="43" t="s">
        <v>277</v>
      </c>
      <c r="C44" s="251">
        <v>13330</v>
      </c>
      <c r="D44" s="251">
        <v>27711</v>
      </c>
      <c r="E44" s="251">
        <v>41041</v>
      </c>
      <c r="F44" s="251">
        <v>11254</v>
      </c>
      <c r="G44" s="251">
        <v>21001</v>
      </c>
      <c r="H44" s="251">
        <v>32255</v>
      </c>
      <c r="I44" s="255"/>
      <c r="J44" s="255"/>
      <c r="K44" s="255"/>
      <c r="L44" s="249">
        <v>11254</v>
      </c>
      <c r="M44" s="249">
        <v>21001</v>
      </c>
      <c r="N44" s="251">
        <v>32255</v>
      </c>
      <c r="O44" s="250">
        <v>84.426106526631656</v>
      </c>
      <c r="P44" s="250">
        <v>75.785789036844577</v>
      </c>
      <c r="Q44" s="250">
        <v>78.592139567749314</v>
      </c>
      <c r="R44" s="181">
        <v>11254</v>
      </c>
      <c r="S44" s="181">
        <v>21001</v>
      </c>
      <c r="T44" s="181">
        <v>32255</v>
      </c>
      <c r="U44" s="181">
        <v>264</v>
      </c>
      <c r="V44" s="181">
        <v>197</v>
      </c>
      <c r="W44" s="181">
        <v>461</v>
      </c>
      <c r="X44" s="181">
        <v>895</v>
      </c>
      <c r="Y44" s="181">
        <v>994</v>
      </c>
      <c r="Z44" s="181">
        <v>1889</v>
      </c>
      <c r="AA44" s="250">
        <v>2.3458325928558734</v>
      </c>
      <c r="AB44" s="250">
        <v>0.93805056902052286</v>
      </c>
      <c r="AC44" s="250">
        <v>1.4292357773988529</v>
      </c>
      <c r="AD44" s="256">
        <v>7.9527279189621467</v>
      </c>
      <c r="AE44" s="256">
        <v>4.7331079472406081</v>
      </c>
      <c r="AF44" s="256">
        <v>5.8564563633545186</v>
      </c>
    </row>
    <row r="45" spans="1:32">
      <c r="A45" s="640" t="s">
        <v>256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</row>
    <row r="46" spans="1:32" ht="28.5">
      <c r="A46" s="167">
        <v>1</v>
      </c>
      <c r="B46" s="43" t="s">
        <v>280</v>
      </c>
      <c r="C46" s="168">
        <f>90781+99636</f>
        <v>190417</v>
      </c>
      <c r="D46" s="168">
        <f>41725+41772</f>
        <v>83497</v>
      </c>
      <c r="E46" s="169">
        <f t="shared" ref="E46:E51" si="24">C46+D46</f>
        <v>273914</v>
      </c>
      <c r="F46" s="168">
        <v>104822</v>
      </c>
      <c r="G46" s="168">
        <v>45328</v>
      </c>
      <c r="H46" s="169">
        <f t="shared" ref="H46:H50" si="25">F46+G46</f>
        <v>150150</v>
      </c>
      <c r="I46" s="168"/>
      <c r="J46" s="168"/>
      <c r="K46" s="169"/>
      <c r="L46" s="168">
        <v>104822</v>
      </c>
      <c r="M46" s="168">
        <v>45328</v>
      </c>
      <c r="N46" s="169">
        <f t="shared" ref="N46:N50" si="26">L46+M46</f>
        <v>150150</v>
      </c>
      <c r="O46" s="168">
        <f>+L46/C46%</f>
        <v>55.048656369966963</v>
      </c>
      <c r="P46" s="168">
        <f t="shared" ref="P46:Q46" si="27">+M46/D46%</f>
        <v>54.286980370552236</v>
      </c>
      <c r="Q46" s="168">
        <f t="shared" si="27"/>
        <v>54.816475244054708</v>
      </c>
      <c r="R46" s="173">
        <f t="shared" ref="R46:T50" si="28">F46</f>
        <v>104822</v>
      </c>
      <c r="S46" s="173">
        <f t="shared" si="28"/>
        <v>45328</v>
      </c>
      <c r="T46" s="173">
        <f t="shared" si="28"/>
        <v>150150</v>
      </c>
      <c r="U46" s="173">
        <v>2262</v>
      </c>
      <c r="V46" s="173">
        <v>652</v>
      </c>
      <c r="W46" s="173">
        <f>U46+V46</f>
        <v>2914</v>
      </c>
      <c r="X46" s="173">
        <v>21486</v>
      </c>
      <c r="Y46" s="173">
        <v>8467</v>
      </c>
      <c r="Z46" s="173">
        <f t="shared" ref="Z46:Z51" si="29">X46+Y46</f>
        <v>29953</v>
      </c>
      <c r="AA46" s="178">
        <f t="shared" ref="AA46:AC49" si="30">U46/R46%</f>
        <v>2.1579439430653871</v>
      </c>
      <c r="AB46" s="178">
        <f t="shared" si="30"/>
        <v>1.4384045181786094</v>
      </c>
      <c r="AC46" s="178">
        <f t="shared" si="30"/>
        <v>1.9407259407259407</v>
      </c>
      <c r="AD46" s="179">
        <f>X46/R46%</f>
        <v>20.497605464501728</v>
      </c>
      <c r="AE46" s="179">
        <f>Y46/S46%</f>
        <v>18.6794034592305</v>
      </c>
      <c r="AF46" s="179">
        <f>Z46/T46%</f>
        <v>19.948717948717949</v>
      </c>
    </row>
    <row r="47" spans="1:32">
      <c r="A47" s="167">
        <v>2</v>
      </c>
      <c r="B47" s="53" t="s">
        <v>288</v>
      </c>
      <c r="C47" s="265">
        <v>27079</v>
      </c>
      <c r="D47" s="265">
        <v>14099</v>
      </c>
      <c r="E47" s="169">
        <f t="shared" si="24"/>
        <v>41178</v>
      </c>
      <c r="F47" s="265">
        <v>20828</v>
      </c>
      <c r="G47" s="265">
        <v>11662</v>
      </c>
      <c r="H47" s="169">
        <f t="shared" si="25"/>
        <v>32490</v>
      </c>
      <c r="I47" s="266"/>
      <c r="J47" s="266"/>
      <c r="K47" s="169"/>
      <c r="L47" s="265">
        <v>20828</v>
      </c>
      <c r="M47" s="265">
        <v>11662</v>
      </c>
      <c r="N47" s="169">
        <f t="shared" si="26"/>
        <v>32490</v>
      </c>
      <c r="O47" s="168">
        <f t="shared" ref="O47:Q52" si="31">+L47/C47%</f>
        <v>76.91569112596477</v>
      </c>
      <c r="P47" s="168">
        <f t="shared" ref="P47:P50" si="32">+M47/D47%</f>
        <v>82.715086176324562</v>
      </c>
      <c r="Q47" s="168">
        <f t="shared" ref="Q47:Q50" si="33">+N47/E47%</f>
        <v>78.901355092525137</v>
      </c>
      <c r="R47" s="169">
        <f t="shared" si="28"/>
        <v>20828</v>
      </c>
      <c r="S47" s="169">
        <f t="shared" si="28"/>
        <v>11662</v>
      </c>
      <c r="T47" s="169">
        <f t="shared" si="28"/>
        <v>32490</v>
      </c>
      <c r="U47" s="108"/>
      <c r="V47" s="108"/>
      <c r="W47" s="108"/>
      <c r="X47" s="108"/>
      <c r="Y47" s="108"/>
      <c r="Z47" s="108"/>
      <c r="AA47" s="252"/>
      <c r="AB47" s="252"/>
      <c r="AC47" s="252"/>
      <c r="AD47" s="253"/>
      <c r="AE47" s="253"/>
      <c r="AF47" s="253"/>
    </row>
    <row r="48" spans="1:32">
      <c r="A48" s="167">
        <v>3</v>
      </c>
      <c r="B48" s="43" t="s">
        <v>223</v>
      </c>
      <c r="C48" s="168">
        <v>35425</v>
      </c>
      <c r="D48" s="168">
        <v>42697</v>
      </c>
      <c r="E48" s="169">
        <f t="shared" si="24"/>
        <v>78122</v>
      </c>
      <c r="F48" s="168">
        <v>26675</v>
      </c>
      <c r="G48" s="168">
        <v>29823</v>
      </c>
      <c r="H48" s="169">
        <f t="shared" si="25"/>
        <v>56498</v>
      </c>
      <c r="I48" s="168"/>
      <c r="J48" s="168"/>
      <c r="K48" s="169"/>
      <c r="L48" s="168">
        <v>26675</v>
      </c>
      <c r="M48" s="168">
        <v>29823</v>
      </c>
      <c r="N48" s="169">
        <f t="shared" si="26"/>
        <v>56498</v>
      </c>
      <c r="O48" s="168">
        <f t="shared" si="31"/>
        <v>75.299929428369794</v>
      </c>
      <c r="P48" s="168">
        <f t="shared" si="32"/>
        <v>69.84799868843244</v>
      </c>
      <c r="Q48" s="168">
        <f t="shared" si="33"/>
        <v>72.320217096336492</v>
      </c>
      <c r="R48" s="173">
        <f t="shared" si="28"/>
        <v>26675</v>
      </c>
      <c r="S48" s="173">
        <f t="shared" si="28"/>
        <v>29823</v>
      </c>
      <c r="T48" s="173">
        <f t="shared" si="28"/>
        <v>56498</v>
      </c>
      <c r="U48" s="173">
        <v>10</v>
      </c>
      <c r="V48" s="173">
        <v>15</v>
      </c>
      <c r="W48" s="173">
        <f>U48+V48</f>
        <v>25</v>
      </c>
      <c r="X48" s="173">
        <v>918</v>
      </c>
      <c r="Y48" s="173">
        <v>806</v>
      </c>
      <c r="Z48" s="173">
        <f t="shared" si="29"/>
        <v>1724</v>
      </c>
      <c r="AA48" s="178">
        <f t="shared" si="30"/>
        <v>3.7488284910965321E-2</v>
      </c>
      <c r="AB48" s="178">
        <f t="shared" si="30"/>
        <v>5.0296750829896389E-2</v>
      </c>
      <c r="AC48" s="178">
        <f t="shared" si="30"/>
        <v>4.4249353959432192E-2</v>
      </c>
      <c r="AD48" s="179">
        <f>X48/R48%</f>
        <v>3.4414245548266167</v>
      </c>
      <c r="AE48" s="179">
        <f>Y48/S48%</f>
        <v>2.7026120779264327</v>
      </c>
      <c r="AF48" s="179">
        <f>Z48/T48%</f>
        <v>3.0514354490424438</v>
      </c>
    </row>
    <row r="49" spans="1:32" ht="28.5">
      <c r="A49" s="167">
        <v>4</v>
      </c>
      <c r="B49" s="43" t="s">
        <v>289</v>
      </c>
      <c r="C49" s="168">
        <v>77407</v>
      </c>
      <c r="D49" s="168">
        <v>56404</v>
      </c>
      <c r="E49" s="169">
        <f t="shared" si="24"/>
        <v>133811</v>
      </c>
      <c r="F49" s="30">
        <f>6240+3328</f>
        <v>9568</v>
      </c>
      <c r="G49" s="168">
        <f>5674+2875</f>
        <v>8549</v>
      </c>
      <c r="H49" s="169">
        <f t="shared" si="25"/>
        <v>18117</v>
      </c>
      <c r="I49" s="168"/>
      <c r="J49" s="168"/>
      <c r="K49" s="169"/>
      <c r="L49" s="30">
        <f>6240+3328</f>
        <v>9568</v>
      </c>
      <c r="M49" s="168">
        <f>5674+2875</f>
        <v>8549</v>
      </c>
      <c r="N49" s="169">
        <f t="shared" si="26"/>
        <v>18117</v>
      </c>
      <c r="O49" s="168">
        <f t="shared" si="31"/>
        <v>12.360639218675313</v>
      </c>
      <c r="P49" s="168">
        <f t="shared" si="32"/>
        <v>15.156726473299766</v>
      </c>
      <c r="Q49" s="168">
        <f t="shared" si="33"/>
        <v>13.539245652450099</v>
      </c>
      <c r="R49" s="173">
        <f t="shared" si="28"/>
        <v>9568</v>
      </c>
      <c r="S49" s="173">
        <f t="shared" si="28"/>
        <v>8549</v>
      </c>
      <c r="T49" s="173">
        <f t="shared" si="28"/>
        <v>18117</v>
      </c>
      <c r="U49" s="173">
        <v>22</v>
      </c>
      <c r="V49" s="173">
        <v>7</v>
      </c>
      <c r="W49" s="173">
        <f>U49+V49</f>
        <v>29</v>
      </c>
      <c r="X49" s="173">
        <v>283</v>
      </c>
      <c r="Y49" s="173">
        <v>187</v>
      </c>
      <c r="Z49" s="173">
        <f t="shared" si="29"/>
        <v>470</v>
      </c>
      <c r="AA49" s="178">
        <v>0</v>
      </c>
      <c r="AB49" s="178">
        <v>0</v>
      </c>
      <c r="AC49" s="178">
        <f t="shared" si="30"/>
        <v>0.16007065187393058</v>
      </c>
      <c r="AD49" s="179">
        <v>0</v>
      </c>
      <c r="AE49" s="179">
        <v>0</v>
      </c>
      <c r="AF49" s="179">
        <v>0</v>
      </c>
    </row>
    <row r="50" spans="1:32" ht="28.5">
      <c r="A50" s="267">
        <v>5</v>
      </c>
      <c r="B50" s="27" t="s">
        <v>282</v>
      </c>
      <c r="C50" s="168">
        <v>19600</v>
      </c>
      <c r="D50" s="168">
        <v>18105</v>
      </c>
      <c r="E50" s="169">
        <f t="shared" si="24"/>
        <v>37705</v>
      </c>
      <c r="F50" s="168">
        <f>7993+4981</f>
        <v>12974</v>
      </c>
      <c r="G50" s="168">
        <f>10585+6145</f>
        <v>16730</v>
      </c>
      <c r="H50" s="169">
        <f t="shared" si="25"/>
        <v>29704</v>
      </c>
      <c r="I50" s="168"/>
      <c r="J50" s="168"/>
      <c r="K50" s="169"/>
      <c r="L50" s="168">
        <f>7993+4981</f>
        <v>12974</v>
      </c>
      <c r="M50" s="168">
        <f>10585+6145</f>
        <v>16730</v>
      </c>
      <c r="N50" s="169">
        <f t="shared" si="26"/>
        <v>29704</v>
      </c>
      <c r="O50" s="168">
        <f t="shared" si="31"/>
        <v>66.193877551020407</v>
      </c>
      <c r="P50" s="168">
        <f t="shared" si="32"/>
        <v>92.405412869373095</v>
      </c>
      <c r="Q50" s="168">
        <f t="shared" si="33"/>
        <v>78.78000265216815</v>
      </c>
      <c r="R50" s="173">
        <f t="shared" si="28"/>
        <v>12974</v>
      </c>
      <c r="S50" s="173">
        <f t="shared" si="28"/>
        <v>16730</v>
      </c>
      <c r="T50" s="173">
        <f t="shared" si="28"/>
        <v>29704</v>
      </c>
      <c r="U50" s="108"/>
      <c r="V50" s="108"/>
      <c r="W50" s="108"/>
      <c r="X50" s="108"/>
      <c r="Y50" s="108"/>
      <c r="Z50" s="108"/>
      <c r="AA50" s="252"/>
      <c r="AB50" s="252"/>
      <c r="AC50" s="252"/>
      <c r="AD50" s="253"/>
      <c r="AE50" s="253"/>
      <c r="AF50" s="253"/>
    </row>
    <row r="51" spans="1:32" ht="28.5">
      <c r="A51" s="268">
        <v>6</v>
      </c>
      <c r="B51" s="211" t="s">
        <v>308</v>
      </c>
      <c r="C51" s="189">
        <f>9624+8619+1369+568+1406+664</f>
        <v>22250</v>
      </c>
      <c r="D51" s="189">
        <f>9547+10472+1586+652+1208+684+69+60+1</f>
        <v>24279</v>
      </c>
      <c r="E51" s="169">
        <f t="shared" si="24"/>
        <v>46529</v>
      </c>
      <c r="F51" s="189">
        <f>2009+1999+350+84+318+95+17</f>
        <v>4872</v>
      </c>
      <c r="G51" s="189">
        <f>2804+2375+268+99+393+128+22</f>
        <v>6089</v>
      </c>
      <c r="H51" s="169">
        <f>F51+G51</f>
        <v>10961</v>
      </c>
      <c r="I51" s="189"/>
      <c r="J51" s="189"/>
      <c r="K51" s="171"/>
      <c r="L51" s="189">
        <f>2009+1999+350+84+318+95+17</f>
        <v>4872</v>
      </c>
      <c r="M51" s="189">
        <f>2804+2375+268+99+393+128+22</f>
        <v>6089</v>
      </c>
      <c r="N51" s="169">
        <f>L51+M51</f>
        <v>10961</v>
      </c>
      <c r="O51" s="168">
        <f>+L51/C51%</f>
        <v>21.896629213483145</v>
      </c>
      <c r="P51" s="168">
        <f>+M51/D51%</f>
        <v>25.079286626302565</v>
      </c>
      <c r="Q51" s="168">
        <f>+N51/E51%</f>
        <v>23.557351329278514</v>
      </c>
      <c r="R51" s="173">
        <f>F51</f>
        <v>4872</v>
      </c>
      <c r="S51" s="173">
        <f>G51</f>
        <v>6089</v>
      </c>
      <c r="T51" s="173">
        <f>H51</f>
        <v>10961</v>
      </c>
      <c r="U51" s="213"/>
      <c r="V51" s="213"/>
      <c r="W51" s="213"/>
      <c r="X51" s="214">
        <f>174+25+5+170+12+1</f>
        <v>387</v>
      </c>
      <c r="Y51" s="214">
        <f>221+19+4+264+32+2</f>
        <v>542</v>
      </c>
      <c r="Z51" s="173">
        <f t="shared" si="29"/>
        <v>929</v>
      </c>
      <c r="AA51" s="229"/>
      <c r="AB51" s="229"/>
      <c r="AC51" s="229"/>
      <c r="AD51" s="179">
        <f>X51/R51%</f>
        <v>7.9433497536945818</v>
      </c>
      <c r="AE51" s="179">
        <f>Y51/S51%</f>
        <v>8.9012974215798977</v>
      </c>
      <c r="AF51" s="179">
        <f>Z51/T51%</f>
        <v>8.4755040598485536</v>
      </c>
    </row>
    <row r="52" spans="1:32">
      <c r="A52" s="642" t="s">
        <v>3</v>
      </c>
      <c r="B52" s="642"/>
      <c r="C52" s="218">
        <f>SUM(C9:C51)</f>
        <v>10601867</v>
      </c>
      <c r="D52" s="218">
        <f t="shared" ref="D52:K52" si="34">SUM(D9:D51)</f>
        <v>8864399</v>
      </c>
      <c r="E52" s="218">
        <f t="shared" si="34"/>
        <v>19466266</v>
      </c>
      <c r="F52" s="218">
        <f t="shared" si="34"/>
        <v>7955772</v>
      </c>
      <c r="G52" s="218">
        <f t="shared" si="34"/>
        <v>6959340</v>
      </c>
      <c r="H52" s="218">
        <f t="shared" si="34"/>
        <v>14915112</v>
      </c>
      <c r="I52" s="218">
        <f t="shared" si="34"/>
        <v>265683</v>
      </c>
      <c r="J52" s="218">
        <f t="shared" si="34"/>
        <v>212579</v>
      </c>
      <c r="K52" s="218">
        <f t="shared" si="34"/>
        <v>478262</v>
      </c>
      <c r="L52" s="218">
        <f>SUM(L9:L51)</f>
        <v>8221455</v>
      </c>
      <c r="M52" s="218">
        <f>SUM(M9:M51)</f>
        <v>7171919</v>
      </c>
      <c r="N52" s="218">
        <f>SUM(N9:N51)</f>
        <v>15393374</v>
      </c>
      <c r="O52" s="219">
        <f t="shared" si="31"/>
        <v>77.547237670497097</v>
      </c>
      <c r="P52" s="219">
        <f t="shared" si="31"/>
        <v>80.906996627746551</v>
      </c>
      <c r="Q52" s="219">
        <f t="shared" si="31"/>
        <v>79.077178951525681</v>
      </c>
      <c r="R52" s="218">
        <f t="shared" ref="R52:Z52" si="35">SUM(R9:R51)</f>
        <v>8221455</v>
      </c>
      <c r="S52" s="218">
        <f t="shared" si="35"/>
        <v>7171919</v>
      </c>
      <c r="T52" s="218">
        <f t="shared" si="35"/>
        <v>15393374</v>
      </c>
      <c r="U52" s="218">
        <f t="shared" si="35"/>
        <v>953457</v>
      </c>
      <c r="V52" s="218">
        <f t="shared" si="35"/>
        <v>1115694</v>
      </c>
      <c r="W52" s="218">
        <f t="shared" si="35"/>
        <v>2069151</v>
      </c>
      <c r="X52" s="218">
        <f t="shared" si="35"/>
        <v>2014122</v>
      </c>
      <c r="Y52" s="218">
        <f t="shared" si="35"/>
        <v>1825260</v>
      </c>
      <c r="Z52" s="218">
        <f t="shared" si="35"/>
        <v>3839382</v>
      </c>
      <c r="AA52" s="220">
        <f>+U52/R52%</f>
        <v>11.597180790991375</v>
      </c>
      <c r="AB52" s="220">
        <f t="shared" ref="AB52:AC52" si="36">+V52/S52%</f>
        <v>15.556422207222361</v>
      </c>
      <c r="AC52" s="220">
        <f t="shared" si="36"/>
        <v>13.441828932370512</v>
      </c>
      <c r="AD52" s="220">
        <f>+X52/R52%</f>
        <v>24.49836434061854</v>
      </c>
      <c r="AE52" s="220">
        <f t="shared" ref="AE52:AF52" si="37">+Y52/S52%</f>
        <v>25.450092227756613</v>
      </c>
      <c r="AF52" s="220">
        <f t="shared" si="37"/>
        <v>24.941783393296365</v>
      </c>
    </row>
    <row r="53" spans="1:32">
      <c r="A53" s="197"/>
      <c r="B53" s="198"/>
      <c r="C53" s="201" t="s">
        <v>278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4"/>
      <c r="P53" s="264"/>
      <c r="Q53" s="264"/>
      <c r="R53" s="641" t="s">
        <v>278</v>
      </c>
      <c r="S53" s="641"/>
      <c r="T53" s="641"/>
      <c r="U53" s="641"/>
      <c r="V53" s="641"/>
      <c r="W53" s="641"/>
      <c r="X53" s="641"/>
      <c r="Y53" s="641"/>
      <c r="Z53" s="641"/>
      <c r="AA53" s="641"/>
      <c r="AB53" s="641"/>
      <c r="AC53" s="641"/>
      <c r="AD53" s="641"/>
      <c r="AE53" s="641"/>
      <c r="AF53" s="641"/>
    </row>
    <row r="54" spans="1:32">
      <c r="A54" s="199"/>
      <c r="B54" s="200"/>
      <c r="C54" s="201" t="s">
        <v>248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2"/>
      <c r="P54" s="202"/>
      <c r="Q54" s="202"/>
      <c r="R54" s="641" t="s">
        <v>248</v>
      </c>
      <c r="S54" s="641"/>
      <c r="T54" s="641"/>
      <c r="U54" s="641"/>
      <c r="V54" s="641"/>
      <c r="W54" s="641"/>
      <c r="X54" s="641"/>
      <c r="Y54" s="641"/>
      <c r="Z54" s="641"/>
      <c r="AA54" s="641"/>
      <c r="AB54" s="641"/>
      <c r="AC54" s="641"/>
      <c r="AD54" s="641"/>
      <c r="AE54" s="641"/>
      <c r="AF54" s="641"/>
    </row>
    <row r="55" spans="1:32">
      <c r="A55" s="203"/>
      <c r="B55" s="204"/>
      <c r="C55" s="201" t="s">
        <v>228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2"/>
      <c r="P55" s="202"/>
      <c r="Q55" s="202"/>
      <c r="R55" s="641" t="s">
        <v>228</v>
      </c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</row>
    <row r="56" spans="1:32">
      <c r="A56" s="203"/>
      <c r="B56" s="204"/>
      <c r="C56" s="369" t="s">
        <v>333</v>
      </c>
      <c r="D56" s="369"/>
      <c r="E56" s="369"/>
      <c r="F56" s="370" t="s">
        <v>334</v>
      </c>
      <c r="G56" s="369"/>
      <c r="H56" s="369"/>
      <c r="I56" s="369"/>
      <c r="R56" s="369" t="s">
        <v>333</v>
      </c>
      <c r="S56" s="369"/>
      <c r="T56" s="369"/>
      <c r="U56" s="370" t="s">
        <v>334</v>
      </c>
      <c r="V56" s="369"/>
      <c r="W56" s="369"/>
      <c r="X56" s="369"/>
    </row>
    <row r="57" spans="1:32">
      <c r="A57" s="205"/>
      <c r="B57" s="145"/>
    </row>
    <row r="58" spans="1:32">
      <c r="A58" s="205"/>
      <c r="B58" s="145"/>
    </row>
    <row r="59" spans="1:32">
      <c r="A59" s="205"/>
      <c r="B59" s="145"/>
    </row>
    <row r="60" spans="1:32">
      <c r="A60" s="205"/>
      <c r="B60" s="145"/>
    </row>
    <row r="61" spans="1:32">
      <c r="A61" s="205"/>
      <c r="B61" s="145"/>
    </row>
    <row r="62" spans="1:32">
      <c r="A62" s="205"/>
      <c r="B62" s="145"/>
    </row>
    <row r="63" spans="1:32">
      <c r="A63" s="205"/>
      <c r="B63" s="145"/>
    </row>
    <row r="64" spans="1:32">
      <c r="A64" s="205"/>
      <c r="B64" s="145"/>
    </row>
    <row r="65" spans="1:2">
      <c r="A65" s="205"/>
      <c r="B65" s="145"/>
    </row>
    <row r="66" spans="1:2">
      <c r="A66" s="205"/>
      <c r="B66" s="145"/>
    </row>
    <row r="67" spans="1:2">
      <c r="A67" s="205"/>
      <c r="B67" s="145"/>
    </row>
    <row r="68" spans="1:2">
      <c r="A68" s="205"/>
      <c r="B68" s="145"/>
    </row>
    <row r="69" spans="1:2">
      <c r="A69" s="205"/>
      <c r="B69" s="145"/>
    </row>
    <row r="70" spans="1:2">
      <c r="A70" s="205"/>
      <c r="B70" s="145"/>
    </row>
    <row r="71" spans="1:2">
      <c r="A71" s="205"/>
      <c r="B71" s="145"/>
    </row>
    <row r="72" spans="1:2">
      <c r="A72" s="205"/>
      <c r="B72" s="145"/>
    </row>
    <row r="73" spans="1:2">
      <c r="A73" s="205"/>
      <c r="B73" s="145"/>
    </row>
    <row r="74" spans="1:2">
      <c r="A74" s="205"/>
      <c r="B74" s="145"/>
    </row>
    <row r="75" spans="1:2">
      <c r="A75" s="205"/>
      <c r="B75" s="145"/>
    </row>
    <row r="76" spans="1:2">
      <c r="A76" s="205"/>
      <c r="B76" s="145"/>
    </row>
    <row r="77" spans="1:2">
      <c r="A77" s="205"/>
      <c r="B77" s="145"/>
    </row>
    <row r="78" spans="1:2">
      <c r="A78" s="205"/>
      <c r="B78" s="145"/>
    </row>
    <row r="79" spans="1:2">
      <c r="A79" s="205"/>
      <c r="B79" s="145"/>
    </row>
    <row r="80" spans="1:2">
      <c r="A80" s="205"/>
      <c r="B80" s="145"/>
    </row>
    <row r="81" spans="1:2">
      <c r="A81" s="205"/>
      <c r="B81" s="145"/>
    </row>
    <row r="82" spans="1:2">
      <c r="A82" s="205"/>
      <c r="B82" s="145"/>
    </row>
    <row r="83" spans="1:2">
      <c r="A83" s="205"/>
      <c r="B83" s="145"/>
    </row>
    <row r="84" spans="1:2">
      <c r="A84" s="205"/>
      <c r="B84" s="145"/>
    </row>
    <row r="85" spans="1:2">
      <c r="A85" s="205"/>
      <c r="B85" s="145"/>
    </row>
    <row r="86" spans="1:2">
      <c r="A86" s="205"/>
      <c r="B86" s="145"/>
    </row>
    <row r="87" spans="1:2">
      <c r="A87" s="205"/>
      <c r="B87" s="145"/>
    </row>
    <row r="88" spans="1:2">
      <c r="A88" s="205"/>
      <c r="B88" s="145"/>
    </row>
    <row r="89" spans="1:2">
      <c r="A89" s="205"/>
      <c r="B89" s="145"/>
    </row>
    <row r="90" spans="1:2">
      <c r="A90" s="205"/>
      <c r="B90" s="145"/>
    </row>
    <row r="91" spans="1:2">
      <c r="A91" s="205"/>
      <c r="B91" s="145"/>
    </row>
    <row r="92" spans="1:2">
      <c r="A92" s="205"/>
      <c r="B92" s="145"/>
    </row>
    <row r="93" spans="1:2">
      <c r="A93" s="205"/>
      <c r="B93" s="145"/>
    </row>
  </sheetData>
  <mergeCells count="43">
    <mergeCell ref="A52:B52"/>
    <mergeCell ref="A45:B45"/>
    <mergeCell ref="C45:D45"/>
    <mergeCell ref="E45:F45"/>
    <mergeCell ref="G45:H45"/>
    <mergeCell ref="I45:J45"/>
    <mergeCell ref="K45:L45"/>
    <mergeCell ref="M45:N45"/>
    <mergeCell ref="R55:AF55"/>
    <mergeCell ref="R53:AF53"/>
    <mergeCell ref="R54:AF54"/>
    <mergeCell ref="AA45:AB45"/>
    <mergeCell ref="AC45:AD45"/>
    <mergeCell ref="AE45:AF45"/>
    <mergeCell ref="O45:P45"/>
    <mergeCell ref="Q45:R45"/>
    <mergeCell ref="S45:T45"/>
    <mergeCell ref="U45:V45"/>
    <mergeCell ref="W45:X45"/>
    <mergeCell ref="Y45:Z45"/>
    <mergeCell ref="A11:B11"/>
    <mergeCell ref="C11:Q11"/>
    <mergeCell ref="R8:AF8"/>
    <mergeCell ref="A8:B8"/>
    <mergeCell ref="C8:Q8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hyperlinks>
    <hyperlink ref="F56" r:id="rId1"/>
    <hyperlink ref="U56" r:id="rId2"/>
  </hyperlinks>
  <pageMargins left="0.23622047244094491" right="0.23622047244094491" top="0.74803149606299213" bottom="0.74803149606299213" header="0.31496062992125984" footer="0.31496062992125984"/>
  <pageSetup paperSize="9" scale="65" firstPageNumber="73" orientation="landscape" useFirstPageNumber="1" r:id="rId3"/>
  <headerFooter>
    <oddFooter>Page &amp;P</oddFooter>
  </headerFooter>
  <rowBreaks count="1" manualBreakCount="1">
    <brk id="34" max="16383" man="1"/>
  </rowBreaks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F94"/>
  <sheetViews>
    <sheetView view="pageBreakPreview" zoomScale="60" workbookViewId="0">
      <selection activeCell="R3" sqref="R3:T5"/>
    </sheetView>
  </sheetViews>
  <sheetFormatPr defaultRowHeight="15"/>
  <cols>
    <col min="1" max="1" width="9.28515625" bestFit="1" customWidth="1"/>
    <col min="2" max="2" width="36.140625" customWidth="1"/>
    <col min="3" max="3" width="12" customWidth="1"/>
    <col min="4" max="4" width="10.42578125" bestFit="1" customWidth="1"/>
    <col min="5" max="5" width="11.7109375" bestFit="1" customWidth="1"/>
    <col min="6" max="7" width="9.28515625" bestFit="1" customWidth="1"/>
    <col min="8" max="8" width="9.85546875" bestFit="1" customWidth="1"/>
    <col min="9" max="11" width="9.28515625" bestFit="1" customWidth="1"/>
    <col min="12" max="13" width="10.42578125" bestFit="1" customWidth="1"/>
    <col min="14" max="14" width="11.7109375" bestFit="1" customWidth="1"/>
    <col min="15" max="17" width="9.28515625" bestFit="1" customWidth="1"/>
  </cols>
  <sheetData>
    <row r="1" spans="1:32" ht="18" customHeight="1">
      <c r="A1" s="145"/>
      <c r="B1" s="164"/>
      <c r="C1" s="596" t="s">
        <v>290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158" t="s">
        <v>290</v>
      </c>
      <c r="S1" s="158"/>
      <c r="T1" s="158"/>
      <c r="U1" s="145"/>
      <c r="V1" s="145"/>
      <c r="W1" s="34"/>
      <c r="X1" s="145"/>
      <c r="Y1" s="145"/>
      <c r="Z1" s="34"/>
      <c r="AA1" s="145"/>
      <c r="AB1" s="145"/>
      <c r="AC1" s="145"/>
      <c r="AD1" s="145"/>
      <c r="AE1" s="145"/>
      <c r="AF1" s="145"/>
    </row>
    <row r="2" spans="1:32" ht="15.75" customHeight="1">
      <c r="A2" s="165"/>
      <c r="B2" s="166"/>
      <c r="C2" s="598" t="s">
        <v>340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341</v>
      </c>
      <c r="S2" s="147"/>
      <c r="T2" s="147"/>
      <c r="U2" s="147"/>
      <c r="V2" s="147"/>
      <c r="W2" s="269"/>
      <c r="X2" s="147"/>
      <c r="Y2" s="147"/>
      <c r="Z2" s="269"/>
      <c r="AA2" s="147"/>
      <c r="AB2" s="147"/>
      <c r="AC2" s="147"/>
      <c r="AD2" s="147"/>
      <c r="AE2" s="147"/>
      <c r="AF2" s="147"/>
    </row>
    <row r="3" spans="1:32" ht="15" customHeight="1">
      <c r="A3" s="604" t="s">
        <v>192</v>
      </c>
      <c r="B3" s="652" t="s">
        <v>260</v>
      </c>
      <c r="C3" s="652" t="s">
        <v>188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01" t="s">
        <v>189</v>
      </c>
      <c r="P3" s="601"/>
      <c r="Q3" s="601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195</v>
      </c>
      <c r="AB3" s="564"/>
      <c r="AC3" s="564"/>
      <c r="AD3" s="564"/>
      <c r="AE3" s="564"/>
      <c r="AF3" s="565"/>
    </row>
    <row r="4" spans="1:32">
      <c r="A4" s="604"/>
      <c r="B4" s="652"/>
      <c r="C4" s="652" t="s">
        <v>5</v>
      </c>
      <c r="D4" s="652"/>
      <c r="E4" s="652"/>
      <c r="F4" s="652" t="s">
        <v>6</v>
      </c>
      <c r="G4" s="652"/>
      <c r="H4" s="652"/>
      <c r="I4" s="652"/>
      <c r="J4" s="652"/>
      <c r="K4" s="652"/>
      <c r="L4" s="652"/>
      <c r="M4" s="652"/>
      <c r="N4" s="652"/>
      <c r="O4" s="601"/>
      <c r="P4" s="601"/>
      <c r="Q4" s="601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04"/>
      <c r="B5" s="652"/>
      <c r="C5" s="652"/>
      <c r="D5" s="652"/>
      <c r="E5" s="652"/>
      <c r="F5" s="652" t="s">
        <v>51</v>
      </c>
      <c r="G5" s="652"/>
      <c r="H5" s="652"/>
      <c r="I5" s="652" t="s">
        <v>190</v>
      </c>
      <c r="J5" s="652"/>
      <c r="K5" s="652"/>
      <c r="L5" s="652" t="s">
        <v>262</v>
      </c>
      <c r="M5" s="652"/>
      <c r="N5" s="652"/>
      <c r="O5" s="601"/>
      <c r="P5" s="601"/>
      <c r="Q5" s="601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04"/>
      <c r="B6" s="652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160" t="s">
        <v>43</v>
      </c>
      <c r="P6" s="160" t="s">
        <v>44</v>
      </c>
      <c r="Q6" s="160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270" t="s">
        <v>3</v>
      </c>
      <c r="X6" s="159" t="s">
        <v>43</v>
      </c>
      <c r="Y6" s="159" t="s">
        <v>44</v>
      </c>
      <c r="Z6" s="270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271">
        <v>8</v>
      </c>
      <c r="X7" s="78">
        <v>9</v>
      </c>
      <c r="Y7" s="78">
        <v>10</v>
      </c>
      <c r="Z7" s="271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53" t="s">
        <v>216</v>
      </c>
      <c r="B8" s="653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36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8"/>
    </row>
    <row r="9" spans="1:32" ht="28.5">
      <c r="A9" s="167">
        <v>1</v>
      </c>
      <c r="B9" s="27" t="s">
        <v>143</v>
      </c>
      <c r="C9" s="275">
        <v>746079</v>
      </c>
      <c r="D9" s="275">
        <v>508924</v>
      </c>
      <c r="E9" s="275">
        <v>1255003</v>
      </c>
      <c r="F9" s="275">
        <v>735948</v>
      </c>
      <c r="G9" s="275">
        <v>503506</v>
      </c>
      <c r="H9" s="275">
        <v>1239454</v>
      </c>
      <c r="I9" s="275">
        <v>1202</v>
      </c>
      <c r="J9" s="275">
        <v>622</v>
      </c>
      <c r="K9" s="275">
        <v>1824</v>
      </c>
      <c r="L9" s="272">
        <v>737150</v>
      </c>
      <c r="M9" s="272">
        <v>504128</v>
      </c>
      <c r="N9" s="272">
        <v>1241278</v>
      </c>
      <c r="O9" s="274">
        <v>98.803209847750708</v>
      </c>
      <c r="P9" s="274">
        <v>99.05761960528487</v>
      </c>
      <c r="Q9" s="274">
        <v>98.906377116230004</v>
      </c>
      <c r="R9" s="277">
        <f>L9</f>
        <v>737150</v>
      </c>
      <c r="S9" s="277">
        <f>M9</f>
        <v>504128</v>
      </c>
      <c r="T9" s="277">
        <f>N9</f>
        <v>1241278</v>
      </c>
      <c r="U9" s="278">
        <v>0</v>
      </c>
      <c r="V9" s="278">
        <v>0</v>
      </c>
      <c r="W9" s="278">
        <v>0</v>
      </c>
      <c r="X9" s="278"/>
      <c r="Y9" s="278"/>
      <c r="Z9" s="278"/>
      <c r="AA9" s="279"/>
      <c r="AB9" s="279"/>
      <c r="AC9" s="279"/>
      <c r="AD9" s="279"/>
      <c r="AE9" s="279"/>
      <c r="AF9" s="279"/>
    </row>
    <row r="10" spans="1:32" ht="28.5">
      <c r="A10" s="280">
        <v>2</v>
      </c>
      <c r="B10" s="27" t="s">
        <v>231</v>
      </c>
      <c r="C10" s="275">
        <v>78457</v>
      </c>
      <c r="D10" s="275">
        <v>62453</v>
      </c>
      <c r="E10" s="275">
        <v>140910</v>
      </c>
      <c r="F10" s="275">
        <v>76681</v>
      </c>
      <c r="G10" s="275">
        <v>61701</v>
      </c>
      <c r="H10" s="275">
        <v>138382</v>
      </c>
      <c r="I10" s="278">
        <v>0</v>
      </c>
      <c r="J10" s="278">
        <v>0</v>
      </c>
      <c r="K10" s="278">
        <v>0</v>
      </c>
      <c r="L10" s="272">
        <v>76681</v>
      </c>
      <c r="M10" s="272">
        <v>61701</v>
      </c>
      <c r="N10" s="272">
        <v>138382</v>
      </c>
      <c r="O10" s="274">
        <v>97.736339651019037</v>
      </c>
      <c r="P10" s="274">
        <v>98.795894512673527</v>
      </c>
      <c r="Q10" s="274">
        <v>98.205947058406068</v>
      </c>
      <c r="R10" s="277">
        <v>76681</v>
      </c>
      <c r="S10" s="277">
        <v>61701</v>
      </c>
      <c r="T10" s="277">
        <v>138382</v>
      </c>
      <c r="U10" s="277">
        <v>39100</v>
      </c>
      <c r="V10" s="277">
        <v>35863</v>
      </c>
      <c r="W10" s="273">
        <v>74963</v>
      </c>
      <c r="X10" s="277">
        <v>24662</v>
      </c>
      <c r="Y10" s="277">
        <v>19039</v>
      </c>
      <c r="Z10" s="273">
        <v>43701</v>
      </c>
      <c r="AA10" s="281">
        <v>50.990466999647893</v>
      </c>
      <c r="AB10" s="281">
        <v>58.123855367011878</v>
      </c>
      <c r="AC10" s="281">
        <v>54.171062710468128</v>
      </c>
      <c r="AD10" s="281">
        <v>32.161813226222925</v>
      </c>
      <c r="AE10" s="281">
        <v>30.856874280805823</v>
      </c>
      <c r="AF10" s="281">
        <v>31.579974274110796</v>
      </c>
    </row>
    <row r="11" spans="1:32">
      <c r="A11" s="653" t="s">
        <v>217</v>
      </c>
      <c r="B11" s="653"/>
      <c r="C11" s="654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6"/>
      <c r="R11" s="282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4"/>
    </row>
    <row r="12" spans="1:32" ht="28.5">
      <c r="A12" s="167">
        <v>3</v>
      </c>
      <c r="B12" s="27" t="s">
        <v>263</v>
      </c>
      <c r="C12" s="275">
        <v>635913</v>
      </c>
      <c r="D12" s="275">
        <v>556163</v>
      </c>
      <c r="E12" s="275">
        <v>1192076</v>
      </c>
      <c r="F12" s="275">
        <v>511895</v>
      </c>
      <c r="G12" s="275">
        <v>477583</v>
      </c>
      <c r="H12" s="275">
        <v>989478</v>
      </c>
      <c r="I12" s="278"/>
      <c r="J12" s="278"/>
      <c r="K12" s="278"/>
      <c r="L12" s="272">
        <v>511895</v>
      </c>
      <c r="M12" s="272">
        <v>477583</v>
      </c>
      <c r="N12" s="275">
        <v>989478</v>
      </c>
      <c r="O12" s="274">
        <v>80.497646690663657</v>
      </c>
      <c r="P12" s="274">
        <v>85.871048595465709</v>
      </c>
      <c r="Q12" s="274">
        <v>83.004607088809777</v>
      </c>
      <c r="R12" s="277">
        <v>511895</v>
      </c>
      <c r="S12" s="277">
        <v>477583</v>
      </c>
      <c r="T12" s="277">
        <v>989478</v>
      </c>
      <c r="U12" s="275">
        <v>218580</v>
      </c>
      <c r="V12" s="275">
        <v>222405</v>
      </c>
      <c r="W12" s="273">
        <v>440985</v>
      </c>
      <c r="X12" s="277">
        <v>324524</v>
      </c>
      <c r="Y12" s="277">
        <v>292119</v>
      </c>
      <c r="Z12" s="273">
        <v>616643</v>
      </c>
      <c r="AA12" s="281">
        <v>42.700163119389721</v>
      </c>
      <c r="AB12" s="281">
        <v>46.56886865738521</v>
      </c>
      <c r="AC12" s="281">
        <v>44.567438588831685</v>
      </c>
      <c r="AD12" s="281">
        <v>63.396595004834978</v>
      </c>
      <c r="AE12" s="281">
        <v>61.16612190969947</v>
      </c>
      <c r="AF12" s="281">
        <v>62.320031370075938</v>
      </c>
    </row>
    <row r="13" spans="1:32" ht="28.5">
      <c r="A13" s="167">
        <v>4</v>
      </c>
      <c r="B13" s="285" t="s">
        <v>291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2"/>
      <c r="M13" s="272"/>
      <c r="N13" s="272"/>
      <c r="O13" s="274"/>
      <c r="P13" s="274"/>
      <c r="Q13" s="274"/>
      <c r="R13" s="277"/>
      <c r="S13" s="277"/>
      <c r="T13" s="277"/>
      <c r="U13" s="278"/>
      <c r="V13" s="278"/>
      <c r="W13" s="278"/>
      <c r="X13" s="278"/>
      <c r="Y13" s="278"/>
      <c r="Z13" s="278"/>
      <c r="AA13" s="279"/>
      <c r="AB13" s="279"/>
      <c r="AC13" s="279"/>
      <c r="AD13" s="279"/>
      <c r="AE13" s="279"/>
      <c r="AF13" s="279"/>
    </row>
    <row r="14" spans="1:32">
      <c r="A14" s="167">
        <v>5</v>
      </c>
      <c r="B14" s="27" t="s">
        <v>264</v>
      </c>
      <c r="C14" s="275">
        <v>187142</v>
      </c>
      <c r="D14" s="275">
        <v>197566</v>
      </c>
      <c r="E14" s="275">
        <v>384708</v>
      </c>
      <c r="F14" s="275">
        <v>135602</v>
      </c>
      <c r="G14" s="275">
        <v>133574</v>
      </c>
      <c r="H14" s="275">
        <v>269176</v>
      </c>
      <c r="I14" s="278">
        <v>0</v>
      </c>
      <c r="J14" s="278">
        <v>0</v>
      </c>
      <c r="K14" s="278">
        <v>0</v>
      </c>
      <c r="L14" s="272">
        <v>135602</v>
      </c>
      <c r="M14" s="272">
        <v>133574</v>
      </c>
      <c r="N14" s="272">
        <v>269176</v>
      </c>
      <c r="O14" s="274">
        <v>72.459415844652725</v>
      </c>
      <c r="P14" s="274">
        <v>67.609811404796375</v>
      </c>
      <c r="Q14" s="274">
        <v>69.968911486114152</v>
      </c>
      <c r="R14" s="275">
        <v>135602</v>
      </c>
      <c r="S14" s="275">
        <v>133574</v>
      </c>
      <c r="T14" s="275">
        <v>269176</v>
      </c>
      <c r="U14" s="275">
        <v>3462</v>
      </c>
      <c r="V14" s="275">
        <v>2991</v>
      </c>
      <c r="W14" s="275">
        <v>6453</v>
      </c>
      <c r="X14" s="275">
        <v>15764</v>
      </c>
      <c r="Y14" s="275">
        <v>12902</v>
      </c>
      <c r="Z14" s="275">
        <v>28666</v>
      </c>
      <c r="AA14" s="286">
        <v>2.5530596893851123</v>
      </c>
      <c r="AB14" s="286">
        <v>2.2392082291463908</v>
      </c>
      <c r="AC14" s="286">
        <v>2.3973162540493949</v>
      </c>
      <c r="AD14" s="286">
        <v>11.625197268476866</v>
      </c>
      <c r="AE14" s="286">
        <v>9.6590653869765077</v>
      </c>
      <c r="AF14" s="286">
        <v>10.649537848842392</v>
      </c>
    </row>
    <row r="15" spans="1:32">
      <c r="A15" s="167">
        <v>6</v>
      </c>
      <c r="B15" s="27" t="s">
        <v>265</v>
      </c>
      <c r="C15" s="275">
        <v>5860</v>
      </c>
      <c r="D15" s="275">
        <v>3972</v>
      </c>
      <c r="E15" s="275">
        <v>9832</v>
      </c>
      <c r="F15" s="275">
        <v>2633</v>
      </c>
      <c r="G15" s="275">
        <v>1991</v>
      </c>
      <c r="H15" s="275">
        <v>4624</v>
      </c>
      <c r="I15" s="278"/>
      <c r="J15" s="278"/>
      <c r="K15" s="278"/>
      <c r="L15" s="272">
        <v>2633</v>
      </c>
      <c r="M15" s="272">
        <v>1991</v>
      </c>
      <c r="N15" s="275">
        <v>4624</v>
      </c>
      <c r="O15" s="274">
        <v>44.931740614334473</v>
      </c>
      <c r="P15" s="274">
        <v>50.125881168177244</v>
      </c>
      <c r="Q15" s="274">
        <v>47.030105777054516</v>
      </c>
      <c r="R15" s="277">
        <v>2633</v>
      </c>
      <c r="S15" s="277">
        <v>1991</v>
      </c>
      <c r="T15" s="277">
        <v>4624</v>
      </c>
      <c r="U15" s="278"/>
      <c r="V15" s="278"/>
      <c r="W15" s="278">
        <v>0</v>
      </c>
      <c r="X15" s="278"/>
      <c r="Y15" s="278"/>
      <c r="Z15" s="278">
        <v>0</v>
      </c>
      <c r="AA15" s="279"/>
      <c r="AB15" s="279"/>
      <c r="AC15" s="279"/>
      <c r="AD15" s="279"/>
      <c r="AE15" s="279"/>
      <c r="AF15" s="279"/>
    </row>
    <row r="16" spans="1:32">
      <c r="A16" s="167">
        <v>7</v>
      </c>
      <c r="B16" s="27" t="s">
        <v>266</v>
      </c>
      <c r="C16" s="275">
        <v>19</v>
      </c>
      <c r="D16" s="275">
        <v>165</v>
      </c>
      <c r="E16" s="275">
        <v>184</v>
      </c>
      <c r="F16" s="275">
        <v>19</v>
      </c>
      <c r="G16" s="275">
        <v>160</v>
      </c>
      <c r="H16" s="275">
        <v>179</v>
      </c>
      <c r="I16" s="275">
        <v>0</v>
      </c>
      <c r="J16" s="275">
        <v>3</v>
      </c>
      <c r="K16" s="275">
        <v>3</v>
      </c>
      <c r="L16" s="272">
        <v>19</v>
      </c>
      <c r="M16" s="272">
        <v>163</v>
      </c>
      <c r="N16" s="275">
        <v>182</v>
      </c>
      <c r="O16" s="274">
        <v>100</v>
      </c>
      <c r="P16" s="274">
        <v>98.787878787878796</v>
      </c>
      <c r="Q16" s="274">
        <v>98.91304347826086</v>
      </c>
      <c r="R16" s="277">
        <v>19</v>
      </c>
      <c r="S16" s="277">
        <v>163</v>
      </c>
      <c r="T16" s="277">
        <v>182</v>
      </c>
      <c r="U16" s="287">
        <v>14</v>
      </c>
      <c r="V16" s="287">
        <v>57</v>
      </c>
      <c r="W16" s="273">
        <v>71</v>
      </c>
      <c r="X16" s="277">
        <v>2</v>
      </c>
      <c r="Y16" s="277">
        <v>80</v>
      </c>
      <c r="Z16" s="273">
        <v>82</v>
      </c>
      <c r="AA16" s="281">
        <v>73.684210526315795</v>
      </c>
      <c r="AB16" s="281">
        <v>34.969325153374236</v>
      </c>
      <c r="AC16" s="281">
        <v>39.010989010989007</v>
      </c>
      <c r="AD16" s="281">
        <v>10.526315789473685</v>
      </c>
      <c r="AE16" s="281">
        <v>49.079754601226995</v>
      </c>
      <c r="AF16" s="281">
        <v>45.054945054945051</v>
      </c>
    </row>
    <row r="17" spans="1:32">
      <c r="A17" s="167">
        <v>8</v>
      </c>
      <c r="B17" s="27" t="s">
        <v>138</v>
      </c>
      <c r="C17" s="275">
        <v>669881</v>
      </c>
      <c r="D17" s="275">
        <v>536811</v>
      </c>
      <c r="E17" s="275">
        <v>1206692</v>
      </c>
      <c r="F17" s="275">
        <v>519063</v>
      </c>
      <c r="G17" s="275">
        <v>376146</v>
      </c>
      <c r="H17" s="275">
        <v>895209</v>
      </c>
      <c r="I17" s="275">
        <v>19025</v>
      </c>
      <c r="J17" s="275">
        <v>26189</v>
      </c>
      <c r="K17" s="275">
        <v>45214</v>
      </c>
      <c r="L17" s="272">
        <v>538088</v>
      </c>
      <c r="M17" s="272">
        <v>402335</v>
      </c>
      <c r="N17" s="275">
        <v>940423</v>
      </c>
      <c r="O17" s="274">
        <v>80.325908631533053</v>
      </c>
      <c r="P17" s="274">
        <v>74.949097540847703</v>
      </c>
      <c r="Q17" s="274">
        <v>77.933971551978459</v>
      </c>
      <c r="R17" s="277">
        <v>538088</v>
      </c>
      <c r="S17" s="277">
        <v>402335</v>
      </c>
      <c r="T17" s="277">
        <v>940423</v>
      </c>
      <c r="U17" s="287">
        <v>11740</v>
      </c>
      <c r="V17" s="287">
        <v>5427</v>
      </c>
      <c r="W17" s="273">
        <v>17167</v>
      </c>
      <c r="X17" s="277">
        <v>139373</v>
      </c>
      <c r="Y17" s="277">
        <v>77829</v>
      </c>
      <c r="Z17" s="273">
        <v>217202</v>
      </c>
      <c r="AA17" s="281">
        <v>2.1817992596006599</v>
      </c>
      <c r="AB17" s="281">
        <v>1.3488759367194005</v>
      </c>
      <c r="AC17" s="281">
        <v>1.8254551409312618</v>
      </c>
      <c r="AD17" s="281">
        <v>25.901525401049643</v>
      </c>
      <c r="AE17" s="281">
        <v>19.344327488287124</v>
      </c>
      <c r="AF17" s="281">
        <v>23.096202453576744</v>
      </c>
    </row>
    <row r="18" spans="1:32">
      <c r="A18" s="167">
        <v>9</v>
      </c>
      <c r="B18" s="27" t="s">
        <v>267</v>
      </c>
      <c r="C18" s="275">
        <v>18565</v>
      </c>
      <c r="D18" s="275">
        <v>32168</v>
      </c>
      <c r="E18" s="275">
        <v>50733</v>
      </c>
      <c r="F18" s="275">
        <v>16592</v>
      </c>
      <c r="G18" s="275">
        <v>29490</v>
      </c>
      <c r="H18" s="275">
        <v>46082</v>
      </c>
      <c r="I18" s="278">
        <v>0</v>
      </c>
      <c r="J18" s="278">
        <v>0</v>
      </c>
      <c r="K18" s="278">
        <v>0</v>
      </c>
      <c r="L18" s="272">
        <v>16592</v>
      </c>
      <c r="M18" s="272">
        <v>29490</v>
      </c>
      <c r="N18" s="275">
        <v>46082</v>
      </c>
      <c r="O18" s="274">
        <v>89.372475087530304</v>
      </c>
      <c r="P18" s="274">
        <v>91.674956478487928</v>
      </c>
      <c r="Q18" s="274">
        <v>90.832397059113404</v>
      </c>
      <c r="R18" s="277">
        <v>16592</v>
      </c>
      <c r="S18" s="277">
        <v>29490</v>
      </c>
      <c r="T18" s="277">
        <v>46082</v>
      </c>
      <c r="U18" s="278"/>
      <c r="V18" s="278"/>
      <c r="W18" s="278">
        <v>0</v>
      </c>
      <c r="X18" s="277">
        <v>11136</v>
      </c>
      <c r="Y18" s="277">
        <v>18063</v>
      </c>
      <c r="Z18" s="273">
        <v>29199</v>
      </c>
      <c r="AA18" s="279">
        <v>0</v>
      </c>
      <c r="AB18" s="279">
        <v>0</v>
      </c>
      <c r="AC18" s="279">
        <v>0</v>
      </c>
      <c r="AD18" s="281">
        <v>67.11668273866924</v>
      </c>
      <c r="AE18" s="281">
        <v>61.251271617497459</v>
      </c>
      <c r="AF18" s="281">
        <v>63.363135280586782</v>
      </c>
    </row>
    <row r="19" spans="1:32" ht="28.5">
      <c r="A19" s="167">
        <v>10</v>
      </c>
      <c r="B19" s="27" t="s">
        <v>145</v>
      </c>
      <c r="C19" s="275">
        <v>225767</v>
      </c>
      <c r="D19" s="275">
        <v>225878</v>
      </c>
      <c r="E19" s="275">
        <v>451645</v>
      </c>
      <c r="F19" s="275">
        <v>122297</v>
      </c>
      <c r="G19" s="275">
        <v>125918</v>
      </c>
      <c r="H19" s="275">
        <v>248215</v>
      </c>
      <c r="I19" s="275">
        <v>1243</v>
      </c>
      <c r="J19" s="275">
        <v>1181</v>
      </c>
      <c r="K19" s="275">
        <v>2424</v>
      </c>
      <c r="L19" s="275">
        <v>123540</v>
      </c>
      <c r="M19" s="275">
        <v>127099</v>
      </c>
      <c r="N19" s="275">
        <v>250639</v>
      </c>
      <c r="O19" s="274">
        <v>54.720131817316087</v>
      </c>
      <c r="P19" s="274">
        <v>56.268870806364504</v>
      </c>
      <c r="Q19" s="274">
        <v>55.494691627273632</v>
      </c>
      <c r="R19" s="277">
        <v>123540</v>
      </c>
      <c r="S19" s="277">
        <v>127099</v>
      </c>
      <c r="T19" s="277">
        <v>250639</v>
      </c>
      <c r="U19" s="287">
        <v>5388</v>
      </c>
      <c r="V19" s="287">
        <v>4709</v>
      </c>
      <c r="W19" s="273">
        <v>10097</v>
      </c>
      <c r="X19" s="277">
        <v>11573</v>
      </c>
      <c r="Y19" s="277">
        <v>11460</v>
      </c>
      <c r="Z19" s="273">
        <v>23033</v>
      </c>
      <c r="AA19" s="281">
        <v>4.3613404565322966</v>
      </c>
      <c r="AB19" s="281">
        <v>3.7049858771508823</v>
      </c>
      <c r="AC19" s="281">
        <v>4.0285031459589291</v>
      </c>
      <c r="AD19" s="281">
        <v>9.3678160919540225</v>
      </c>
      <c r="AE19" s="281">
        <v>9.0165933642278855</v>
      </c>
      <c r="AF19" s="281">
        <v>9.189711098432408</v>
      </c>
    </row>
    <row r="20" spans="1:32">
      <c r="A20" s="167">
        <v>11</v>
      </c>
      <c r="B20" s="27" t="s">
        <v>268</v>
      </c>
      <c r="C20" s="275">
        <v>120</v>
      </c>
      <c r="D20" s="275">
        <v>81</v>
      </c>
      <c r="E20" s="275">
        <v>201</v>
      </c>
      <c r="F20" s="275">
        <v>44</v>
      </c>
      <c r="G20" s="275">
        <v>37</v>
      </c>
      <c r="H20" s="275">
        <v>81</v>
      </c>
      <c r="I20" s="275">
        <v>12</v>
      </c>
      <c r="J20" s="275">
        <v>18</v>
      </c>
      <c r="K20" s="275">
        <v>30</v>
      </c>
      <c r="L20" s="275">
        <v>56</v>
      </c>
      <c r="M20" s="275">
        <v>55</v>
      </c>
      <c r="N20" s="275">
        <v>111</v>
      </c>
      <c r="O20" s="274">
        <v>46.666666666666664</v>
      </c>
      <c r="P20" s="274">
        <v>67.901234567901241</v>
      </c>
      <c r="Q20" s="274">
        <v>55.223880597014926</v>
      </c>
      <c r="R20" s="277">
        <v>56</v>
      </c>
      <c r="S20" s="277">
        <v>55</v>
      </c>
      <c r="T20" s="277">
        <v>111</v>
      </c>
      <c r="U20" s="278">
        <v>0</v>
      </c>
      <c r="V20" s="278">
        <v>0</v>
      </c>
      <c r="W20" s="278">
        <v>0</v>
      </c>
      <c r="X20" s="277">
        <v>5</v>
      </c>
      <c r="Y20" s="277">
        <v>2</v>
      </c>
      <c r="Z20" s="273">
        <v>7</v>
      </c>
      <c r="AA20" s="279">
        <v>0</v>
      </c>
      <c r="AB20" s="279">
        <v>0</v>
      </c>
      <c r="AC20" s="279">
        <v>0</v>
      </c>
      <c r="AD20" s="281">
        <v>1</v>
      </c>
      <c r="AE20" s="281">
        <v>3.6363636363636362</v>
      </c>
      <c r="AF20" s="281">
        <v>6.3063063063063058</v>
      </c>
    </row>
    <row r="21" spans="1:32">
      <c r="A21" s="167">
        <v>12</v>
      </c>
      <c r="B21" s="27" t="s">
        <v>144</v>
      </c>
      <c r="C21" s="290">
        <v>320</v>
      </c>
      <c r="D21" s="290">
        <v>208</v>
      </c>
      <c r="E21" s="290">
        <v>528</v>
      </c>
      <c r="F21" s="290">
        <v>288</v>
      </c>
      <c r="G21" s="290">
        <v>190</v>
      </c>
      <c r="H21" s="290">
        <v>478</v>
      </c>
      <c r="I21" s="290">
        <v>21</v>
      </c>
      <c r="J21" s="290">
        <v>13</v>
      </c>
      <c r="K21" s="290">
        <v>34</v>
      </c>
      <c r="L21" s="289">
        <v>309</v>
      </c>
      <c r="M21" s="289">
        <v>203</v>
      </c>
      <c r="N21" s="290">
        <v>512</v>
      </c>
      <c r="O21" s="274">
        <v>96.5625</v>
      </c>
      <c r="P21" s="274">
        <v>97.59615384615384</v>
      </c>
      <c r="Q21" s="274">
        <v>96.969696969696969</v>
      </c>
      <c r="R21" s="291">
        <v>309</v>
      </c>
      <c r="S21" s="291">
        <v>203</v>
      </c>
      <c r="T21" s="291">
        <v>512</v>
      </c>
      <c r="U21" s="288"/>
      <c r="V21" s="288"/>
      <c r="W21" s="278">
        <v>0</v>
      </c>
      <c r="X21" s="291">
        <v>56</v>
      </c>
      <c r="Y21" s="291">
        <v>27</v>
      </c>
      <c r="Z21" s="273">
        <v>83</v>
      </c>
      <c r="AA21" s="292">
        <v>0</v>
      </c>
      <c r="AB21" s="292">
        <v>0</v>
      </c>
      <c r="AC21" s="292">
        <v>0</v>
      </c>
      <c r="AD21" s="293">
        <v>18.122977346278319</v>
      </c>
      <c r="AE21" s="293">
        <v>13.300492610837439</v>
      </c>
      <c r="AF21" s="293">
        <v>16.2109375</v>
      </c>
    </row>
    <row r="22" spans="1:32" ht="28.5">
      <c r="A22" s="167">
        <v>13</v>
      </c>
      <c r="B22" s="27" t="s">
        <v>148</v>
      </c>
      <c r="C22" s="275">
        <v>10352</v>
      </c>
      <c r="D22" s="275">
        <v>10177</v>
      </c>
      <c r="E22" s="275">
        <v>20529</v>
      </c>
      <c r="F22" s="275">
        <v>8396</v>
      </c>
      <c r="G22" s="275">
        <v>8352</v>
      </c>
      <c r="H22" s="275">
        <v>16748</v>
      </c>
      <c r="I22" s="275">
        <v>396</v>
      </c>
      <c r="J22" s="275">
        <v>359</v>
      </c>
      <c r="K22" s="275">
        <v>755</v>
      </c>
      <c r="L22" s="272">
        <v>8792</v>
      </c>
      <c r="M22" s="272">
        <v>8711</v>
      </c>
      <c r="N22" s="275">
        <v>17503</v>
      </c>
      <c r="O22" s="274">
        <v>84.930448222565687</v>
      </c>
      <c r="P22" s="274">
        <v>85.594969047852999</v>
      </c>
      <c r="Q22" s="274">
        <v>85.259876272589992</v>
      </c>
      <c r="R22" s="275">
        <v>8792</v>
      </c>
      <c r="S22" s="275">
        <v>8711</v>
      </c>
      <c r="T22" s="275">
        <v>17503</v>
      </c>
      <c r="U22" s="275">
        <v>1251</v>
      </c>
      <c r="V22" s="275">
        <v>1880</v>
      </c>
      <c r="W22" s="273">
        <v>3131</v>
      </c>
      <c r="X22" s="275">
        <v>2155</v>
      </c>
      <c r="Y22" s="275">
        <v>2482</v>
      </c>
      <c r="Z22" s="273">
        <v>4637</v>
      </c>
      <c r="AA22" s="286">
        <v>14.22884440400364</v>
      </c>
      <c r="AB22" s="286">
        <v>21.581907932499139</v>
      </c>
      <c r="AC22" s="286">
        <v>17.888361995086555</v>
      </c>
      <c r="AD22" s="286">
        <v>24.510919017288444</v>
      </c>
      <c r="AE22" s="286">
        <v>28.492710366203649</v>
      </c>
      <c r="AF22" s="286">
        <v>26.492601268353997</v>
      </c>
    </row>
    <row r="23" spans="1:32" ht="28.5">
      <c r="A23" s="167">
        <v>14</v>
      </c>
      <c r="B23" s="27" t="s">
        <v>149</v>
      </c>
      <c r="C23" s="275">
        <v>618184</v>
      </c>
      <c r="D23" s="275">
        <v>353944</v>
      </c>
      <c r="E23" s="275">
        <v>972128</v>
      </c>
      <c r="F23" s="275">
        <v>375282</v>
      </c>
      <c r="G23" s="275">
        <v>256081</v>
      </c>
      <c r="H23" s="275">
        <v>631363</v>
      </c>
      <c r="I23" s="275">
        <v>25726</v>
      </c>
      <c r="J23" s="275">
        <v>14703</v>
      </c>
      <c r="K23" s="275">
        <v>40429</v>
      </c>
      <c r="L23" s="272">
        <v>401008</v>
      </c>
      <c r="M23" s="272">
        <v>270784</v>
      </c>
      <c r="N23" s="275">
        <v>671792</v>
      </c>
      <c r="O23" s="274">
        <v>64.868712228074486</v>
      </c>
      <c r="P23" s="274">
        <v>76.504757814795568</v>
      </c>
      <c r="Q23" s="274">
        <v>69.105303005365542</v>
      </c>
      <c r="R23" s="277">
        <v>401008</v>
      </c>
      <c r="S23" s="277">
        <v>270784</v>
      </c>
      <c r="T23" s="277">
        <v>671792</v>
      </c>
      <c r="U23" s="287">
        <v>45916</v>
      </c>
      <c r="V23" s="287">
        <v>37912</v>
      </c>
      <c r="W23" s="273">
        <v>83828</v>
      </c>
      <c r="X23" s="277">
        <v>116243</v>
      </c>
      <c r="Y23" s="277">
        <v>94395</v>
      </c>
      <c r="Z23" s="273">
        <v>210638</v>
      </c>
      <c r="AA23" s="281">
        <v>11.450145633004828</v>
      </c>
      <c r="AB23" s="281">
        <v>14.000827227605766</v>
      </c>
      <c r="AC23" s="281">
        <v>12.478267082668445</v>
      </c>
      <c r="AD23" s="281">
        <v>28.987700993496389</v>
      </c>
      <c r="AE23" s="281">
        <v>34.859888324273221</v>
      </c>
      <c r="AF23" s="281">
        <v>31.354645485507419</v>
      </c>
    </row>
    <row r="24" spans="1:32">
      <c r="A24" s="167">
        <v>15</v>
      </c>
      <c r="B24" s="27" t="s">
        <v>140</v>
      </c>
      <c r="C24" s="273">
        <v>218980</v>
      </c>
      <c r="D24" s="273">
        <v>174083</v>
      </c>
      <c r="E24" s="273">
        <v>393063</v>
      </c>
      <c r="F24" s="273">
        <v>104714</v>
      </c>
      <c r="G24" s="273">
        <v>91780</v>
      </c>
      <c r="H24" s="273">
        <v>196494</v>
      </c>
      <c r="I24" s="273">
        <v>38603</v>
      </c>
      <c r="J24" s="273">
        <v>27607</v>
      </c>
      <c r="K24" s="273">
        <v>66210</v>
      </c>
      <c r="L24" s="276">
        <v>143317</v>
      </c>
      <c r="M24" s="276">
        <v>119387</v>
      </c>
      <c r="N24" s="273">
        <v>262704</v>
      </c>
      <c r="O24" s="274">
        <v>65.447529454744725</v>
      </c>
      <c r="P24" s="274">
        <v>68.580504701780185</v>
      </c>
      <c r="Q24" s="274">
        <v>66.83508750505645</v>
      </c>
      <c r="R24" s="273">
        <v>143317</v>
      </c>
      <c r="S24" s="273">
        <v>119387</v>
      </c>
      <c r="T24" s="273">
        <v>262704</v>
      </c>
      <c r="U24" s="273">
        <v>1375</v>
      </c>
      <c r="V24" s="273">
        <v>2267</v>
      </c>
      <c r="W24" s="273">
        <v>3642</v>
      </c>
      <c r="X24" s="273">
        <v>29511</v>
      </c>
      <c r="Y24" s="273">
        <v>34142</v>
      </c>
      <c r="Z24" s="273">
        <v>63653</v>
      </c>
      <c r="AA24" s="294">
        <v>0.95941165388614047</v>
      </c>
      <c r="AB24" s="294">
        <v>1.8988667107809061</v>
      </c>
      <c r="AC24" s="294">
        <v>1.3863511785126987</v>
      </c>
      <c r="AD24" s="294">
        <v>20.591416231151921</v>
      </c>
      <c r="AE24" s="294">
        <v>28.597753524253061</v>
      </c>
      <c r="AF24" s="294">
        <v>24.229931786345087</v>
      </c>
    </row>
    <row r="25" spans="1:32">
      <c r="A25" s="167">
        <v>16</v>
      </c>
      <c r="B25" s="27" t="s">
        <v>150</v>
      </c>
      <c r="C25" s="275">
        <v>76719</v>
      </c>
      <c r="D25" s="275">
        <v>69551</v>
      </c>
      <c r="E25" s="275">
        <v>146270</v>
      </c>
      <c r="F25" s="275">
        <v>46160</v>
      </c>
      <c r="G25" s="275">
        <v>43534</v>
      </c>
      <c r="H25" s="275">
        <v>89694</v>
      </c>
      <c r="I25" s="275">
        <v>2770</v>
      </c>
      <c r="J25" s="275">
        <v>3076</v>
      </c>
      <c r="K25" s="275">
        <v>5846</v>
      </c>
      <c r="L25" s="272">
        <v>48930</v>
      </c>
      <c r="M25" s="272">
        <v>46610</v>
      </c>
      <c r="N25" s="275">
        <v>95540</v>
      </c>
      <c r="O25" s="274">
        <v>63.778203574082035</v>
      </c>
      <c r="P25" s="274">
        <v>67.01557130738594</v>
      </c>
      <c r="Q25" s="274">
        <v>65.317563410131953</v>
      </c>
      <c r="R25" s="275">
        <v>48930</v>
      </c>
      <c r="S25" s="275">
        <v>46610</v>
      </c>
      <c r="T25" s="275">
        <v>95540</v>
      </c>
      <c r="U25" s="275">
        <v>4501</v>
      </c>
      <c r="V25" s="275">
        <v>5559</v>
      </c>
      <c r="W25" s="275">
        <v>10060</v>
      </c>
      <c r="X25" s="275">
        <v>13154</v>
      </c>
      <c r="Y25" s="275">
        <v>14591</v>
      </c>
      <c r="Z25" s="275">
        <v>27745</v>
      </c>
      <c r="AA25" s="286">
        <v>9.1988555078683838</v>
      </c>
      <c r="AB25" s="286">
        <v>11.926625187727955</v>
      </c>
      <c r="AC25" s="286">
        <v>10.529621101109484</v>
      </c>
      <c r="AD25" s="286">
        <v>26.883302677294093</v>
      </c>
      <c r="AE25" s="286">
        <v>31.304441107058569</v>
      </c>
      <c r="AF25" s="286">
        <v>29.040192589491312</v>
      </c>
    </row>
    <row r="26" spans="1:32">
      <c r="A26" s="167">
        <v>17</v>
      </c>
      <c r="B26" s="27" t="s">
        <v>151</v>
      </c>
      <c r="C26" s="275">
        <v>160655</v>
      </c>
      <c r="D26" s="275">
        <v>124458</v>
      </c>
      <c r="E26" s="275">
        <v>285113</v>
      </c>
      <c r="F26" s="275">
        <v>81043</v>
      </c>
      <c r="G26" s="275">
        <v>65829</v>
      </c>
      <c r="H26" s="275">
        <v>146872</v>
      </c>
      <c r="I26" s="275">
        <v>33780</v>
      </c>
      <c r="J26" s="275">
        <v>25401</v>
      </c>
      <c r="K26" s="275">
        <v>59181</v>
      </c>
      <c r="L26" s="272">
        <v>114823</v>
      </c>
      <c r="M26" s="272">
        <v>91230</v>
      </c>
      <c r="N26" s="275">
        <v>206053</v>
      </c>
      <c r="O26" s="274">
        <v>71.471787370452205</v>
      </c>
      <c r="P26" s="274">
        <v>73.301836764209611</v>
      </c>
      <c r="Q26" s="274">
        <v>72.270643569391794</v>
      </c>
      <c r="R26" s="277">
        <v>114823</v>
      </c>
      <c r="S26" s="277">
        <v>91230</v>
      </c>
      <c r="T26" s="277">
        <v>206053</v>
      </c>
      <c r="U26" s="278"/>
      <c r="V26" s="278"/>
      <c r="W26" s="278">
        <v>0</v>
      </c>
      <c r="X26" s="278"/>
      <c r="Y26" s="278"/>
      <c r="Z26" s="278">
        <v>0</v>
      </c>
      <c r="AA26" s="279"/>
      <c r="AB26" s="279"/>
      <c r="AC26" s="279"/>
      <c r="AD26" s="279"/>
      <c r="AE26" s="279"/>
      <c r="AF26" s="279"/>
    </row>
    <row r="27" spans="1:32">
      <c r="A27" s="167">
        <v>18</v>
      </c>
      <c r="B27" s="27" t="s">
        <v>152</v>
      </c>
      <c r="C27" s="275">
        <v>242394</v>
      </c>
      <c r="D27" s="275">
        <v>226774</v>
      </c>
      <c r="E27" s="275">
        <v>469168</v>
      </c>
      <c r="F27" s="275">
        <v>182941</v>
      </c>
      <c r="G27" s="275">
        <v>160960</v>
      </c>
      <c r="H27" s="275">
        <v>343901</v>
      </c>
      <c r="I27" s="275">
        <v>4174</v>
      </c>
      <c r="J27" s="275">
        <v>6501</v>
      </c>
      <c r="K27" s="275">
        <v>10675</v>
      </c>
      <c r="L27" s="272">
        <v>187115</v>
      </c>
      <c r="M27" s="272">
        <v>167461</v>
      </c>
      <c r="N27" s="275">
        <v>354576</v>
      </c>
      <c r="O27" s="274">
        <v>77.194567522298414</v>
      </c>
      <c r="P27" s="274">
        <v>73.844885216118257</v>
      </c>
      <c r="Q27" s="274">
        <v>75.575486819220401</v>
      </c>
      <c r="R27" s="277">
        <v>187115</v>
      </c>
      <c r="S27" s="277">
        <v>167461</v>
      </c>
      <c r="T27" s="277">
        <v>354576</v>
      </c>
      <c r="U27" s="287">
        <v>9396</v>
      </c>
      <c r="V27" s="287">
        <v>6362</v>
      </c>
      <c r="W27" s="273">
        <v>15758</v>
      </c>
      <c r="X27" s="277">
        <v>43122</v>
      </c>
      <c r="Y27" s="277">
        <v>34151</v>
      </c>
      <c r="Z27" s="273">
        <v>77273</v>
      </c>
      <c r="AA27" s="281">
        <v>5.0215108355823954</v>
      </c>
      <c r="AB27" s="281">
        <v>3.7990935202823346</v>
      </c>
      <c r="AC27" s="281">
        <v>4.4441812192590584</v>
      </c>
      <c r="AD27" s="281">
        <v>23.045720546188171</v>
      </c>
      <c r="AE27" s="281">
        <v>20.393405031619302</v>
      </c>
      <c r="AF27" s="281">
        <v>21.793071161048687</v>
      </c>
    </row>
    <row r="28" spans="1:32" ht="28.5">
      <c r="A28" s="167">
        <v>19</v>
      </c>
      <c r="B28" s="27" t="s">
        <v>285</v>
      </c>
      <c r="C28" s="275">
        <v>402470</v>
      </c>
      <c r="D28" s="275">
        <v>373797</v>
      </c>
      <c r="E28" s="275">
        <v>776267</v>
      </c>
      <c r="F28" s="275">
        <v>313373</v>
      </c>
      <c r="G28" s="275">
        <v>315786</v>
      </c>
      <c r="H28" s="275">
        <v>629159</v>
      </c>
      <c r="I28" s="275">
        <v>43740</v>
      </c>
      <c r="J28" s="275">
        <v>26322</v>
      </c>
      <c r="K28" s="275">
        <v>70062</v>
      </c>
      <c r="L28" s="272">
        <v>357113</v>
      </c>
      <c r="M28" s="272">
        <v>342108</v>
      </c>
      <c r="N28" s="275">
        <v>699221</v>
      </c>
      <c r="O28" s="274">
        <v>88.730340149576364</v>
      </c>
      <c r="P28" s="274">
        <v>91.522403871620156</v>
      </c>
      <c r="Q28" s="274">
        <v>90.074806735311427</v>
      </c>
      <c r="R28" s="277">
        <v>357113</v>
      </c>
      <c r="S28" s="277">
        <v>342108</v>
      </c>
      <c r="T28" s="277">
        <v>699221</v>
      </c>
      <c r="U28" s="287">
        <v>43965</v>
      </c>
      <c r="V28" s="287">
        <v>58390</v>
      </c>
      <c r="W28" s="273">
        <v>102355</v>
      </c>
      <c r="X28" s="277">
        <v>77185</v>
      </c>
      <c r="Y28" s="277">
        <v>88666</v>
      </c>
      <c r="Z28" s="273">
        <v>165851</v>
      </c>
      <c r="AA28" s="281">
        <v>12.311229218762689</v>
      </c>
      <c r="AB28" s="281">
        <v>17.067709612169256</v>
      </c>
      <c r="AC28" s="281">
        <v>14.638433342248016</v>
      </c>
      <c r="AD28" s="281">
        <v>21.613606897536634</v>
      </c>
      <c r="AE28" s="281">
        <v>25.9175465057818</v>
      </c>
      <c r="AF28" s="281">
        <v>23.719396299596266</v>
      </c>
    </row>
    <row r="29" spans="1:32">
      <c r="A29" s="167">
        <v>20</v>
      </c>
      <c r="B29" s="27" t="s">
        <v>286</v>
      </c>
      <c r="C29" s="275">
        <v>233518</v>
      </c>
      <c r="D29" s="275">
        <v>229058</v>
      </c>
      <c r="E29" s="275">
        <v>462576</v>
      </c>
      <c r="F29" s="275">
        <v>217196</v>
      </c>
      <c r="G29" s="275">
        <v>218602</v>
      </c>
      <c r="H29" s="275">
        <v>435798</v>
      </c>
      <c r="I29" s="278">
        <v>0</v>
      </c>
      <c r="J29" s="278">
        <v>0</v>
      </c>
      <c r="K29" s="278">
        <v>0</v>
      </c>
      <c r="L29" s="272">
        <v>217196</v>
      </c>
      <c r="M29" s="272">
        <v>218602</v>
      </c>
      <c r="N29" s="275">
        <v>435798</v>
      </c>
      <c r="O29" s="274">
        <v>93.01038892076842</v>
      </c>
      <c r="P29" s="274">
        <v>95.435217281212616</v>
      </c>
      <c r="Q29" s="274">
        <v>94.21111341703849</v>
      </c>
      <c r="R29" s="277">
        <v>217196</v>
      </c>
      <c r="S29" s="277">
        <v>218602</v>
      </c>
      <c r="T29" s="277">
        <v>435798</v>
      </c>
      <c r="U29" s="278">
        <v>0</v>
      </c>
      <c r="V29" s="278">
        <v>0</v>
      </c>
      <c r="W29" s="278">
        <v>0</v>
      </c>
      <c r="X29" s="278">
        <v>0</v>
      </c>
      <c r="Y29" s="278">
        <v>0</v>
      </c>
      <c r="Z29" s="278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</row>
    <row r="30" spans="1:32" ht="28.5">
      <c r="A30" s="167">
        <v>21</v>
      </c>
      <c r="B30" s="27" t="s">
        <v>271</v>
      </c>
      <c r="C30" s="275">
        <v>961014</v>
      </c>
      <c r="D30" s="275">
        <v>770882</v>
      </c>
      <c r="E30" s="275">
        <v>1731896</v>
      </c>
      <c r="F30" s="275">
        <v>705397</v>
      </c>
      <c r="G30" s="275">
        <v>614774</v>
      </c>
      <c r="H30" s="275">
        <v>1320171</v>
      </c>
      <c r="I30" s="275">
        <v>23833</v>
      </c>
      <c r="J30" s="275">
        <v>14506</v>
      </c>
      <c r="K30" s="275">
        <v>38339</v>
      </c>
      <c r="L30" s="272">
        <v>729230</v>
      </c>
      <c r="M30" s="272">
        <v>629280</v>
      </c>
      <c r="N30" s="275">
        <v>1358510</v>
      </c>
      <c r="O30" s="274">
        <v>75.881308701017886</v>
      </c>
      <c r="P30" s="274">
        <v>81.631170529341716</v>
      </c>
      <c r="Q30" s="274">
        <v>78.440622300646226</v>
      </c>
      <c r="R30" s="277">
        <v>729230</v>
      </c>
      <c r="S30" s="277">
        <v>629280</v>
      </c>
      <c r="T30" s="277">
        <v>1358510</v>
      </c>
      <c r="U30" s="287">
        <v>126607</v>
      </c>
      <c r="V30" s="287">
        <v>140451</v>
      </c>
      <c r="W30" s="273">
        <v>267058</v>
      </c>
      <c r="X30" s="277">
        <v>250772</v>
      </c>
      <c r="Y30" s="277">
        <v>247030</v>
      </c>
      <c r="Z30" s="273">
        <v>497802</v>
      </c>
      <c r="AA30" s="281">
        <v>17.361737723352029</v>
      </c>
      <c r="AB30" s="281">
        <v>22.319317315026698</v>
      </c>
      <c r="AC30" s="281">
        <v>19.658154890284209</v>
      </c>
      <c r="AD30" s="281">
        <v>34.388601675740162</v>
      </c>
      <c r="AE30" s="281">
        <v>39.255975082634123</v>
      </c>
      <c r="AF30" s="281">
        <v>36.643234131511726</v>
      </c>
    </row>
    <row r="31" spans="1:32" ht="28.5">
      <c r="A31" s="167">
        <v>22</v>
      </c>
      <c r="B31" s="27" t="s">
        <v>272</v>
      </c>
      <c r="C31" s="275">
        <v>588448</v>
      </c>
      <c r="D31" s="275">
        <v>465345</v>
      </c>
      <c r="E31" s="275">
        <v>1053793</v>
      </c>
      <c r="F31" s="275">
        <v>269239</v>
      </c>
      <c r="G31" s="275">
        <v>215917</v>
      </c>
      <c r="H31" s="275">
        <v>485156</v>
      </c>
      <c r="I31" s="275">
        <v>69263</v>
      </c>
      <c r="J31" s="275">
        <v>60166</v>
      </c>
      <c r="K31" s="275">
        <v>129429</v>
      </c>
      <c r="L31" s="272">
        <v>338502</v>
      </c>
      <c r="M31" s="272">
        <v>276083</v>
      </c>
      <c r="N31" s="275">
        <v>614585</v>
      </c>
      <c r="O31" s="274">
        <v>57.52453912665181</v>
      </c>
      <c r="P31" s="274">
        <v>59.328670126465312</v>
      </c>
      <c r="Q31" s="274">
        <v>58.321226274989492</v>
      </c>
      <c r="R31" s="277">
        <v>338502</v>
      </c>
      <c r="S31" s="277">
        <v>276083</v>
      </c>
      <c r="T31" s="277">
        <v>614585</v>
      </c>
      <c r="U31" s="287">
        <v>34605</v>
      </c>
      <c r="V31" s="287">
        <v>30409</v>
      </c>
      <c r="W31" s="273">
        <v>65014</v>
      </c>
      <c r="X31" s="277">
        <v>84338</v>
      </c>
      <c r="Y31" s="277">
        <v>68907</v>
      </c>
      <c r="Z31" s="273">
        <v>153245</v>
      </c>
      <c r="AA31" s="281">
        <v>10.222982434372618</v>
      </c>
      <c r="AB31" s="281">
        <v>11.014441309316402</v>
      </c>
      <c r="AC31" s="281">
        <v>10.578520465029246</v>
      </c>
      <c r="AD31" s="281">
        <v>24.915066971539311</v>
      </c>
      <c r="AE31" s="281">
        <v>24.958798622153484</v>
      </c>
      <c r="AF31" s="281">
        <v>24.934712041458869</v>
      </c>
    </row>
    <row r="32" spans="1:32" ht="28.5">
      <c r="A32" s="167">
        <v>23</v>
      </c>
      <c r="B32" s="27" t="s">
        <v>141</v>
      </c>
      <c r="C32" s="275">
        <v>16777</v>
      </c>
      <c r="D32" s="275">
        <v>16802</v>
      </c>
      <c r="E32" s="275">
        <v>33579</v>
      </c>
      <c r="F32" s="275">
        <v>12769</v>
      </c>
      <c r="G32" s="275">
        <v>11498</v>
      </c>
      <c r="H32" s="275">
        <v>24267</v>
      </c>
      <c r="I32" s="273">
        <v>1778</v>
      </c>
      <c r="J32" s="273">
        <v>2155</v>
      </c>
      <c r="K32" s="273">
        <v>3933</v>
      </c>
      <c r="L32" s="272">
        <v>14547</v>
      </c>
      <c r="M32" s="272">
        <v>13653</v>
      </c>
      <c r="N32" s="275">
        <v>28200</v>
      </c>
      <c r="O32" s="274">
        <v>86.707993085772188</v>
      </c>
      <c r="P32" s="274">
        <v>81.258183549577438</v>
      </c>
      <c r="Q32" s="274">
        <v>83.98105959081569</v>
      </c>
      <c r="R32" s="277">
        <v>14547</v>
      </c>
      <c r="S32" s="277">
        <v>13653</v>
      </c>
      <c r="T32" s="277">
        <v>28200</v>
      </c>
      <c r="U32" s="287">
        <v>784</v>
      </c>
      <c r="V32" s="287">
        <v>612</v>
      </c>
      <c r="W32" s="273">
        <v>1396</v>
      </c>
      <c r="X32" s="277">
        <v>4982</v>
      </c>
      <c r="Y32" s="277">
        <v>4437</v>
      </c>
      <c r="Z32" s="273">
        <v>9419</v>
      </c>
      <c r="AA32" s="281">
        <v>5.3894273733415821</v>
      </c>
      <c r="AB32" s="281">
        <v>4.4825313117996046</v>
      </c>
      <c r="AC32" s="281">
        <v>4.9503546099290778</v>
      </c>
      <c r="AD32" s="281">
        <v>34.247611191310924</v>
      </c>
      <c r="AE32" s="281">
        <v>32.49835201054713</v>
      </c>
      <c r="AF32" s="281">
        <v>33.400709219858157</v>
      </c>
    </row>
    <row r="33" spans="1:32">
      <c r="A33" s="167">
        <v>24</v>
      </c>
      <c r="B33" s="27" t="s">
        <v>158</v>
      </c>
      <c r="C33" s="275">
        <v>18860</v>
      </c>
      <c r="D33" s="275">
        <v>22147</v>
      </c>
      <c r="E33" s="275">
        <v>41007</v>
      </c>
      <c r="F33" s="275">
        <v>10635</v>
      </c>
      <c r="G33" s="275">
        <v>12462</v>
      </c>
      <c r="H33" s="275">
        <v>23097</v>
      </c>
      <c r="I33" s="278">
        <v>0</v>
      </c>
      <c r="J33" s="278">
        <v>0</v>
      </c>
      <c r="K33" s="278">
        <v>0</v>
      </c>
      <c r="L33" s="272">
        <v>10635</v>
      </c>
      <c r="M33" s="272">
        <v>12462</v>
      </c>
      <c r="N33" s="275">
        <v>23097</v>
      </c>
      <c r="O33" s="274">
        <v>56.389183457051963</v>
      </c>
      <c r="P33" s="274">
        <v>56.269472163272681</v>
      </c>
      <c r="Q33" s="274">
        <v>56.324529958299806</v>
      </c>
      <c r="R33" s="277">
        <v>10635</v>
      </c>
      <c r="S33" s="277">
        <v>12462</v>
      </c>
      <c r="T33" s="277">
        <v>23097</v>
      </c>
      <c r="U33" s="278">
        <v>0</v>
      </c>
      <c r="V33" s="278">
        <v>0</v>
      </c>
      <c r="W33" s="278">
        <v>0</v>
      </c>
      <c r="X33" s="278">
        <v>0</v>
      </c>
      <c r="Y33" s="278">
        <v>0</v>
      </c>
      <c r="Z33" s="278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</row>
    <row r="34" spans="1:32">
      <c r="A34" s="167">
        <v>25</v>
      </c>
      <c r="B34" s="27" t="s">
        <v>159</v>
      </c>
      <c r="C34" s="275">
        <v>7960</v>
      </c>
      <c r="D34" s="275">
        <v>8184</v>
      </c>
      <c r="E34" s="275">
        <v>16144</v>
      </c>
      <c r="F34" s="275">
        <v>4789</v>
      </c>
      <c r="G34" s="275">
        <v>4677</v>
      </c>
      <c r="H34" s="275">
        <v>9466</v>
      </c>
      <c r="I34" s="275">
        <v>59</v>
      </c>
      <c r="J34" s="275">
        <v>65</v>
      </c>
      <c r="K34" s="275">
        <v>124</v>
      </c>
      <c r="L34" s="272">
        <v>4848</v>
      </c>
      <c r="M34" s="272">
        <v>4742</v>
      </c>
      <c r="N34" s="275">
        <v>9590</v>
      </c>
      <c r="O34" s="274">
        <v>60.904522613065325</v>
      </c>
      <c r="P34" s="274">
        <v>57.94232649071359</v>
      </c>
      <c r="Q34" s="274">
        <v>59.402874132804762</v>
      </c>
      <c r="R34" s="275">
        <v>4848</v>
      </c>
      <c r="S34" s="275">
        <v>4742</v>
      </c>
      <c r="T34" s="275">
        <v>9590</v>
      </c>
      <c r="U34" s="275">
        <v>374</v>
      </c>
      <c r="V34" s="275">
        <v>0</v>
      </c>
      <c r="W34" s="273">
        <v>374</v>
      </c>
      <c r="X34" s="275">
        <v>1550</v>
      </c>
      <c r="Y34" s="275">
        <v>20</v>
      </c>
      <c r="Z34" s="273">
        <v>1570</v>
      </c>
      <c r="AA34" s="286">
        <v>7.714521452145215</v>
      </c>
      <c r="AB34" s="286">
        <v>0</v>
      </c>
      <c r="AC34" s="286">
        <v>3.8998957247132426</v>
      </c>
      <c r="AD34" s="286">
        <v>31.971947194719473</v>
      </c>
      <c r="AE34" s="286">
        <v>0.42176296921130324</v>
      </c>
      <c r="AF34" s="286">
        <v>16.371220020855056</v>
      </c>
    </row>
    <row r="35" spans="1:32">
      <c r="A35" s="167">
        <v>26</v>
      </c>
      <c r="B35" s="27" t="s">
        <v>160</v>
      </c>
      <c r="C35" s="275">
        <v>10689</v>
      </c>
      <c r="D35" s="275">
        <v>10621</v>
      </c>
      <c r="E35" s="275">
        <v>21310</v>
      </c>
      <c r="F35" s="275">
        <v>6859</v>
      </c>
      <c r="G35" s="275">
        <v>6676</v>
      </c>
      <c r="H35" s="275">
        <v>13535</v>
      </c>
      <c r="I35" s="278">
        <v>0</v>
      </c>
      <c r="J35" s="278">
        <v>0</v>
      </c>
      <c r="K35" s="278">
        <v>0</v>
      </c>
      <c r="L35" s="272">
        <v>6859</v>
      </c>
      <c r="M35" s="272">
        <v>6676</v>
      </c>
      <c r="N35" s="275">
        <v>13535</v>
      </c>
      <c r="O35" s="274">
        <v>64.168771634390495</v>
      </c>
      <c r="P35" s="274">
        <v>62.856604839468979</v>
      </c>
      <c r="Q35" s="274">
        <v>63.514781792585637</v>
      </c>
      <c r="R35" s="277">
        <v>6859</v>
      </c>
      <c r="S35" s="277">
        <v>6676</v>
      </c>
      <c r="T35" s="277">
        <v>13535</v>
      </c>
      <c r="U35" s="287">
        <v>451</v>
      </c>
      <c r="V35" s="287">
        <v>540</v>
      </c>
      <c r="W35" s="273">
        <v>991</v>
      </c>
      <c r="X35" s="277">
        <v>1598</v>
      </c>
      <c r="Y35" s="277">
        <v>1634</v>
      </c>
      <c r="Z35" s="273">
        <v>3232</v>
      </c>
      <c r="AA35" s="281">
        <v>6.575302522233561</v>
      </c>
      <c r="AB35" s="281">
        <v>8.0886758538046735</v>
      </c>
      <c r="AC35" s="281">
        <v>7.3217584041374222</v>
      </c>
      <c r="AD35" s="281">
        <v>23.297856830441756</v>
      </c>
      <c r="AE35" s="281">
        <v>24.475733972438583</v>
      </c>
      <c r="AF35" s="281">
        <v>23.878832656076838</v>
      </c>
    </row>
    <row r="36" spans="1:32">
      <c r="A36" s="167">
        <v>27</v>
      </c>
      <c r="B36" s="27" t="s">
        <v>273</v>
      </c>
      <c r="C36" s="290">
        <v>286440</v>
      </c>
      <c r="D36" s="290">
        <v>281970</v>
      </c>
      <c r="E36" s="290">
        <v>568410</v>
      </c>
      <c r="F36" s="290">
        <v>209148</v>
      </c>
      <c r="G36" s="290">
        <v>201765</v>
      </c>
      <c r="H36" s="290">
        <v>410913</v>
      </c>
      <c r="I36" s="290">
        <v>9520</v>
      </c>
      <c r="J36" s="290">
        <v>12237</v>
      </c>
      <c r="K36" s="290">
        <v>21757</v>
      </c>
      <c r="L36" s="289">
        <v>218668</v>
      </c>
      <c r="M36" s="289">
        <v>214002</v>
      </c>
      <c r="N36" s="290">
        <v>432670</v>
      </c>
      <c r="O36" s="274">
        <v>76.339896662477301</v>
      </c>
      <c r="P36" s="274">
        <v>75.895308011490584</v>
      </c>
      <c r="Q36" s="274">
        <v>76.119350468851707</v>
      </c>
      <c r="R36" s="291">
        <v>218668</v>
      </c>
      <c r="S36" s="291">
        <v>214002</v>
      </c>
      <c r="T36" s="291">
        <v>432670</v>
      </c>
      <c r="U36" s="295">
        <v>54358</v>
      </c>
      <c r="V36" s="295">
        <v>50790</v>
      </c>
      <c r="W36" s="273">
        <v>105148</v>
      </c>
      <c r="X36" s="291">
        <v>62897</v>
      </c>
      <c r="Y36" s="291">
        <v>64311</v>
      </c>
      <c r="Z36" s="273">
        <v>127208</v>
      </c>
      <c r="AA36" s="293">
        <v>24.858689886037283</v>
      </c>
      <c r="AB36" s="293">
        <v>23.733423052121008</v>
      </c>
      <c r="AC36" s="293">
        <v>24.302124020616176</v>
      </c>
      <c r="AD36" s="293">
        <v>28.763696562825839</v>
      </c>
      <c r="AE36" s="293">
        <v>30.051588302913057</v>
      </c>
      <c r="AF36" s="293">
        <v>29.400697991540898</v>
      </c>
    </row>
    <row r="37" spans="1:32">
      <c r="A37" s="167">
        <v>28</v>
      </c>
      <c r="B37" s="27" t="s">
        <v>162</v>
      </c>
      <c r="C37" s="275">
        <v>244960</v>
      </c>
      <c r="D37" s="275">
        <v>183236</v>
      </c>
      <c r="E37" s="275">
        <v>428196</v>
      </c>
      <c r="F37" s="275">
        <v>152583</v>
      </c>
      <c r="G37" s="275">
        <v>138450</v>
      </c>
      <c r="H37" s="275">
        <v>291033</v>
      </c>
      <c r="I37" s="278">
        <v>0</v>
      </c>
      <c r="J37" s="278">
        <v>0</v>
      </c>
      <c r="K37" s="278">
        <v>0</v>
      </c>
      <c r="L37" s="272">
        <v>152583</v>
      </c>
      <c r="M37" s="272">
        <v>138450</v>
      </c>
      <c r="N37" s="275">
        <v>291033</v>
      </c>
      <c r="O37" s="274">
        <v>62.288945133899411</v>
      </c>
      <c r="P37" s="274">
        <v>75.55829640463665</v>
      </c>
      <c r="Q37" s="274">
        <v>67.967239301628226</v>
      </c>
      <c r="R37" s="277">
        <v>152583</v>
      </c>
      <c r="S37" s="277">
        <v>138450</v>
      </c>
      <c r="T37" s="277">
        <v>291033</v>
      </c>
      <c r="U37" s="278"/>
      <c r="V37" s="278"/>
      <c r="W37" s="278">
        <v>0</v>
      </c>
      <c r="X37" s="278"/>
      <c r="Y37" s="278"/>
      <c r="Z37" s="278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</row>
    <row r="38" spans="1:32" ht="28.5">
      <c r="A38" s="167">
        <v>29</v>
      </c>
      <c r="B38" s="27" t="s">
        <v>212</v>
      </c>
      <c r="C38" s="275">
        <v>697513</v>
      </c>
      <c r="D38" s="275">
        <v>473277</v>
      </c>
      <c r="E38" s="275">
        <v>1170790</v>
      </c>
      <c r="F38" s="275">
        <v>458752</v>
      </c>
      <c r="G38" s="275">
        <v>308811</v>
      </c>
      <c r="H38" s="275">
        <v>767563</v>
      </c>
      <c r="I38" s="275">
        <v>17670</v>
      </c>
      <c r="J38" s="275">
        <v>15997</v>
      </c>
      <c r="K38" s="275">
        <v>33667</v>
      </c>
      <c r="L38" s="272">
        <v>476422</v>
      </c>
      <c r="M38" s="272">
        <v>324808</v>
      </c>
      <c r="N38" s="275">
        <v>801230</v>
      </c>
      <c r="O38" s="274">
        <v>68.302956360669981</v>
      </c>
      <c r="P38" s="274">
        <v>68.629576336902062</v>
      </c>
      <c r="Q38" s="274">
        <v>68.434988341205511</v>
      </c>
      <c r="R38" s="277">
        <v>476422</v>
      </c>
      <c r="S38" s="277">
        <v>324808</v>
      </c>
      <c r="T38" s="277">
        <v>801230</v>
      </c>
      <c r="U38" s="278">
        <v>0</v>
      </c>
      <c r="V38" s="278">
        <v>0</v>
      </c>
      <c r="W38" s="278">
        <v>0</v>
      </c>
      <c r="X38" s="278">
        <v>0</v>
      </c>
      <c r="Y38" s="278">
        <v>0</v>
      </c>
      <c r="Z38" s="278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</row>
    <row r="39" spans="1:32" ht="28.5">
      <c r="A39" s="167">
        <v>30</v>
      </c>
      <c r="B39" s="27" t="s">
        <v>274</v>
      </c>
      <c r="C39" s="275">
        <v>570460</v>
      </c>
      <c r="D39" s="275">
        <v>533830</v>
      </c>
      <c r="E39" s="275">
        <v>1104290</v>
      </c>
      <c r="F39" s="275">
        <v>467840</v>
      </c>
      <c r="G39" s="275">
        <v>483830</v>
      </c>
      <c r="H39" s="275">
        <v>951670</v>
      </c>
      <c r="I39" s="275">
        <v>6780</v>
      </c>
      <c r="J39" s="275">
        <v>3859</v>
      </c>
      <c r="K39" s="275">
        <v>10639</v>
      </c>
      <c r="L39" s="272">
        <v>474620</v>
      </c>
      <c r="M39" s="272">
        <v>487689</v>
      </c>
      <c r="N39" s="275">
        <v>962309</v>
      </c>
      <c r="O39" s="274">
        <v>83.199523191810115</v>
      </c>
      <c r="P39" s="274">
        <v>91.356611655395909</v>
      </c>
      <c r="Q39" s="274">
        <v>87.142779523494724</v>
      </c>
      <c r="R39" s="277">
        <v>474620</v>
      </c>
      <c r="S39" s="277">
        <v>487689</v>
      </c>
      <c r="T39" s="277">
        <v>962309</v>
      </c>
      <c r="U39" s="278"/>
      <c r="V39" s="278"/>
      <c r="W39" s="278">
        <v>0</v>
      </c>
      <c r="X39" s="278"/>
      <c r="Y39" s="278"/>
      <c r="Z39" s="278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</row>
    <row r="40" spans="1:32" ht="28.5">
      <c r="A40" s="167">
        <v>31</v>
      </c>
      <c r="B40" s="285" t="s">
        <v>292</v>
      </c>
      <c r="C40" s="275">
        <v>24270</v>
      </c>
      <c r="D40" s="275">
        <v>21578</v>
      </c>
      <c r="E40" s="275">
        <v>45848</v>
      </c>
      <c r="F40" s="275">
        <v>14415</v>
      </c>
      <c r="G40" s="275">
        <v>11819</v>
      </c>
      <c r="H40" s="275">
        <v>26234</v>
      </c>
      <c r="I40" s="278">
        <v>0</v>
      </c>
      <c r="J40" s="278">
        <v>0</v>
      </c>
      <c r="K40" s="278">
        <v>0</v>
      </c>
      <c r="L40" s="272">
        <v>14415</v>
      </c>
      <c r="M40" s="272">
        <v>11819</v>
      </c>
      <c r="N40" s="275">
        <v>26234</v>
      </c>
      <c r="O40" s="274">
        <v>59.394313967861557</v>
      </c>
      <c r="P40" s="274">
        <v>54.773380294744648</v>
      </c>
      <c r="Q40" s="274">
        <v>57.219507939277612</v>
      </c>
      <c r="R40" s="277">
        <v>14415</v>
      </c>
      <c r="S40" s="277">
        <v>11819</v>
      </c>
      <c r="T40" s="277">
        <v>26234</v>
      </c>
      <c r="U40" s="296">
        <v>0</v>
      </c>
      <c r="V40" s="296">
        <v>0</v>
      </c>
      <c r="W40" s="296">
        <v>0</v>
      </c>
      <c r="X40" s="277">
        <v>1382</v>
      </c>
      <c r="Y40" s="277">
        <v>939</v>
      </c>
      <c r="Z40" s="273">
        <v>2321</v>
      </c>
      <c r="AA40" s="279">
        <v>0</v>
      </c>
      <c r="AB40" s="279">
        <v>0</v>
      </c>
      <c r="AC40" s="279">
        <v>0</v>
      </c>
      <c r="AD40" s="281">
        <v>9.5872355185570584</v>
      </c>
      <c r="AE40" s="281">
        <v>7.9448345883746514</v>
      </c>
      <c r="AF40" s="281">
        <v>8.8472974003201958</v>
      </c>
    </row>
    <row r="41" spans="1:32" ht="25.5">
      <c r="A41" s="167">
        <v>32</v>
      </c>
      <c r="B41" s="297" t="s">
        <v>275</v>
      </c>
      <c r="C41" s="275">
        <v>1991950</v>
      </c>
      <c r="D41" s="275">
        <v>1555441</v>
      </c>
      <c r="E41" s="275">
        <v>3547391</v>
      </c>
      <c r="F41" s="275">
        <v>1513134</v>
      </c>
      <c r="G41" s="275">
        <v>1354437</v>
      </c>
      <c r="H41" s="275">
        <v>2867571</v>
      </c>
      <c r="I41" s="278"/>
      <c r="J41" s="278"/>
      <c r="K41" s="278"/>
      <c r="L41" s="272">
        <v>1513134</v>
      </c>
      <c r="M41" s="272">
        <v>1354437</v>
      </c>
      <c r="N41" s="275">
        <v>2867571</v>
      </c>
      <c r="O41" s="274">
        <v>75.96244885664801</v>
      </c>
      <c r="P41" s="274">
        <v>87.077362625776217</v>
      </c>
      <c r="Q41" s="274">
        <v>80.83605669631568</v>
      </c>
      <c r="R41" s="277">
        <v>1513134</v>
      </c>
      <c r="S41" s="277">
        <v>1354437</v>
      </c>
      <c r="T41" s="277">
        <v>2867571</v>
      </c>
      <c r="U41" s="287">
        <v>272342</v>
      </c>
      <c r="V41" s="287">
        <v>346166</v>
      </c>
      <c r="W41" s="273">
        <v>618508</v>
      </c>
      <c r="X41" s="277">
        <v>845754</v>
      </c>
      <c r="Y41" s="277">
        <v>799148</v>
      </c>
      <c r="Z41" s="273">
        <v>1644902</v>
      </c>
      <c r="AA41" s="281">
        <v>17.998538133436959</v>
      </c>
      <c r="AB41" s="281">
        <v>25.557925543971404</v>
      </c>
      <c r="AC41" s="281">
        <v>21.569056180300333</v>
      </c>
      <c r="AD41" s="281">
        <v>55.894190468259914</v>
      </c>
      <c r="AE41" s="281">
        <v>59.002227493785234</v>
      </c>
      <c r="AF41" s="281">
        <v>57.362206550421945</v>
      </c>
    </row>
    <row r="42" spans="1:32" ht="28.5">
      <c r="A42" s="167">
        <v>33</v>
      </c>
      <c r="B42" s="27" t="s">
        <v>276</v>
      </c>
      <c r="C42" s="275">
        <v>92608</v>
      </c>
      <c r="D42" s="275">
        <v>84215</v>
      </c>
      <c r="E42" s="275">
        <v>176823</v>
      </c>
      <c r="F42" s="275">
        <v>61758</v>
      </c>
      <c r="G42" s="275">
        <v>64561</v>
      </c>
      <c r="H42" s="275">
        <v>126319</v>
      </c>
      <c r="I42" s="278"/>
      <c r="J42" s="278"/>
      <c r="K42" s="278"/>
      <c r="L42" s="272">
        <v>61758</v>
      </c>
      <c r="M42" s="272">
        <v>64561</v>
      </c>
      <c r="N42" s="275">
        <v>126319</v>
      </c>
      <c r="O42" s="274">
        <v>66.687543192812711</v>
      </c>
      <c r="P42" s="274">
        <v>76.662114825149914</v>
      </c>
      <c r="Q42" s="274">
        <v>71.438104771438105</v>
      </c>
      <c r="R42" s="277">
        <v>61758</v>
      </c>
      <c r="S42" s="277">
        <v>64561</v>
      </c>
      <c r="T42" s="277">
        <v>126319</v>
      </c>
      <c r="U42" s="287">
        <v>2198</v>
      </c>
      <c r="V42" s="287">
        <v>1589</v>
      </c>
      <c r="W42" s="273">
        <v>3787</v>
      </c>
      <c r="X42" s="277">
        <v>10536</v>
      </c>
      <c r="Y42" s="277">
        <v>14017</v>
      </c>
      <c r="Z42" s="273">
        <v>24553</v>
      </c>
      <c r="AA42" s="281">
        <v>3.5590530781437222</v>
      </c>
      <c r="AB42" s="281">
        <v>2.4612382088257618</v>
      </c>
      <c r="AC42" s="281">
        <v>2.9979654683776786</v>
      </c>
      <c r="AD42" s="281">
        <v>17.060137957835423</v>
      </c>
      <c r="AE42" s="281">
        <v>21.711249825746194</v>
      </c>
      <c r="AF42" s="281">
        <v>19.437297635351769</v>
      </c>
    </row>
    <row r="43" spans="1:32" ht="28.5">
      <c r="A43" s="167">
        <v>34</v>
      </c>
      <c r="B43" s="27" t="s">
        <v>172</v>
      </c>
      <c r="C43" s="275">
        <v>447050</v>
      </c>
      <c r="D43" s="275">
        <v>474442</v>
      </c>
      <c r="E43" s="275">
        <v>921492</v>
      </c>
      <c r="F43" s="275">
        <v>385863</v>
      </c>
      <c r="G43" s="275">
        <v>367912</v>
      </c>
      <c r="H43" s="275">
        <v>753775</v>
      </c>
      <c r="I43" s="278"/>
      <c r="J43" s="278"/>
      <c r="K43" s="278"/>
      <c r="L43" s="272">
        <v>385863</v>
      </c>
      <c r="M43" s="272">
        <v>367912</v>
      </c>
      <c r="N43" s="275">
        <v>753775</v>
      </c>
      <c r="O43" s="274">
        <v>86.31316407560675</v>
      </c>
      <c r="P43" s="274">
        <v>77.5462543366734</v>
      </c>
      <c r="Q43" s="274">
        <v>81.799407916726352</v>
      </c>
      <c r="R43" s="277">
        <v>385863</v>
      </c>
      <c r="S43" s="277">
        <v>367912</v>
      </c>
      <c r="T43" s="277">
        <v>753775</v>
      </c>
      <c r="U43" s="278"/>
      <c r="V43" s="278"/>
      <c r="W43" s="278">
        <v>0</v>
      </c>
      <c r="X43" s="278"/>
      <c r="Y43" s="278"/>
      <c r="Z43" s="278">
        <v>0</v>
      </c>
      <c r="AA43" s="279"/>
      <c r="AB43" s="279"/>
      <c r="AC43" s="279"/>
      <c r="AD43" s="279"/>
      <c r="AE43" s="279"/>
      <c r="AF43" s="279"/>
    </row>
    <row r="44" spans="1:32" ht="28.5">
      <c r="A44" s="268">
        <v>35</v>
      </c>
      <c r="B44" s="80" t="s">
        <v>277</v>
      </c>
      <c r="C44" s="301">
        <v>16650</v>
      </c>
      <c r="D44" s="301">
        <v>29007</v>
      </c>
      <c r="E44" s="301">
        <v>45657</v>
      </c>
      <c r="F44" s="301">
        <v>14093</v>
      </c>
      <c r="G44" s="301">
        <v>21678</v>
      </c>
      <c r="H44" s="301">
        <v>35771</v>
      </c>
      <c r="I44" s="301">
        <v>554</v>
      </c>
      <c r="J44" s="301">
        <v>1457</v>
      </c>
      <c r="K44" s="301">
        <v>2011</v>
      </c>
      <c r="L44" s="298">
        <v>14647</v>
      </c>
      <c r="M44" s="298">
        <v>23135</v>
      </c>
      <c r="N44" s="301">
        <v>37782</v>
      </c>
      <c r="O44" s="300">
        <v>87.969969969969981</v>
      </c>
      <c r="P44" s="300">
        <v>79.756610473334021</v>
      </c>
      <c r="Q44" s="300">
        <v>82.751823378671389</v>
      </c>
      <c r="R44" s="302">
        <v>14647</v>
      </c>
      <c r="S44" s="302">
        <v>23135</v>
      </c>
      <c r="T44" s="302">
        <v>37782</v>
      </c>
      <c r="U44" s="303">
        <v>306</v>
      </c>
      <c r="V44" s="303">
        <v>178</v>
      </c>
      <c r="W44" s="299">
        <v>484</v>
      </c>
      <c r="X44" s="302">
        <v>1473</v>
      </c>
      <c r="Y44" s="302">
        <v>1058</v>
      </c>
      <c r="Z44" s="299">
        <v>2531</v>
      </c>
      <c r="AA44" s="304">
        <v>2.0891650167269749</v>
      </c>
      <c r="AB44" s="304">
        <v>0.76939701750594336</v>
      </c>
      <c r="AC44" s="304">
        <v>1.2810332962786513</v>
      </c>
      <c r="AD44" s="304">
        <v>10.056666894244556</v>
      </c>
      <c r="AE44" s="304">
        <v>4.5731575534903826</v>
      </c>
      <c r="AF44" s="304">
        <v>6.6989571753745167</v>
      </c>
    </row>
    <row r="45" spans="1:32">
      <c r="A45" s="640" t="s">
        <v>256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  <c r="X45" s="640"/>
      <c r="Y45" s="640"/>
      <c r="Z45" s="640"/>
      <c r="AA45" s="640"/>
      <c r="AB45" s="640"/>
      <c r="AC45" s="640"/>
      <c r="AD45" s="640"/>
      <c r="AE45" s="640"/>
      <c r="AF45" s="640"/>
    </row>
    <row r="46" spans="1:32" ht="28.5">
      <c r="A46" s="167">
        <v>1</v>
      </c>
      <c r="B46" s="27" t="s">
        <v>249</v>
      </c>
      <c r="C46" s="170">
        <v>204970</v>
      </c>
      <c r="D46" s="170">
        <v>86747</v>
      </c>
      <c r="E46" s="171">
        <v>291717</v>
      </c>
      <c r="F46" s="170">
        <v>114454</v>
      </c>
      <c r="G46" s="170">
        <v>47832</v>
      </c>
      <c r="H46" s="171">
        <v>162286</v>
      </c>
      <c r="I46" s="170"/>
      <c r="J46" s="170"/>
      <c r="K46" s="171"/>
      <c r="L46" s="170">
        <v>114454</v>
      </c>
      <c r="M46" s="170">
        <v>47832</v>
      </c>
      <c r="N46" s="171">
        <v>162286</v>
      </c>
      <c r="O46" s="170">
        <f>+L46/C46%</f>
        <v>55.839391130409332</v>
      </c>
      <c r="P46" s="170">
        <f t="shared" ref="P46:Q46" si="0">+M46/D46%</f>
        <v>55.13965900838069</v>
      </c>
      <c r="Q46" s="170">
        <f t="shared" si="0"/>
        <v>55.631313910399463</v>
      </c>
      <c r="R46" s="215">
        <v>114454</v>
      </c>
      <c r="S46" s="215">
        <v>47832</v>
      </c>
      <c r="T46" s="215">
        <v>162286</v>
      </c>
      <c r="U46" s="215">
        <v>1187</v>
      </c>
      <c r="V46" s="215">
        <v>576</v>
      </c>
      <c r="W46" s="215">
        <v>1763</v>
      </c>
      <c r="X46" s="215">
        <v>17977</v>
      </c>
      <c r="Y46" s="215">
        <v>6795</v>
      </c>
      <c r="Z46" s="215">
        <v>24772</v>
      </c>
      <c r="AA46" s="313">
        <v>1.0370978733814458</v>
      </c>
      <c r="AB46" s="313">
        <v>1.2042147516307076</v>
      </c>
      <c r="AC46" s="313">
        <v>1.0863537212082375</v>
      </c>
      <c r="AD46" s="313">
        <v>15.70674681531445</v>
      </c>
      <c r="AE46" s="313">
        <v>14.205970898143503</v>
      </c>
      <c r="AF46" s="313">
        <v>15.26440974575749</v>
      </c>
    </row>
    <row r="47" spans="1:32">
      <c r="A47" s="167">
        <v>2</v>
      </c>
      <c r="B47" s="53" t="s">
        <v>294</v>
      </c>
      <c r="C47" s="265">
        <v>72552</v>
      </c>
      <c r="D47" s="265">
        <v>32938</v>
      </c>
      <c r="E47" s="171">
        <v>105490</v>
      </c>
      <c r="F47" s="265">
        <v>38513</v>
      </c>
      <c r="G47" s="265">
        <v>19319</v>
      </c>
      <c r="H47" s="171">
        <v>57832</v>
      </c>
      <c r="I47" s="314"/>
      <c r="J47" s="314"/>
      <c r="K47" s="171"/>
      <c r="L47" s="265">
        <v>38513</v>
      </c>
      <c r="M47" s="265">
        <v>19319</v>
      </c>
      <c r="N47" s="171">
        <v>57832</v>
      </c>
      <c r="O47" s="170">
        <f t="shared" ref="O47:Q52" si="1">+L47/C47%</f>
        <v>53.083305766898228</v>
      </c>
      <c r="P47" s="170">
        <f t="shared" ref="P47:P51" si="2">+M47/D47%</f>
        <v>58.65262007407857</v>
      </c>
      <c r="Q47" s="170">
        <f t="shared" ref="Q47:Q51" si="3">+N47/E47%</f>
        <v>54.822258033936862</v>
      </c>
      <c r="R47" s="171">
        <v>38513</v>
      </c>
      <c r="S47" s="171">
        <v>19319</v>
      </c>
      <c r="T47" s="171">
        <v>57832</v>
      </c>
      <c r="U47" s="171">
        <v>205</v>
      </c>
      <c r="V47" s="171">
        <v>166</v>
      </c>
      <c r="W47" s="215">
        <v>371</v>
      </c>
      <c r="X47" s="171">
        <v>6071</v>
      </c>
      <c r="Y47" s="171">
        <v>3994</v>
      </c>
      <c r="Z47" s="215">
        <v>10065</v>
      </c>
      <c r="AA47" s="313">
        <v>0.5322877989250383</v>
      </c>
      <c r="AB47" s="313">
        <v>0.85925772555515301</v>
      </c>
      <c r="AC47" s="313">
        <v>0.64151334901092816</v>
      </c>
      <c r="AD47" s="313">
        <v>15.763508425726378</v>
      </c>
      <c r="AE47" s="313">
        <v>20.673947926911332</v>
      </c>
      <c r="AF47" s="313">
        <v>17.403859454973023</v>
      </c>
    </row>
    <row r="48" spans="1:32">
      <c r="A48" s="167">
        <v>3</v>
      </c>
      <c r="B48" s="35" t="s">
        <v>251</v>
      </c>
      <c r="C48" s="170">
        <v>45786</v>
      </c>
      <c r="D48" s="170">
        <v>36567</v>
      </c>
      <c r="E48" s="171">
        <v>82353</v>
      </c>
      <c r="F48" s="170">
        <v>30810</v>
      </c>
      <c r="G48" s="170">
        <v>26259</v>
      </c>
      <c r="H48" s="171">
        <v>57069</v>
      </c>
      <c r="I48" s="170"/>
      <c r="J48" s="170"/>
      <c r="K48" s="171"/>
      <c r="L48" s="170">
        <v>30810</v>
      </c>
      <c r="M48" s="170">
        <v>26259</v>
      </c>
      <c r="N48" s="171">
        <v>57069</v>
      </c>
      <c r="O48" s="170">
        <f t="shared" si="1"/>
        <v>67.291311754684841</v>
      </c>
      <c r="P48" s="170">
        <f t="shared" si="2"/>
        <v>71.81064894577078</v>
      </c>
      <c r="Q48" s="170">
        <f t="shared" si="3"/>
        <v>69.298021929984344</v>
      </c>
      <c r="R48" s="215">
        <v>30810</v>
      </c>
      <c r="S48" s="215">
        <v>26259</v>
      </c>
      <c r="T48" s="215">
        <v>57069</v>
      </c>
      <c r="U48" s="177"/>
      <c r="V48" s="177"/>
      <c r="W48" s="177">
        <v>0</v>
      </c>
      <c r="X48" s="177"/>
      <c r="Y48" s="177"/>
      <c r="Z48" s="177">
        <v>0</v>
      </c>
      <c r="AA48" s="216">
        <v>0</v>
      </c>
      <c r="AB48" s="216">
        <v>0</v>
      </c>
      <c r="AC48" s="216">
        <v>0</v>
      </c>
      <c r="AD48" s="216">
        <v>0</v>
      </c>
      <c r="AE48" s="216">
        <v>0</v>
      </c>
      <c r="AF48" s="216">
        <v>0</v>
      </c>
    </row>
    <row r="49" spans="1:32" ht="28.5">
      <c r="A49" s="167">
        <v>4</v>
      </c>
      <c r="B49" s="35" t="s">
        <v>252</v>
      </c>
      <c r="C49" s="170">
        <v>45464</v>
      </c>
      <c r="D49" s="170">
        <v>32193</v>
      </c>
      <c r="E49" s="171">
        <v>77657</v>
      </c>
      <c r="F49" s="170">
        <v>22931</v>
      </c>
      <c r="G49" s="170">
        <v>17776</v>
      </c>
      <c r="H49" s="171">
        <v>40707</v>
      </c>
      <c r="I49" s="170"/>
      <c r="J49" s="170"/>
      <c r="K49" s="171"/>
      <c r="L49" s="170">
        <v>22931</v>
      </c>
      <c r="M49" s="170">
        <v>17776</v>
      </c>
      <c r="N49" s="171">
        <v>40707</v>
      </c>
      <c r="O49" s="170">
        <f t="shared" si="1"/>
        <v>50.437708956537044</v>
      </c>
      <c r="P49" s="170">
        <f t="shared" si="2"/>
        <v>55.216972633802378</v>
      </c>
      <c r="Q49" s="170">
        <f t="shared" si="3"/>
        <v>52.418970601491168</v>
      </c>
      <c r="R49" s="215">
        <v>22931</v>
      </c>
      <c r="S49" s="215">
        <v>17776</v>
      </c>
      <c r="T49" s="215">
        <v>40707</v>
      </c>
      <c r="U49" s="215">
        <v>14</v>
      </c>
      <c r="V49" s="215">
        <v>12</v>
      </c>
      <c r="W49" s="215">
        <v>26</v>
      </c>
      <c r="X49" s="215">
        <v>2048</v>
      </c>
      <c r="Y49" s="215">
        <v>1596</v>
      </c>
      <c r="Z49" s="215">
        <v>3644</v>
      </c>
      <c r="AA49" s="313">
        <v>6.1052723387553964E-2</v>
      </c>
      <c r="AB49" s="313">
        <v>6.7506750675067506E-2</v>
      </c>
      <c r="AC49" s="313">
        <v>6.3871078684255775E-2</v>
      </c>
      <c r="AD49" s="313">
        <v>8.9311412498364664</v>
      </c>
      <c r="AE49" s="313">
        <v>8.9783978397839785</v>
      </c>
      <c r="AF49" s="313">
        <v>8.9517773355933876</v>
      </c>
    </row>
    <row r="50" spans="1:32" ht="28.5">
      <c r="A50" s="167">
        <v>5</v>
      </c>
      <c r="B50" s="27" t="s">
        <v>295</v>
      </c>
      <c r="C50" s="168">
        <v>18786</v>
      </c>
      <c r="D50" s="168">
        <v>16960</v>
      </c>
      <c r="E50" s="169">
        <v>35746</v>
      </c>
      <c r="F50" s="168">
        <v>9071</v>
      </c>
      <c r="G50" s="168">
        <v>10801</v>
      </c>
      <c r="H50" s="169">
        <v>19872</v>
      </c>
      <c r="I50" s="177"/>
      <c r="J50" s="177"/>
      <c r="K50" s="177"/>
      <c r="L50" s="168">
        <v>9071</v>
      </c>
      <c r="M50" s="168">
        <v>10801</v>
      </c>
      <c r="N50" s="169">
        <v>19872</v>
      </c>
      <c r="O50" s="170">
        <f t="shared" si="1"/>
        <v>48.28595762802086</v>
      </c>
      <c r="P50" s="170">
        <f t="shared" si="2"/>
        <v>63.685141509433961</v>
      </c>
      <c r="Q50" s="170">
        <f t="shared" si="3"/>
        <v>55.592234096122645</v>
      </c>
      <c r="R50" s="215">
        <v>9071</v>
      </c>
      <c r="S50" s="215">
        <v>10801</v>
      </c>
      <c r="T50" s="215">
        <v>19872</v>
      </c>
      <c r="U50" s="177"/>
      <c r="V50" s="177"/>
      <c r="W50" s="177"/>
      <c r="X50" s="177"/>
      <c r="Y50" s="177"/>
      <c r="Z50" s="177">
        <v>0</v>
      </c>
      <c r="AA50" s="216"/>
      <c r="AB50" s="216"/>
      <c r="AC50" s="216"/>
      <c r="AD50" s="216"/>
      <c r="AE50" s="216"/>
      <c r="AF50" s="216"/>
    </row>
    <row r="51" spans="1:32" ht="28.5">
      <c r="A51" s="268">
        <v>6</v>
      </c>
      <c r="B51" s="80" t="s">
        <v>311</v>
      </c>
      <c r="C51" s="189">
        <v>10053</v>
      </c>
      <c r="D51" s="189">
        <v>7347</v>
      </c>
      <c r="E51" s="171">
        <v>17400</v>
      </c>
      <c r="F51" s="189">
        <v>4347</v>
      </c>
      <c r="G51" s="189">
        <v>6861</v>
      </c>
      <c r="H51" s="171">
        <v>11208</v>
      </c>
      <c r="I51" s="189"/>
      <c r="J51" s="189"/>
      <c r="K51" s="171"/>
      <c r="L51" s="189">
        <v>4347</v>
      </c>
      <c r="M51" s="189">
        <v>6861</v>
      </c>
      <c r="N51" s="171">
        <v>11208</v>
      </c>
      <c r="O51" s="170">
        <f t="shared" si="1"/>
        <v>43.240823634735897</v>
      </c>
      <c r="P51" s="170">
        <f t="shared" si="2"/>
        <v>93.385055124540628</v>
      </c>
      <c r="Q51" s="170">
        <f t="shared" si="3"/>
        <v>64.41379310344827</v>
      </c>
      <c r="R51" s="212">
        <v>4347</v>
      </c>
      <c r="S51" s="212">
        <v>6861</v>
      </c>
      <c r="T51" s="212">
        <v>11208</v>
      </c>
      <c r="U51" s="192"/>
      <c r="V51" s="192"/>
      <c r="W51" s="192"/>
      <c r="X51" s="214">
        <v>675</v>
      </c>
      <c r="Y51" s="214">
        <v>1114</v>
      </c>
      <c r="Z51" s="215">
        <v>1789</v>
      </c>
      <c r="AA51" s="216">
        <v>0</v>
      </c>
      <c r="AB51" s="216">
        <v>0</v>
      </c>
      <c r="AC51" s="216">
        <v>0</v>
      </c>
      <c r="AD51" s="217">
        <v>15.527950310559007</v>
      </c>
      <c r="AE51" s="217">
        <v>16.236700189476753</v>
      </c>
      <c r="AF51" s="217">
        <v>15.961812990720913</v>
      </c>
    </row>
    <row r="52" spans="1:32">
      <c r="A52" s="642" t="s">
        <v>3</v>
      </c>
      <c r="B52" s="642"/>
      <c r="C52" s="218">
        <f>SUM(C9:C51)</f>
        <v>10904655</v>
      </c>
      <c r="D52" s="218">
        <f t="shared" ref="D52:N52" si="4">SUM(D9:D51)</f>
        <v>8829960</v>
      </c>
      <c r="E52" s="218">
        <f t="shared" si="4"/>
        <v>19734615</v>
      </c>
      <c r="F52" s="218">
        <f t="shared" si="4"/>
        <v>7957567</v>
      </c>
      <c r="G52" s="218">
        <f t="shared" si="4"/>
        <v>6819335</v>
      </c>
      <c r="H52" s="218">
        <f t="shared" si="4"/>
        <v>14776902</v>
      </c>
      <c r="I52" s="218">
        <f t="shared" si="4"/>
        <v>300149</v>
      </c>
      <c r="J52" s="218">
        <f t="shared" si="4"/>
        <v>242437</v>
      </c>
      <c r="K52" s="218">
        <f t="shared" si="4"/>
        <v>542586</v>
      </c>
      <c r="L52" s="218">
        <f t="shared" si="4"/>
        <v>8257716</v>
      </c>
      <c r="M52" s="218">
        <f t="shared" si="4"/>
        <v>7061772</v>
      </c>
      <c r="N52" s="218">
        <f t="shared" si="4"/>
        <v>15319488</v>
      </c>
      <c r="O52" s="219">
        <f t="shared" si="1"/>
        <v>75.726522297129065</v>
      </c>
      <c r="P52" s="219">
        <f t="shared" si="1"/>
        <v>79.975130125164782</v>
      </c>
      <c r="Q52" s="219">
        <f t="shared" si="1"/>
        <v>77.627498686951839</v>
      </c>
      <c r="R52" s="218">
        <f t="shared" ref="R52:Z52" si="5">SUM(R9:R51)</f>
        <v>8257716</v>
      </c>
      <c r="S52" s="218">
        <f t="shared" si="5"/>
        <v>7061772</v>
      </c>
      <c r="T52" s="218">
        <f t="shared" si="5"/>
        <v>15319488</v>
      </c>
      <c r="U52" s="218">
        <f t="shared" si="5"/>
        <v>878119</v>
      </c>
      <c r="V52" s="218">
        <f t="shared" si="5"/>
        <v>955311</v>
      </c>
      <c r="W52" s="218">
        <f t="shared" si="5"/>
        <v>1833430</v>
      </c>
      <c r="X52" s="218">
        <f t="shared" si="5"/>
        <v>2100518</v>
      </c>
      <c r="Y52" s="218">
        <f t="shared" si="5"/>
        <v>1914948</v>
      </c>
      <c r="Z52" s="218">
        <f t="shared" si="5"/>
        <v>4015466</v>
      </c>
      <c r="AA52" s="220">
        <f>+U52/R52%</f>
        <v>10.633921050324327</v>
      </c>
      <c r="AB52" s="220">
        <f t="shared" ref="AB52:AC52" si="6">+V52/S52%</f>
        <v>13.527921887027789</v>
      </c>
      <c r="AC52" s="220">
        <f t="shared" si="6"/>
        <v>11.967958720291435</v>
      </c>
      <c r="AD52" s="220">
        <f>+X52/R52%</f>
        <v>25.437033678561964</v>
      </c>
      <c r="AE52" s="220">
        <f t="shared" ref="AE52:AF52" si="7">+Y52/S52%</f>
        <v>27.117103185999209</v>
      </c>
      <c r="AF52" s="220">
        <f t="shared" si="7"/>
        <v>26.211489574586302</v>
      </c>
    </row>
    <row r="53" spans="1:32">
      <c r="A53" s="305"/>
      <c r="B53" s="306"/>
      <c r="C53" s="308" t="s">
        <v>278</v>
      </c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7"/>
      <c r="P53" s="307"/>
      <c r="Q53" s="307"/>
      <c r="R53" s="308" t="s">
        <v>278</v>
      </c>
      <c r="S53" s="306"/>
      <c r="T53" s="306"/>
      <c r="U53" s="306"/>
      <c r="V53" s="306"/>
      <c r="W53" s="306"/>
      <c r="X53" s="306"/>
      <c r="Y53" s="306"/>
      <c r="Z53" s="307"/>
      <c r="AA53" s="306"/>
      <c r="AB53" s="306"/>
      <c r="AC53" s="306"/>
      <c r="AD53" s="306"/>
      <c r="AE53" s="306"/>
      <c r="AF53" s="306"/>
    </row>
    <row r="54" spans="1:32">
      <c r="A54" s="309"/>
      <c r="B54" s="310"/>
      <c r="C54" s="308" t="s">
        <v>248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1"/>
      <c r="P54" s="311"/>
      <c r="Q54" s="311"/>
      <c r="R54" s="308" t="s">
        <v>248</v>
      </c>
      <c r="S54" s="310"/>
      <c r="T54" s="310"/>
      <c r="U54" s="310"/>
      <c r="V54" s="310"/>
      <c r="W54" s="310"/>
      <c r="X54" s="310"/>
      <c r="Y54" s="310"/>
      <c r="Z54" s="311"/>
      <c r="AA54" s="310"/>
      <c r="AB54" s="310"/>
      <c r="AC54" s="310"/>
      <c r="AD54" s="310"/>
      <c r="AE54" s="310"/>
      <c r="AF54" s="310"/>
    </row>
    <row r="55" spans="1:32">
      <c r="A55" s="312"/>
      <c r="B55" s="310"/>
      <c r="C55" s="308" t="s">
        <v>228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1"/>
      <c r="P55" s="311"/>
      <c r="Q55" s="311"/>
      <c r="R55" s="308" t="s">
        <v>228</v>
      </c>
      <c r="S55" s="310"/>
      <c r="T55" s="310"/>
      <c r="U55" s="310"/>
      <c r="V55" s="310"/>
      <c r="W55" s="310"/>
      <c r="X55" s="310"/>
      <c r="Y55" s="310"/>
      <c r="Z55" s="311"/>
      <c r="AA55" s="310"/>
      <c r="AB55" s="310"/>
      <c r="AC55" s="310"/>
      <c r="AD55" s="310"/>
      <c r="AE55" s="310"/>
      <c r="AF55" s="310"/>
    </row>
    <row r="56" spans="1:32">
      <c r="A56" s="312"/>
      <c r="B56" s="310"/>
      <c r="C56" s="345" t="s">
        <v>312</v>
      </c>
      <c r="D56" s="145"/>
      <c r="E56" s="145"/>
      <c r="F56" s="145"/>
      <c r="G56" s="145"/>
      <c r="H56" s="310"/>
      <c r="I56" s="310"/>
      <c r="J56" s="310"/>
      <c r="K56" s="310"/>
      <c r="L56" s="310"/>
      <c r="M56" s="310"/>
      <c r="N56" s="310"/>
      <c r="O56" s="311"/>
      <c r="P56" s="311"/>
      <c r="Q56" s="311"/>
      <c r="R56" s="345" t="s">
        <v>312</v>
      </c>
      <c r="S56" s="145"/>
      <c r="T56" s="145"/>
      <c r="U56" s="145"/>
      <c r="V56" s="145"/>
      <c r="W56" s="310"/>
      <c r="X56" s="310"/>
      <c r="Y56" s="310"/>
      <c r="Z56" s="311"/>
      <c r="AA56" s="310"/>
      <c r="AB56" s="310"/>
      <c r="AC56" s="310"/>
      <c r="AD56" s="310"/>
      <c r="AE56" s="310"/>
      <c r="AF56" s="310"/>
    </row>
    <row r="57" spans="1:32">
      <c r="A57" s="312"/>
      <c r="B57" s="310"/>
      <c r="C57" s="200" t="s">
        <v>293</v>
      </c>
      <c r="D57" s="310"/>
      <c r="E57" s="310"/>
      <c r="F57" s="310"/>
      <c r="G57" s="310"/>
      <c r="H57" s="311"/>
      <c r="I57" s="310"/>
      <c r="J57" s="310"/>
      <c r="R57" s="200" t="s">
        <v>293</v>
      </c>
      <c r="S57" s="310"/>
      <c r="T57" s="310"/>
      <c r="U57" s="310"/>
      <c r="V57" s="310"/>
      <c r="W57" s="311"/>
      <c r="X57" s="310"/>
      <c r="Y57" s="310"/>
    </row>
    <row r="58" spans="1:32">
      <c r="A58" s="205"/>
      <c r="B58" s="145"/>
      <c r="C58" s="369" t="s">
        <v>333</v>
      </c>
      <c r="D58" s="369"/>
      <c r="E58" s="369"/>
      <c r="F58" s="370" t="s">
        <v>334</v>
      </c>
      <c r="G58" s="369"/>
      <c r="H58" s="369"/>
      <c r="I58" s="369"/>
      <c r="R58" s="369" t="s">
        <v>333</v>
      </c>
      <c r="S58" s="369"/>
      <c r="T58" s="369"/>
      <c r="U58" s="370" t="s">
        <v>334</v>
      </c>
      <c r="V58" s="369"/>
      <c r="W58" s="369"/>
      <c r="X58" s="369"/>
    </row>
    <row r="59" spans="1:32">
      <c r="A59" s="205"/>
    </row>
    <row r="60" spans="1:32">
      <c r="A60" s="205"/>
    </row>
    <row r="61" spans="1:32">
      <c r="A61" s="205"/>
    </row>
    <row r="62" spans="1:32">
      <c r="A62" s="205"/>
    </row>
    <row r="63" spans="1:32">
      <c r="A63" s="205"/>
    </row>
    <row r="64" spans="1:32">
      <c r="A64" s="205"/>
    </row>
    <row r="65" spans="1:2">
      <c r="A65" s="205"/>
    </row>
    <row r="66" spans="1:2">
      <c r="A66" s="205"/>
    </row>
    <row r="67" spans="1:2">
      <c r="A67" s="205"/>
      <c r="B67" s="145"/>
    </row>
    <row r="68" spans="1:2">
      <c r="A68" s="205"/>
      <c r="B68" s="145"/>
    </row>
    <row r="69" spans="1:2">
      <c r="A69" s="205"/>
      <c r="B69" s="145"/>
    </row>
    <row r="70" spans="1:2">
      <c r="A70" s="205"/>
      <c r="B70" s="145"/>
    </row>
    <row r="71" spans="1:2">
      <c r="A71" s="205"/>
      <c r="B71" s="145"/>
    </row>
    <row r="72" spans="1:2">
      <c r="A72" s="205"/>
      <c r="B72" s="145"/>
    </row>
    <row r="73" spans="1:2">
      <c r="A73" s="205"/>
      <c r="B73" s="145"/>
    </row>
    <row r="74" spans="1:2">
      <c r="A74" s="205"/>
      <c r="B74" s="145"/>
    </row>
    <row r="75" spans="1:2">
      <c r="A75" s="205"/>
      <c r="B75" s="145"/>
    </row>
    <row r="76" spans="1:2">
      <c r="A76" s="205"/>
      <c r="B76" s="145"/>
    </row>
    <row r="77" spans="1:2">
      <c r="A77" s="205"/>
      <c r="B77" s="145"/>
    </row>
    <row r="78" spans="1:2">
      <c r="A78" s="205"/>
      <c r="B78" s="145"/>
    </row>
    <row r="79" spans="1:2">
      <c r="A79" s="205"/>
      <c r="B79" s="145"/>
    </row>
    <row r="80" spans="1:2">
      <c r="A80" s="205"/>
      <c r="B80" s="145"/>
    </row>
    <row r="81" spans="1:2">
      <c r="A81" s="205"/>
      <c r="B81" s="145"/>
    </row>
    <row r="82" spans="1:2">
      <c r="A82" s="205"/>
      <c r="B82" s="145"/>
    </row>
    <row r="83" spans="1:2">
      <c r="A83" s="205"/>
      <c r="B83" s="145"/>
    </row>
    <row r="84" spans="1:2">
      <c r="A84" s="205"/>
      <c r="B84" s="145"/>
    </row>
    <row r="85" spans="1:2">
      <c r="A85" s="205"/>
      <c r="B85" s="145"/>
    </row>
    <row r="86" spans="1:2">
      <c r="A86" s="205"/>
      <c r="B86" s="145"/>
    </row>
    <row r="87" spans="1:2">
      <c r="A87" s="205"/>
      <c r="B87" s="145"/>
    </row>
    <row r="88" spans="1:2">
      <c r="A88" s="205"/>
      <c r="B88" s="145"/>
    </row>
    <row r="89" spans="1:2">
      <c r="A89" s="205"/>
      <c r="B89" s="145"/>
    </row>
    <row r="90" spans="1:2">
      <c r="A90" s="205"/>
      <c r="B90" s="145"/>
    </row>
    <row r="91" spans="1:2">
      <c r="A91" s="205"/>
      <c r="B91" s="145"/>
    </row>
    <row r="92" spans="1:2">
      <c r="A92" s="205"/>
      <c r="B92" s="145"/>
    </row>
    <row r="93" spans="1:2">
      <c r="A93" s="205"/>
      <c r="B93" s="145"/>
    </row>
    <row r="94" spans="1:2">
      <c r="A94" s="205"/>
      <c r="B94" s="145"/>
    </row>
  </sheetData>
  <mergeCells count="40">
    <mergeCell ref="A52:B52"/>
    <mergeCell ref="C45:D45"/>
    <mergeCell ref="E45:F45"/>
    <mergeCell ref="G45:H45"/>
    <mergeCell ref="I45:J45"/>
    <mergeCell ref="A45:B45"/>
    <mergeCell ref="AA45:AB45"/>
    <mergeCell ref="A11:B11"/>
    <mergeCell ref="C11:Q11"/>
    <mergeCell ref="R8:AF8"/>
    <mergeCell ref="A8:B8"/>
    <mergeCell ref="C8:Q8"/>
    <mergeCell ref="AC45:AD45"/>
    <mergeCell ref="AE45:AF45"/>
    <mergeCell ref="K45:L45"/>
    <mergeCell ref="M45:N45"/>
    <mergeCell ref="O45:P45"/>
    <mergeCell ref="Q45:R45"/>
    <mergeCell ref="S45:T45"/>
    <mergeCell ref="U45:V45"/>
    <mergeCell ref="W45:X45"/>
    <mergeCell ref="Y45:Z45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hyperlinks>
    <hyperlink ref="F58" r:id="rId1"/>
    <hyperlink ref="U58" r:id="rId2"/>
  </hyperlinks>
  <pageMargins left="0.70866141732283472" right="0.70866141732283472" top="0.74803149606299213" bottom="0.74803149606299213" header="0.31496062992125984" footer="0.31496062992125984"/>
  <pageSetup paperSize="9" scale="65" firstPageNumber="77" orientation="landscape" useFirstPageNumber="1" r:id="rId3"/>
  <headerFooter>
    <oddFooter>Page &amp;P</oddFooter>
  </headerFooter>
  <rowBreaks count="1" manualBreakCount="1">
    <brk id="34" max="16383" man="1"/>
  </rowBreaks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93"/>
  <sheetViews>
    <sheetView view="pageBreakPreview" zoomScale="60" workbookViewId="0">
      <selection activeCell="S9" sqref="S9"/>
    </sheetView>
  </sheetViews>
  <sheetFormatPr defaultRowHeight="15"/>
  <cols>
    <col min="2" max="2" width="37.42578125" customWidth="1"/>
    <col min="3" max="3" width="12.140625" customWidth="1"/>
    <col min="4" max="4" width="10.28515625" bestFit="1" customWidth="1"/>
    <col min="5" max="5" width="11.5703125" bestFit="1" customWidth="1"/>
    <col min="6" max="7" width="10.28515625" bestFit="1" customWidth="1"/>
    <col min="8" max="8" width="11.5703125" bestFit="1" customWidth="1"/>
    <col min="12" max="13" width="10.28515625" bestFit="1" customWidth="1"/>
    <col min="14" max="14" width="11.5703125" bestFit="1" customWidth="1"/>
  </cols>
  <sheetData>
    <row r="1" spans="1:32" ht="18" customHeight="1">
      <c r="A1" s="145"/>
      <c r="B1" s="164"/>
      <c r="C1" s="596" t="s">
        <v>297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158" t="s">
        <v>297</v>
      </c>
      <c r="S1" s="158"/>
      <c r="T1" s="158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.75" customHeight="1">
      <c r="A2" s="165"/>
      <c r="B2" s="166"/>
      <c r="C2" s="598" t="s">
        <v>342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259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" customHeight="1">
      <c r="A3" s="604" t="s">
        <v>192</v>
      </c>
      <c r="B3" s="600" t="s">
        <v>42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 t="s">
        <v>189</v>
      </c>
      <c r="P3" s="600"/>
      <c r="Q3" s="600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195</v>
      </c>
      <c r="AB3" s="564"/>
      <c r="AC3" s="564"/>
      <c r="AD3" s="564"/>
      <c r="AE3" s="564"/>
      <c r="AF3" s="565"/>
    </row>
    <row r="4" spans="1:32">
      <c r="A4" s="604"/>
      <c r="B4" s="600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04"/>
      <c r="B5" s="600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262</v>
      </c>
      <c r="M5" s="600"/>
      <c r="N5" s="600"/>
      <c r="O5" s="600"/>
      <c r="P5" s="600"/>
      <c r="Q5" s="600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04"/>
      <c r="B6" s="600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159" t="s">
        <v>43</v>
      </c>
      <c r="P6" s="159" t="s">
        <v>44</v>
      </c>
      <c r="Q6" s="159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159" t="s">
        <v>3</v>
      </c>
      <c r="X6" s="159" t="s">
        <v>43</v>
      </c>
      <c r="Y6" s="159" t="s">
        <v>44</v>
      </c>
      <c r="Z6" s="159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78">
        <v>8</v>
      </c>
      <c r="X7" s="78">
        <v>9</v>
      </c>
      <c r="Y7" s="78">
        <v>10</v>
      </c>
      <c r="Z7" s="78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03" t="s">
        <v>216</v>
      </c>
      <c r="B8" s="603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6"/>
      <c r="S8" s="637"/>
      <c r="T8" s="637"/>
      <c r="U8" s="637"/>
      <c r="V8" s="637"/>
      <c r="W8" s="637"/>
      <c r="X8" s="637"/>
      <c r="Y8" s="637"/>
      <c r="Z8" s="637"/>
      <c r="AA8" s="637"/>
      <c r="AB8" s="637"/>
      <c r="AC8" s="637"/>
      <c r="AD8" s="637"/>
      <c r="AE8" s="637"/>
      <c r="AF8" s="638"/>
    </row>
    <row r="9" spans="1:32" ht="28.5">
      <c r="A9" s="167">
        <v>1</v>
      </c>
      <c r="B9" s="27" t="s">
        <v>143</v>
      </c>
      <c r="C9" s="171">
        <v>695970</v>
      </c>
      <c r="D9" s="171">
        <v>479848</v>
      </c>
      <c r="E9" s="171">
        <v>1175818</v>
      </c>
      <c r="F9" s="171">
        <v>681927</v>
      </c>
      <c r="G9" s="171">
        <v>472562</v>
      </c>
      <c r="H9" s="171">
        <v>1154489</v>
      </c>
      <c r="I9" s="171">
        <v>2722</v>
      </c>
      <c r="J9" s="171">
        <v>1396</v>
      </c>
      <c r="K9" s="171">
        <v>4118</v>
      </c>
      <c r="L9" s="170">
        <v>684649</v>
      </c>
      <c r="M9" s="170">
        <v>473958</v>
      </c>
      <c r="N9" s="170">
        <v>1158607</v>
      </c>
      <c r="O9" s="315">
        <v>98.373349425981004</v>
      </c>
      <c r="P9" s="315">
        <v>98.772527967189603</v>
      </c>
      <c r="Q9" s="315">
        <v>98.536253059572147</v>
      </c>
      <c r="R9" s="215">
        <f t="shared" ref="R9:T10" si="0">L9</f>
        <v>684649</v>
      </c>
      <c r="S9" s="215">
        <f t="shared" si="0"/>
        <v>473958</v>
      </c>
      <c r="T9" s="215">
        <f t="shared" si="0"/>
        <v>1158607</v>
      </c>
      <c r="U9" s="186"/>
      <c r="V9" s="186"/>
      <c r="W9" s="186">
        <f>U9+V9</f>
        <v>0</v>
      </c>
      <c r="X9" s="186"/>
      <c r="Y9" s="186"/>
      <c r="Z9" s="186">
        <f>X9+Y9</f>
        <v>0</v>
      </c>
      <c r="AA9" s="316">
        <f t="shared" ref="AA9:AC10" si="1">U9/R9%</f>
        <v>0</v>
      </c>
      <c r="AB9" s="316">
        <f t="shared" si="1"/>
        <v>0</v>
      </c>
      <c r="AC9" s="316">
        <f t="shared" si="1"/>
        <v>0</v>
      </c>
      <c r="AD9" s="316">
        <f t="shared" ref="AD9:AF10" si="2">X9/R9%</f>
        <v>0</v>
      </c>
      <c r="AE9" s="316">
        <f t="shared" si="2"/>
        <v>0</v>
      </c>
      <c r="AF9" s="316">
        <f t="shared" si="2"/>
        <v>0</v>
      </c>
    </row>
    <row r="10" spans="1:32" ht="28.5">
      <c r="A10" s="167">
        <v>2</v>
      </c>
      <c r="B10" s="27" t="s">
        <v>231</v>
      </c>
      <c r="C10" s="171">
        <v>73718</v>
      </c>
      <c r="D10" s="171">
        <v>58563</v>
      </c>
      <c r="E10" s="171">
        <v>132281</v>
      </c>
      <c r="F10" s="171">
        <v>72382</v>
      </c>
      <c r="G10" s="171">
        <v>58068</v>
      </c>
      <c r="H10" s="171">
        <v>130450</v>
      </c>
      <c r="I10" s="177">
        <v>0</v>
      </c>
      <c r="J10" s="177">
        <v>0</v>
      </c>
      <c r="K10" s="177">
        <v>0</v>
      </c>
      <c r="L10" s="170">
        <v>72382</v>
      </c>
      <c r="M10" s="170">
        <v>58068</v>
      </c>
      <c r="N10" s="170">
        <v>130450</v>
      </c>
      <c r="O10" s="315">
        <v>98.187688217260373</v>
      </c>
      <c r="P10" s="315">
        <v>99.154756416167203</v>
      </c>
      <c r="Q10" s="315">
        <v>98.615825401985163</v>
      </c>
      <c r="R10" s="215">
        <f t="shared" si="0"/>
        <v>72382</v>
      </c>
      <c r="S10" s="215">
        <f t="shared" si="0"/>
        <v>58068</v>
      </c>
      <c r="T10" s="215">
        <f t="shared" si="0"/>
        <v>130450</v>
      </c>
      <c r="U10" s="215">
        <v>41190</v>
      </c>
      <c r="V10" s="215">
        <v>38405</v>
      </c>
      <c r="W10" s="215">
        <f>U10+V10</f>
        <v>79595</v>
      </c>
      <c r="X10" s="215">
        <v>21996</v>
      </c>
      <c r="Y10" s="215">
        <v>15135</v>
      </c>
      <c r="Z10" s="215">
        <f>X10+Y10</f>
        <v>37131</v>
      </c>
      <c r="AA10" s="313">
        <f t="shared" si="1"/>
        <v>56.906413196651094</v>
      </c>
      <c r="AB10" s="313">
        <f t="shared" si="1"/>
        <v>66.137976165874491</v>
      </c>
      <c r="AC10" s="313">
        <f t="shared" si="1"/>
        <v>61.015714833269449</v>
      </c>
      <c r="AD10" s="313">
        <f t="shared" si="2"/>
        <v>30.388770688845291</v>
      </c>
      <c r="AE10" s="313">
        <f t="shared" si="2"/>
        <v>26.064269477164707</v>
      </c>
      <c r="AF10" s="313">
        <f t="shared" si="2"/>
        <v>28.463779225756994</v>
      </c>
    </row>
    <row r="11" spans="1:32">
      <c r="A11" s="317" t="s">
        <v>217</v>
      </c>
      <c r="B11" s="31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319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1"/>
    </row>
    <row r="12" spans="1:32" ht="28.5">
      <c r="A12" s="167">
        <v>3</v>
      </c>
      <c r="B12" s="27" t="s">
        <v>263</v>
      </c>
      <c r="C12" s="171">
        <v>688862</v>
      </c>
      <c r="D12" s="171">
        <v>585184</v>
      </c>
      <c r="E12" s="171">
        <v>1274046</v>
      </c>
      <c r="F12" s="171">
        <v>531341</v>
      </c>
      <c r="G12" s="171">
        <v>493083</v>
      </c>
      <c r="H12" s="171">
        <v>1024424</v>
      </c>
      <c r="I12" s="177">
        <v>0</v>
      </c>
      <c r="J12" s="177">
        <v>0</v>
      </c>
      <c r="K12" s="177">
        <v>0</v>
      </c>
      <c r="L12" s="170">
        <v>531341</v>
      </c>
      <c r="M12" s="170">
        <v>493083</v>
      </c>
      <c r="N12" s="171">
        <v>1024424</v>
      </c>
      <c r="O12" s="315">
        <v>77.133155842534492</v>
      </c>
      <c r="P12" s="315">
        <v>84.261189642915738</v>
      </c>
      <c r="Q12" s="315">
        <v>80.407143855088435</v>
      </c>
      <c r="R12" s="215">
        <f t="shared" ref="R12:T27" si="3">L12</f>
        <v>531341</v>
      </c>
      <c r="S12" s="215">
        <f t="shared" si="3"/>
        <v>493083</v>
      </c>
      <c r="T12" s="215">
        <f t="shared" si="3"/>
        <v>1024424</v>
      </c>
      <c r="U12" s="171">
        <v>209747</v>
      </c>
      <c r="V12" s="171">
        <v>213780</v>
      </c>
      <c r="W12" s="215">
        <f t="shared" ref="W12:W43" si="4">U12+V12</f>
        <v>423527</v>
      </c>
      <c r="X12" s="215">
        <v>257854</v>
      </c>
      <c r="Y12" s="215">
        <v>240946</v>
      </c>
      <c r="Z12" s="215">
        <f t="shared" ref="Z12:Z43" si="5">X12+Y12</f>
        <v>498800</v>
      </c>
      <c r="AA12" s="313">
        <f t="shared" ref="AA12:AC43" si="6">U12/R12%</f>
        <v>39.475026395478608</v>
      </c>
      <c r="AB12" s="313">
        <f t="shared" si="6"/>
        <v>43.355783914675627</v>
      </c>
      <c r="AC12" s="313">
        <f t="shared" si="6"/>
        <v>41.342940032642737</v>
      </c>
      <c r="AD12" s="313">
        <f t="shared" ref="AD12:AF43" si="7">X12/R12%</f>
        <v>48.528910812453773</v>
      </c>
      <c r="AE12" s="313">
        <f t="shared" si="7"/>
        <v>48.865201193308224</v>
      </c>
      <c r="AF12" s="313">
        <f t="shared" si="7"/>
        <v>48.690776475365666</v>
      </c>
    </row>
    <row r="13" spans="1:32">
      <c r="A13" s="167">
        <v>4</v>
      </c>
      <c r="B13" s="27" t="s">
        <v>135</v>
      </c>
      <c r="C13" s="171">
        <v>5110</v>
      </c>
      <c r="D13" s="171">
        <v>2497</v>
      </c>
      <c r="E13" s="171">
        <v>7607</v>
      </c>
      <c r="F13" s="171">
        <v>3170</v>
      </c>
      <c r="G13" s="171">
        <v>1645</v>
      </c>
      <c r="H13" s="171">
        <v>4815</v>
      </c>
      <c r="I13" s="177">
        <v>0</v>
      </c>
      <c r="J13" s="177">
        <v>0</v>
      </c>
      <c r="K13" s="177">
        <v>0</v>
      </c>
      <c r="L13" s="170">
        <v>3170</v>
      </c>
      <c r="M13" s="170">
        <v>1645</v>
      </c>
      <c r="N13" s="171">
        <v>4815</v>
      </c>
      <c r="O13" s="315">
        <v>62.035225048923678</v>
      </c>
      <c r="P13" s="315">
        <v>65.879054865839009</v>
      </c>
      <c r="Q13" s="315">
        <v>63.296963323254893</v>
      </c>
      <c r="R13" s="215">
        <f t="shared" si="3"/>
        <v>3170</v>
      </c>
      <c r="S13" s="215">
        <f t="shared" si="3"/>
        <v>1645</v>
      </c>
      <c r="T13" s="215">
        <f t="shared" si="3"/>
        <v>4815</v>
      </c>
      <c r="U13" s="177"/>
      <c r="V13" s="177"/>
      <c r="W13" s="177">
        <f>U13+V13</f>
        <v>0</v>
      </c>
      <c r="X13" s="177"/>
      <c r="Y13" s="177"/>
      <c r="Z13" s="177">
        <f>X13+Y13</f>
        <v>0</v>
      </c>
      <c r="AA13" s="216">
        <f>U13/R13%</f>
        <v>0</v>
      </c>
      <c r="AB13" s="216">
        <f>V13/S13%</f>
        <v>0</v>
      </c>
      <c r="AC13" s="216">
        <f>W13/T13%</f>
        <v>0</v>
      </c>
      <c r="AD13" s="216">
        <f>X13/R13%</f>
        <v>0</v>
      </c>
      <c r="AE13" s="216">
        <f>Y13/S13%</f>
        <v>0</v>
      </c>
      <c r="AF13" s="216">
        <f>Z13/T13%</f>
        <v>0</v>
      </c>
    </row>
    <row r="14" spans="1:32">
      <c r="A14" s="167">
        <v>5</v>
      </c>
      <c r="B14" s="27" t="s">
        <v>264</v>
      </c>
      <c r="C14" s="171">
        <v>177885</v>
      </c>
      <c r="D14" s="171">
        <v>193753</v>
      </c>
      <c r="E14" s="171">
        <v>371638</v>
      </c>
      <c r="F14" s="171">
        <v>117281</v>
      </c>
      <c r="G14" s="171">
        <v>115631</v>
      </c>
      <c r="H14" s="171">
        <v>232912</v>
      </c>
      <c r="I14" s="177">
        <v>0</v>
      </c>
      <c r="J14" s="177">
        <v>0</v>
      </c>
      <c r="K14" s="177">
        <v>0</v>
      </c>
      <c r="L14" s="170">
        <v>117281</v>
      </c>
      <c r="M14" s="170">
        <v>115631</v>
      </c>
      <c r="N14" s="171">
        <v>232912</v>
      </c>
      <c r="O14" s="315">
        <v>65.930797987463805</v>
      </c>
      <c r="P14" s="315">
        <v>59.679592057929419</v>
      </c>
      <c r="Q14" s="315">
        <v>62.671739703690157</v>
      </c>
      <c r="R14" s="215">
        <f t="shared" si="3"/>
        <v>117281</v>
      </c>
      <c r="S14" s="215">
        <f t="shared" si="3"/>
        <v>115631</v>
      </c>
      <c r="T14" s="215">
        <f t="shared" si="3"/>
        <v>232912</v>
      </c>
      <c r="U14" s="251">
        <v>3982</v>
      </c>
      <c r="V14" s="251">
        <v>3059</v>
      </c>
      <c r="W14" s="215">
        <f>U14+V14</f>
        <v>7041</v>
      </c>
      <c r="X14" s="215">
        <v>14911</v>
      </c>
      <c r="Y14" s="215">
        <v>12510</v>
      </c>
      <c r="Z14" s="215">
        <f>X14+Y14</f>
        <v>27421</v>
      </c>
      <c r="AA14" s="313">
        <f t="shared" si="6"/>
        <v>3.3952643650719216</v>
      </c>
      <c r="AB14" s="313">
        <f t="shared" si="6"/>
        <v>2.6454843424341226</v>
      </c>
      <c r="AC14" s="313">
        <f t="shared" si="6"/>
        <v>3.023030157312633</v>
      </c>
      <c r="AD14" s="313">
        <f t="shared" si="7"/>
        <v>12.713909328876801</v>
      </c>
      <c r="AE14" s="313">
        <f t="shared" si="7"/>
        <v>10.818898046371649</v>
      </c>
      <c r="AF14" s="313">
        <f t="shared" si="7"/>
        <v>11.773116026653843</v>
      </c>
    </row>
    <row r="15" spans="1:32">
      <c r="A15" s="167">
        <v>6</v>
      </c>
      <c r="B15" s="27" t="s">
        <v>266</v>
      </c>
      <c r="C15" s="171">
        <v>15</v>
      </c>
      <c r="D15" s="171">
        <v>162</v>
      </c>
      <c r="E15" s="171">
        <v>177</v>
      </c>
      <c r="F15" s="171">
        <v>12</v>
      </c>
      <c r="G15" s="171">
        <v>158</v>
      </c>
      <c r="H15" s="171">
        <v>170</v>
      </c>
      <c r="I15" s="171">
        <v>3</v>
      </c>
      <c r="J15" s="171">
        <v>4</v>
      </c>
      <c r="K15" s="171">
        <v>7</v>
      </c>
      <c r="L15" s="170">
        <v>15</v>
      </c>
      <c r="M15" s="170">
        <v>162</v>
      </c>
      <c r="N15" s="171">
        <v>177</v>
      </c>
      <c r="O15" s="315">
        <v>100</v>
      </c>
      <c r="P15" s="315">
        <v>100</v>
      </c>
      <c r="Q15" s="315">
        <v>100</v>
      </c>
      <c r="R15" s="215">
        <f t="shared" si="3"/>
        <v>15</v>
      </c>
      <c r="S15" s="215">
        <f t="shared" si="3"/>
        <v>162</v>
      </c>
      <c r="T15" s="215">
        <f t="shared" si="3"/>
        <v>177</v>
      </c>
      <c r="U15" s="251">
        <v>4</v>
      </c>
      <c r="V15" s="251">
        <v>40</v>
      </c>
      <c r="W15" s="215">
        <f t="shared" si="4"/>
        <v>44</v>
      </c>
      <c r="X15" s="215">
        <v>2</v>
      </c>
      <c r="Y15" s="215">
        <v>59</v>
      </c>
      <c r="Z15" s="215">
        <f t="shared" si="5"/>
        <v>61</v>
      </c>
      <c r="AA15" s="313">
        <f t="shared" si="6"/>
        <v>26.666666666666668</v>
      </c>
      <c r="AB15" s="313">
        <f t="shared" si="6"/>
        <v>24.691358024691358</v>
      </c>
      <c r="AC15" s="313">
        <f t="shared" si="6"/>
        <v>24.858757062146893</v>
      </c>
      <c r="AD15" s="313">
        <f t="shared" si="7"/>
        <v>13.333333333333334</v>
      </c>
      <c r="AE15" s="313">
        <f t="shared" si="7"/>
        <v>36.419753086419753</v>
      </c>
      <c r="AF15" s="313">
        <f t="shared" si="7"/>
        <v>34.463276836158194</v>
      </c>
    </row>
    <row r="16" spans="1:32">
      <c r="A16" s="167">
        <v>7</v>
      </c>
      <c r="B16" s="27" t="s">
        <v>138</v>
      </c>
      <c r="C16" s="171">
        <v>609337</v>
      </c>
      <c r="D16" s="171">
        <v>491184</v>
      </c>
      <c r="E16" s="171">
        <v>1100521</v>
      </c>
      <c r="F16" s="171">
        <v>456492</v>
      </c>
      <c r="G16" s="171">
        <v>333875</v>
      </c>
      <c r="H16" s="171">
        <v>790367</v>
      </c>
      <c r="I16" s="171">
        <v>19685</v>
      </c>
      <c r="J16" s="171">
        <v>25203</v>
      </c>
      <c r="K16" s="171">
        <v>44888</v>
      </c>
      <c r="L16" s="170">
        <v>476177</v>
      </c>
      <c r="M16" s="170">
        <v>359078</v>
      </c>
      <c r="N16" s="171">
        <v>835255</v>
      </c>
      <c r="O16" s="315">
        <v>78.14673981721117</v>
      </c>
      <c r="P16" s="315">
        <v>73.10457995374442</v>
      </c>
      <c r="Q16" s="315">
        <v>75.896325467664866</v>
      </c>
      <c r="R16" s="215">
        <f t="shared" si="3"/>
        <v>476177</v>
      </c>
      <c r="S16" s="215">
        <f t="shared" si="3"/>
        <v>359078</v>
      </c>
      <c r="T16" s="215">
        <f t="shared" si="3"/>
        <v>835255</v>
      </c>
      <c r="U16" s="251">
        <v>14607</v>
      </c>
      <c r="V16" s="251">
        <v>6181</v>
      </c>
      <c r="W16" s="215">
        <f t="shared" si="4"/>
        <v>20788</v>
      </c>
      <c r="X16" s="215">
        <v>130162</v>
      </c>
      <c r="Y16" s="215">
        <v>71852</v>
      </c>
      <c r="Z16" s="215">
        <f t="shared" si="5"/>
        <v>202014</v>
      </c>
      <c r="AA16" s="313">
        <f t="shared" si="6"/>
        <v>3.0675568118577754</v>
      </c>
      <c r="AB16" s="313">
        <f t="shared" si="6"/>
        <v>1.7213530207921397</v>
      </c>
      <c r="AC16" s="313">
        <f t="shared" si="6"/>
        <v>2.4888207792829737</v>
      </c>
      <c r="AD16" s="313">
        <f t="shared" si="7"/>
        <v>27.334793574658161</v>
      </c>
      <c r="AE16" s="313">
        <f t="shared" si="7"/>
        <v>20.010137073282127</v>
      </c>
      <c r="AF16" s="313">
        <f t="shared" si="7"/>
        <v>24.18590729777134</v>
      </c>
    </row>
    <row r="17" spans="1:32">
      <c r="A17" s="167">
        <v>8</v>
      </c>
      <c r="B17" s="27" t="s">
        <v>267</v>
      </c>
      <c r="C17" s="171">
        <v>26167</v>
      </c>
      <c r="D17" s="171">
        <v>44631</v>
      </c>
      <c r="E17" s="171">
        <v>70798</v>
      </c>
      <c r="F17" s="171">
        <v>22992</v>
      </c>
      <c r="G17" s="171">
        <v>40457</v>
      </c>
      <c r="H17" s="171">
        <v>63449</v>
      </c>
      <c r="I17" s="177">
        <v>0</v>
      </c>
      <c r="J17" s="177">
        <v>0</v>
      </c>
      <c r="K17" s="177">
        <v>0</v>
      </c>
      <c r="L17" s="170">
        <v>22992</v>
      </c>
      <c r="M17" s="170">
        <v>40457</v>
      </c>
      <c r="N17" s="171">
        <v>63449</v>
      </c>
      <c r="O17" s="315">
        <v>87.86639660641265</v>
      </c>
      <c r="P17" s="315">
        <v>90.647756044005291</v>
      </c>
      <c r="Q17" s="315">
        <v>89.61976327014888</v>
      </c>
      <c r="R17" s="215">
        <f t="shared" si="3"/>
        <v>22992</v>
      </c>
      <c r="S17" s="215">
        <f t="shared" si="3"/>
        <v>40457</v>
      </c>
      <c r="T17" s="215">
        <f t="shared" si="3"/>
        <v>63449</v>
      </c>
      <c r="U17" s="177"/>
      <c r="V17" s="177"/>
      <c r="W17" s="177">
        <f t="shared" si="4"/>
        <v>0</v>
      </c>
      <c r="X17" s="215">
        <v>11140</v>
      </c>
      <c r="Y17" s="215">
        <v>18178</v>
      </c>
      <c r="Z17" s="215">
        <f t="shared" si="5"/>
        <v>29318</v>
      </c>
      <c r="AA17" s="216">
        <f t="shared" si="6"/>
        <v>0</v>
      </c>
      <c r="AB17" s="216">
        <f t="shared" si="6"/>
        <v>0</v>
      </c>
      <c r="AC17" s="216">
        <f t="shared" si="6"/>
        <v>0</v>
      </c>
      <c r="AD17" s="313">
        <f t="shared" si="7"/>
        <v>48.451635351426589</v>
      </c>
      <c r="AE17" s="313">
        <f t="shared" si="7"/>
        <v>44.931655832118054</v>
      </c>
      <c r="AF17" s="313">
        <f t="shared" si="7"/>
        <v>46.207190026635566</v>
      </c>
    </row>
    <row r="18" spans="1:32" ht="28.5">
      <c r="A18" s="167">
        <v>9</v>
      </c>
      <c r="B18" s="27" t="s">
        <v>145</v>
      </c>
      <c r="C18" s="171">
        <v>215153</v>
      </c>
      <c r="D18" s="171">
        <v>214554</v>
      </c>
      <c r="E18" s="171">
        <v>429707</v>
      </c>
      <c r="F18" s="171">
        <v>118112</v>
      </c>
      <c r="G18" s="171">
        <v>117846</v>
      </c>
      <c r="H18" s="171">
        <v>235958</v>
      </c>
      <c r="I18" s="177">
        <v>0</v>
      </c>
      <c r="J18" s="177">
        <v>0</v>
      </c>
      <c r="K18" s="177">
        <v>0</v>
      </c>
      <c r="L18" s="171">
        <v>118112</v>
      </c>
      <c r="M18" s="171">
        <v>117846</v>
      </c>
      <c r="N18" s="171">
        <v>235958</v>
      </c>
      <c r="O18" s="315">
        <v>54.896747895683539</v>
      </c>
      <c r="P18" s="315">
        <v>54.926032607175813</v>
      </c>
      <c r="Q18" s="315">
        <v>54.911369840379606</v>
      </c>
      <c r="R18" s="215">
        <f t="shared" si="3"/>
        <v>118112</v>
      </c>
      <c r="S18" s="215">
        <f t="shared" si="3"/>
        <v>117846</v>
      </c>
      <c r="T18" s="215">
        <f t="shared" si="3"/>
        <v>235958</v>
      </c>
      <c r="U18" s="177"/>
      <c r="V18" s="177"/>
      <c r="W18" s="177"/>
      <c r="X18" s="177"/>
      <c r="Y18" s="177"/>
      <c r="Z18" s="177"/>
      <c r="AA18" s="216"/>
      <c r="AB18" s="216"/>
      <c r="AC18" s="216"/>
      <c r="AD18" s="216"/>
      <c r="AE18" s="216"/>
      <c r="AF18" s="216"/>
    </row>
    <row r="19" spans="1:32">
      <c r="A19" s="167">
        <v>10</v>
      </c>
      <c r="B19" s="27" t="s">
        <v>298</v>
      </c>
      <c r="C19" s="171">
        <v>277</v>
      </c>
      <c r="D19" s="171">
        <v>193</v>
      </c>
      <c r="E19" s="171">
        <v>470</v>
      </c>
      <c r="F19" s="171">
        <v>93</v>
      </c>
      <c r="G19" s="171">
        <v>93</v>
      </c>
      <c r="H19" s="171">
        <v>186</v>
      </c>
      <c r="I19" s="171">
        <v>42</v>
      </c>
      <c r="J19" s="171">
        <v>33</v>
      </c>
      <c r="K19" s="171">
        <v>75</v>
      </c>
      <c r="L19" s="171">
        <v>135</v>
      </c>
      <c r="M19" s="171">
        <v>126</v>
      </c>
      <c r="N19" s="171">
        <v>261</v>
      </c>
      <c r="O19" s="315">
        <v>48.736462093862812</v>
      </c>
      <c r="P19" s="315">
        <v>65.284974093264253</v>
      </c>
      <c r="Q19" s="315">
        <v>55.531914893617021</v>
      </c>
      <c r="R19" s="215">
        <f>L19</f>
        <v>135</v>
      </c>
      <c r="S19" s="215">
        <f>M19</f>
        <v>126</v>
      </c>
      <c r="T19" s="215">
        <f>N19</f>
        <v>261</v>
      </c>
      <c r="U19" s="177"/>
      <c r="V19" s="177"/>
      <c r="W19" s="177"/>
      <c r="X19" s="177"/>
      <c r="Y19" s="177"/>
      <c r="Z19" s="177"/>
      <c r="AA19" s="216"/>
      <c r="AB19" s="216"/>
      <c r="AC19" s="216"/>
      <c r="AD19" s="216"/>
      <c r="AE19" s="216"/>
      <c r="AF19" s="216"/>
    </row>
    <row r="20" spans="1:32">
      <c r="A20" s="167">
        <v>11</v>
      </c>
      <c r="B20" s="27" t="s">
        <v>144</v>
      </c>
      <c r="C20" s="171">
        <v>342</v>
      </c>
      <c r="D20" s="171">
        <v>207</v>
      </c>
      <c r="E20" s="171">
        <v>549</v>
      </c>
      <c r="F20" s="171">
        <v>298</v>
      </c>
      <c r="G20" s="171">
        <v>174</v>
      </c>
      <c r="H20" s="171">
        <v>472</v>
      </c>
      <c r="I20" s="171">
        <v>18</v>
      </c>
      <c r="J20" s="171">
        <v>20</v>
      </c>
      <c r="K20" s="171">
        <v>38</v>
      </c>
      <c r="L20" s="170">
        <v>316</v>
      </c>
      <c r="M20" s="170">
        <v>194</v>
      </c>
      <c r="N20" s="171">
        <v>510</v>
      </c>
      <c r="O20" s="315">
        <v>92.397660818713447</v>
      </c>
      <c r="P20" s="315">
        <v>93.719806763285035</v>
      </c>
      <c r="Q20" s="315">
        <v>92.896174863387984</v>
      </c>
      <c r="R20" s="215">
        <f t="shared" si="3"/>
        <v>316</v>
      </c>
      <c r="S20" s="215">
        <f t="shared" si="3"/>
        <v>194</v>
      </c>
      <c r="T20" s="215">
        <f t="shared" si="3"/>
        <v>510</v>
      </c>
      <c r="U20" s="177"/>
      <c r="V20" s="177"/>
      <c r="W20" s="177">
        <f t="shared" si="4"/>
        <v>0</v>
      </c>
      <c r="X20" s="228">
        <v>80</v>
      </c>
      <c r="Y20" s="228">
        <v>49</v>
      </c>
      <c r="Z20" s="215">
        <f>X20+Y20</f>
        <v>129</v>
      </c>
      <c r="AA20" s="216">
        <f t="shared" si="6"/>
        <v>0</v>
      </c>
      <c r="AB20" s="216">
        <f t="shared" si="6"/>
        <v>0</v>
      </c>
      <c r="AC20" s="216">
        <f t="shared" si="6"/>
        <v>0</v>
      </c>
      <c r="AD20" s="217">
        <f t="shared" si="7"/>
        <v>25.316455696202532</v>
      </c>
      <c r="AE20" s="217">
        <f t="shared" si="7"/>
        <v>25.257731958762886</v>
      </c>
      <c r="AF20" s="313">
        <f t="shared" si="7"/>
        <v>25.294117647058826</v>
      </c>
    </row>
    <row r="21" spans="1:32" ht="28.5">
      <c r="A21" s="167">
        <v>12</v>
      </c>
      <c r="B21" s="27" t="s">
        <v>148</v>
      </c>
      <c r="C21" s="171">
        <v>8196</v>
      </c>
      <c r="D21" s="171">
        <v>7424</v>
      </c>
      <c r="E21" s="171">
        <v>15620</v>
      </c>
      <c r="F21" s="171">
        <v>5787</v>
      </c>
      <c r="G21" s="171">
        <v>5123</v>
      </c>
      <c r="H21" s="171">
        <v>10910</v>
      </c>
      <c r="I21" s="171">
        <v>412</v>
      </c>
      <c r="J21" s="171">
        <v>425</v>
      </c>
      <c r="K21" s="171">
        <v>837</v>
      </c>
      <c r="L21" s="170">
        <v>6199</v>
      </c>
      <c r="M21" s="170">
        <v>5548</v>
      </c>
      <c r="N21" s="171">
        <v>11747</v>
      </c>
      <c r="O21" s="315">
        <v>75.634455832113218</v>
      </c>
      <c r="P21" s="315">
        <v>74.730603448275872</v>
      </c>
      <c r="Q21" s="315">
        <v>75.204865556978234</v>
      </c>
      <c r="R21" s="215">
        <f t="shared" si="3"/>
        <v>6199</v>
      </c>
      <c r="S21" s="215">
        <f t="shared" si="3"/>
        <v>5548</v>
      </c>
      <c r="T21" s="215">
        <f t="shared" si="3"/>
        <v>11747</v>
      </c>
      <c r="U21" s="251">
        <v>630</v>
      </c>
      <c r="V21" s="251">
        <v>842</v>
      </c>
      <c r="W21" s="215">
        <f t="shared" si="4"/>
        <v>1472</v>
      </c>
      <c r="X21" s="215">
        <v>1168</v>
      </c>
      <c r="Y21" s="215">
        <v>1426</v>
      </c>
      <c r="Z21" s="215">
        <f t="shared" si="5"/>
        <v>2594</v>
      </c>
      <c r="AA21" s="313">
        <f t="shared" si="6"/>
        <v>10.162929504758832</v>
      </c>
      <c r="AB21" s="313">
        <f t="shared" si="6"/>
        <v>15.176640230713772</v>
      </c>
      <c r="AC21" s="313">
        <f t="shared" si="6"/>
        <v>12.530858942708777</v>
      </c>
      <c r="AD21" s="313">
        <f t="shared" si="7"/>
        <v>18.841748669140184</v>
      </c>
      <c r="AE21" s="313">
        <f t="shared" si="7"/>
        <v>25.702956020187457</v>
      </c>
      <c r="AF21" s="313">
        <f t="shared" si="7"/>
        <v>22.082233761811526</v>
      </c>
    </row>
    <row r="22" spans="1:32" ht="28.5">
      <c r="A22" s="167">
        <v>13</v>
      </c>
      <c r="B22" s="27" t="s">
        <v>149</v>
      </c>
      <c r="C22" s="171">
        <v>508151</v>
      </c>
      <c r="D22" s="171">
        <v>314039</v>
      </c>
      <c r="E22" s="171">
        <v>822190</v>
      </c>
      <c r="F22" s="171">
        <v>353491</v>
      </c>
      <c r="G22" s="171">
        <v>242926</v>
      </c>
      <c r="H22" s="171">
        <v>596417</v>
      </c>
      <c r="I22" s="171">
        <v>26083</v>
      </c>
      <c r="J22" s="171">
        <v>14579</v>
      </c>
      <c r="K22" s="171">
        <v>40662</v>
      </c>
      <c r="L22" s="170">
        <v>379574</v>
      </c>
      <c r="M22" s="170">
        <v>257505</v>
      </c>
      <c r="N22" s="171">
        <v>637079</v>
      </c>
      <c r="O22" s="315">
        <v>74.697088070278326</v>
      </c>
      <c r="P22" s="315">
        <v>81.997777346125801</v>
      </c>
      <c r="Q22" s="315">
        <v>77.485617679611778</v>
      </c>
      <c r="R22" s="215">
        <f t="shared" si="3"/>
        <v>379574</v>
      </c>
      <c r="S22" s="215">
        <f t="shared" si="3"/>
        <v>257505</v>
      </c>
      <c r="T22" s="215">
        <f t="shared" si="3"/>
        <v>637079</v>
      </c>
      <c r="U22" s="251">
        <v>58544</v>
      </c>
      <c r="V22" s="251">
        <v>45326</v>
      </c>
      <c r="W22" s="215">
        <f t="shared" si="4"/>
        <v>103870</v>
      </c>
      <c r="X22" s="215">
        <v>107923</v>
      </c>
      <c r="Y22" s="215">
        <v>81345</v>
      </c>
      <c r="Z22" s="215">
        <f t="shared" si="5"/>
        <v>189268</v>
      </c>
      <c r="AA22" s="313">
        <f t="shared" si="6"/>
        <v>15.423606464088691</v>
      </c>
      <c r="AB22" s="313">
        <f t="shared" si="6"/>
        <v>17.601988310906584</v>
      </c>
      <c r="AC22" s="313">
        <f t="shared" si="6"/>
        <v>16.304100433384242</v>
      </c>
      <c r="AD22" s="313">
        <f t="shared" si="7"/>
        <v>28.432663986469045</v>
      </c>
      <c r="AE22" s="313">
        <f t="shared" si="7"/>
        <v>31.589677870332611</v>
      </c>
      <c r="AF22" s="313">
        <f t="shared" si="7"/>
        <v>29.708717443205632</v>
      </c>
    </row>
    <row r="23" spans="1:32">
      <c r="A23" s="167">
        <v>14</v>
      </c>
      <c r="B23" s="27" t="s">
        <v>140</v>
      </c>
      <c r="C23" s="171">
        <v>213012</v>
      </c>
      <c r="D23" s="171">
        <v>172087</v>
      </c>
      <c r="E23" s="171">
        <v>385099</v>
      </c>
      <c r="F23" s="171">
        <v>130907</v>
      </c>
      <c r="G23" s="171">
        <v>112912</v>
      </c>
      <c r="H23" s="171">
        <v>243819</v>
      </c>
      <c r="I23" s="171">
        <v>25016</v>
      </c>
      <c r="J23" s="171">
        <v>17213</v>
      </c>
      <c r="K23" s="171">
        <v>42229</v>
      </c>
      <c r="L23" s="170">
        <v>155923</v>
      </c>
      <c r="M23" s="170">
        <v>130125</v>
      </c>
      <c r="N23" s="171">
        <v>286048</v>
      </c>
      <c r="O23" s="315">
        <v>73.199162488498303</v>
      </c>
      <c r="P23" s="315">
        <v>75.615822229453713</v>
      </c>
      <c r="Q23" s="315">
        <v>74.27908148294334</v>
      </c>
      <c r="R23" s="215">
        <v>155923</v>
      </c>
      <c r="S23" s="215">
        <v>130125</v>
      </c>
      <c r="T23" s="215">
        <v>286048</v>
      </c>
      <c r="U23" s="251">
        <v>6023</v>
      </c>
      <c r="V23" s="251">
        <v>8129</v>
      </c>
      <c r="W23" s="215">
        <v>14152</v>
      </c>
      <c r="X23" s="215">
        <v>47382</v>
      </c>
      <c r="Y23" s="215">
        <v>48445</v>
      </c>
      <c r="Z23" s="215">
        <v>95827</v>
      </c>
      <c r="AA23" s="313">
        <v>3.8628040763710292</v>
      </c>
      <c r="AB23" s="313">
        <v>6.2470701248799232</v>
      </c>
      <c r="AC23" s="313">
        <v>4.9474214117910282</v>
      </c>
      <c r="AD23" s="313">
        <v>30.388076165799784</v>
      </c>
      <c r="AE23" s="313">
        <v>37.229586935638807</v>
      </c>
      <c r="AF23" s="313">
        <v>33.500321624342767</v>
      </c>
    </row>
    <row r="24" spans="1:32">
      <c r="A24" s="167">
        <v>15</v>
      </c>
      <c r="B24" s="27" t="s">
        <v>150</v>
      </c>
      <c r="C24" s="171">
        <v>76412</v>
      </c>
      <c r="D24" s="171">
        <v>69400</v>
      </c>
      <c r="E24" s="171">
        <v>145812</v>
      </c>
      <c r="F24" s="171">
        <v>48699</v>
      </c>
      <c r="G24" s="171">
        <v>45456</v>
      </c>
      <c r="H24" s="171">
        <v>94155</v>
      </c>
      <c r="I24" s="171">
        <v>8302</v>
      </c>
      <c r="J24" s="171">
        <v>7814</v>
      </c>
      <c r="K24" s="171">
        <v>16116</v>
      </c>
      <c r="L24" s="170">
        <v>57001</v>
      </c>
      <c r="M24" s="170">
        <v>53270</v>
      </c>
      <c r="N24" s="171">
        <v>110271</v>
      </c>
      <c r="O24" s="315">
        <v>74.59692194943203</v>
      </c>
      <c r="P24" s="315">
        <v>76.757925072046106</v>
      </c>
      <c r="Q24" s="315">
        <v>75.625462924862148</v>
      </c>
      <c r="R24" s="215">
        <f t="shared" si="3"/>
        <v>57001</v>
      </c>
      <c r="S24" s="215">
        <f t="shared" si="3"/>
        <v>53270</v>
      </c>
      <c r="T24" s="215">
        <f t="shared" si="3"/>
        <v>110271</v>
      </c>
      <c r="U24" s="251">
        <v>5265</v>
      </c>
      <c r="V24" s="251">
        <v>6322</v>
      </c>
      <c r="W24" s="215">
        <f t="shared" si="4"/>
        <v>11587</v>
      </c>
      <c r="X24" s="215">
        <v>18585</v>
      </c>
      <c r="Y24" s="215">
        <v>2009</v>
      </c>
      <c r="Z24" s="215">
        <f t="shared" si="5"/>
        <v>20594</v>
      </c>
      <c r="AA24" s="313">
        <f t="shared" si="6"/>
        <v>9.2366800582445929</v>
      </c>
      <c r="AB24" s="313">
        <f t="shared" si="6"/>
        <v>11.86784306363807</v>
      </c>
      <c r="AC24" s="313">
        <f t="shared" si="6"/>
        <v>10.507749090876114</v>
      </c>
      <c r="AD24" s="313">
        <f t="shared" si="7"/>
        <v>32.604691145769372</v>
      </c>
      <c r="AE24" s="313">
        <f t="shared" si="7"/>
        <v>3.7713534822601837</v>
      </c>
      <c r="AF24" s="313">
        <f t="shared" si="7"/>
        <v>18.675807782644576</v>
      </c>
    </row>
    <row r="25" spans="1:32">
      <c r="A25" s="167">
        <v>16</v>
      </c>
      <c r="B25" s="27" t="s">
        <v>151</v>
      </c>
      <c r="C25" s="171">
        <v>141877</v>
      </c>
      <c r="D25" s="171">
        <v>110697</v>
      </c>
      <c r="E25" s="171">
        <v>252574</v>
      </c>
      <c r="F25" s="171">
        <v>66306</v>
      </c>
      <c r="G25" s="171">
        <v>52407</v>
      </c>
      <c r="H25" s="171">
        <v>118713</v>
      </c>
      <c r="I25" s="171">
        <v>39069</v>
      </c>
      <c r="J25" s="171">
        <v>28566</v>
      </c>
      <c r="K25" s="171">
        <v>67635</v>
      </c>
      <c r="L25" s="171">
        <v>105375</v>
      </c>
      <c r="M25" s="171">
        <v>80973</v>
      </c>
      <c r="N25" s="171">
        <v>186348</v>
      </c>
      <c r="O25" s="315">
        <v>74.272080745998295</v>
      </c>
      <c r="P25" s="315">
        <v>73.148323802813081</v>
      </c>
      <c r="Q25" s="315">
        <v>73.779565592657988</v>
      </c>
      <c r="R25" s="215">
        <f t="shared" si="3"/>
        <v>105375</v>
      </c>
      <c r="S25" s="215">
        <f t="shared" si="3"/>
        <v>80973</v>
      </c>
      <c r="T25" s="215">
        <f t="shared" si="3"/>
        <v>186348</v>
      </c>
      <c r="U25" s="177"/>
      <c r="V25" s="177"/>
      <c r="W25" s="177">
        <f t="shared" si="4"/>
        <v>0</v>
      </c>
      <c r="X25" s="177"/>
      <c r="Y25" s="177"/>
      <c r="Z25" s="177">
        <f t="shared" si="5"/>
        <v>0</v>
      </c>
      <c r="AA25" s="216">
        <f t="shared" si="6"/>
        <v>0</v>
      </c>
      <c r="AB25" s="216">
        <f t="shared" si="6"/>
        <v>0</v>
      </c>
      <c r="AC25" s="216">
        <f t="shared" si="6"/>
        <v>0</v>
      </c>
      <c r="AD25" s="216">
        <f t="shared" si="7"/>
        <v>0</v>
      </c>
      <c r="AE25" s="216">
        <f t="shared" si="7"/>
        <v>0</v>
      </c>
      <c r="AF25" s="216">
        <f t="shared" si="7"/>
        <v>0</v>
      </c>
    </row>
    <row r="26" spans="1:32">
      <c r="A26" s="167">
        <v>17</v>
      </c>
      <c r="B26" s="27" t="s">
        <v>152</v>
      </c>
      <c r="C26" s="171">
        <v>174470</v>
      </c>
      <c r="D26" s="171">
        <v>154529</v>
      </c>
      <c r="E26" s="171">
        <v>328999</v>
      </c>
      <c r="F26" s="171">
        <v>119073</v>
      </c>
      <c r="G26" s="171">
        <v>97648</v>
      </c>
      <c r="H26" s="171">
        <v>216721</v>
      </c>
      <c r="I26" s="171">
        <v>3379</v>
      </c>
      <c r="J26" s="171">
        <v>5051</v>
      </c>
      <c r="K26" s="171">
        <v>8430</v>
      </c>
      <c r="L26" s="170">
        <v>122452</v>
      </c>
      <c r="M26" s="170">
        <v>102699</v>
      </c>
      <c r="N26" s="171">
        <v>225151</v>
      </c>
      <c r="O26" s="315">
        <v>70.185132114403629</v>
      </c>
      <c r="P26" s="315">
        <v>66.459370085873843</v>
      </c>
      <c r="Q26" s="315">
        <v>68.435162416907048</v>
      </c>
      <c r="R26" s="215">
        <f t="shared" si="3"/>
        <v>122452</v>
      </c>
      <c r="S26" s="215">
        <f t="shared" si="3"/>
        <v>102699</v>
      </c>
      <c r="T26" s="215">
        <f t="shared" si="3"/>
        <v>225151</v>
      </c>
      <c r="U26" s="251">
        <v>1995</v>
      </c>
      <c r="V26" s="251">
        <v>1093</v>
      </c>
      <c r="W26" s="215">
        <f t="shared" si="4"/>
        <v>3088</v>
      </c>
      <c r="X26" s="215">
        <v>20066</v>
      </c>
      <c r="Y26" s="215">
        <v>14628</v>
      </c>
      <c r="Z26" s="215">
        <f t="shared" si="5"/>
        <v>34694</v>
      </c>
      <c r="AA26" s="313">
        <f t="shared" si="6"/>
        <v>1.6292098128246171</v>
      </c>
      <c r="AB26" s="313">
        <f t="shared" si="6"/>
        <v>1.0642752120273811</v>
      </c>
      <c r="AC26" s="313">
        <f t="shared" si="6"/>
        <v>1.3715239994492583</v>
      </c>
      <c r="AD26" s="313">
        <f t="shared" si="7"/>
        <v>16.386829124881586</v>
      </c>
      <c r="AE26" s="313">
        <f t="shared" si="7"/>
        <v>14.24356614962171</v>
      </c>
      <c r="AF26" s="313">
        <f t="shared" si="7"/>
        <v>15.409214260651739</v>
      </c>
    </row>
    <row r="27" spans="1:32" ht="28.5">
      <c r="A27" s="167">
        <v>18</v>
      </c>
      <c r="B27" s="27" t="s">
        <v>285</v>
      </c>
      <c r="C27" s="171">
        <v>439993</v>
      </c>
      <c r="D27" s="171">
        <v>385150</v>
      </c>
      <c r="E27" s="171">
        <v>825143</v>
      </c>
      <c r="F27" s="171">
        <v>315794</v>
      </c>
      <c r="G27" s="171">
        <v>312679</v>
      </c>
      <c r="H27" s="171">
        <v>628473</v>
      </c>
      <c r="I27" s="171">
        <v>46687</v>
      </c>
      <c r="J27" s="171">
        <v>26935</v>
      </c>
      <c r="K27" s="171">
        <v>73622</v>
      </c>
      <c r="L27" s="170">
        <v>362481</v>
      </c>
      <c r="M27" s="170">
        <v>339614</v>
      </c>
      <c r="N27" s="171">
        <v>702095</v>
      </c>
      <c r="O27" s="315">
        <v>82.383356098847031</v>
      </c>
      <c r="P27" s="315">
        <v>88.177073867324424</v>
      </c>
      <c r="Q27" s="315">
        <v>85.087675711967506</v>
      </c>
      <c r="R27" s="215">
        <f t="shared" si="3"/>
        <v>362481</v>
      </c>
      <c r="S27" s="215">
        <f t="shared" si="3"/>
        <v>339614</v>
      </c>
      <c r="T27" s="215">
        <f t="shared" si="3"/>
        <v>702095</v>
      </c>
      <c r="U27" s="251">
        <v>44327</v>
      </c>
      <c r="V27" s="251">
        <v>57479</v>
      </c>
      <c r="W27" s="215">
        <f t="shared" si="4"/>
        <v>101806</v>
      </c>
      <c r="X27" s="215">
        <v>74566</v>
      </c>
      <c r="Y27" s="215">
        <v>85191</v>
      </c>
      <c r="Z27" s="215">
        <f t="shared" si="5"/>
        <v>159757</v>
      </c>
      <c r="AA27" s="313">
        <f t="shared" si="6"/>
        <v>12.228778887721012</v>
      </c>
      <c r="AB27" s="313">
        <f t="shared" si="6"/>
        <v>16.92480286442844</v>
      </c>
      <c r="AC27" s="313">
        <f t="shared" si="6"/>
        <v>14.50031690868045</v>
      </c>
      <c r="AD27" s="313">
        <f t="shared" si="7"/>
        <v>20.571009239104946</v>
      </c>
      <c r="AE27" s="313">
        <f t="shared" si="7"/>
        <v>25.084654931775486</v>
      </c>
      <c r="AF27" s="313">
        <f t="shared" si="7"/>
        <v>22.754328117989733</v>
      </c>
    </row>
    <row r="28" spans="1:32">
      <c r="A28" s="167">
        <v>19</v>
      </c>
      <c r="B28" s="27" t="s">
        <v>286</v>
      </c>
      <c r="C28" s="171">
        <v>234885</v>
      </c>
      <c r="D28" s="171">
        <v>235034</v>
      </c>
      <c r="E28" s="171">
        <v>469919</v>
      </c>
      <c r="F28" s="171">
        <v>217837</v>
      </c>
      <c r="G28" s="171">
        <v>223354</v>
      </c>
      <c r="H28" s="171">
        <v>441191</v>
      </c>
      <c r="I28" s="177">
        <v>0</v>
      </c>
      <c r="J28" s="177">
        <v>0</v>
      </c>
      <c r="K28" s="177">
        <v>0</v>
      </c>
      <c r="L28" s="170">
        <v>217837</v>
      </c>
      <c r="M28" s="170">
        <v>223354</v>
      </c>
      <c r="N28" s="171">
        <v>441191</v>
      </c>
      <c r="O28" s="315">
        <v>92.741980117930055</v>
      </c>
      <c r="P28" s="315">
        <v>95.030506224631324</v>
      </c>
      <c r="Q28" s="315">
        <v>93.886605989542886</v>
      </c>
      <c r="R28" s="215">
        <f t="shared" ref="R28:T43" si="8">L28</f>
        <v>217837</v>
      </c>
      <c r="S28" s="215">
        <f t="shared" si="8"/>
        <v>223354</v>
      </c>
      <c r="T28" s="215">
        <f t="shared" si="8"/>
        <v>441191</v>
      </c>
      <c r="U28" s="177"/>
      <c r="V28" s="177"/>
      <c r="W28" s="177">
        <f t="shared" si="4"/>
        <v>0</v>
      </c>
      <c r="X28" s="177"/>
      <c r="Y28" s="177"/>
      <c r="Z28" s="177">
        <f t="shared" si="5"/>
        <v>0</v>
      </c>
      <c r="AA28" s="216">
        <f t="shared" si="6"/>
        <v>0</v>
      </c>
      <c r="AB28" s="216">
        <f t="shared" si="6"/>
        <v>0</v>
      </c>
      <c r="AC28" s="216">
        <f t="shared" si="6"/>
        <v>0</v>
      </c>
      <c r="AD28" s="216">
        <f t="shared" si="7"/>
        <v>0</v>
      </c>
      <c r="AE28" s="216">
        <f t="shared" si="7"/>
        <v>0</v>
      </c>
      <c r="AF28" s="216">
        <f t="shared" si="7"/>
        <v>0</v>
      </c>
    </row>
    <row r="29" spans="1:32" ht="28.5">
      <c r="A29" s="167">
        <v>20</v>
      </c>
      <c r="B29" s="27" t="s">
        <v>271</v>
      </c>
      <c r="C29" s="171">
        <v>939268</v>
      </c>
      <c r="D29" s="171">
        <v>761477</v>
      </c>
      <c r="E29" s="171">
        <v>1700745</v>
      </c>
      <c r="F29" s="171">
        <v>678323</v>
      </c>
      <c r="G29" s="171">
        <v>597155</v>
      </c>
      <c r="H29" s="171">
        <v>1275478</v>
      </c>
      <c r="I29" s="171">
        <v>20260</v>
      </c>
      <c r="J29" s="171">
        <v>11996</v>
      </c>
      <c r="K29" s="171">
        <v>32256</v>
      </c>
      <c r="L29" s="170">
        <v>698583</v>
      </c>
      <c r="M29" s="170">
        <v>609151</v>
      </c>
      <c r="N29" s="171">
        <v>1307734</v>
      </c>
      <c r="O29" s="315">
        <v>74.375258179774036</v>
      </c>
      <c r="P29" s="315">
        <v>79.995981493859958</v>
      </c>
      <c r="Q29" s="315">
        <v>76.891832696847558</v>
      </c>
      <c r="R29" s="215">
        <v>698583</v>
      </c>
      <c r="S29" s="215">
        <v>609151</v>
      </c>
      <c r="T29" s="215">
        <v>1307734</v>
      </c>
      <c r="U29" s="251">
        <v>109306</v>
      </c>
      <c r="V29" s="251">
        <v>117307</v>
      </c>
      <c r="W29" s="215">
        <v>226613</v>
      </c>
      <c r="X29" s="215">
        <v>231567</v>
      </c>
      <c r="Y29" s="215">
        <v>230270</v>
      </c>
      <c r="Z29" s="215">
        <v>461837</v>
      </c>
      <c r="AA29" s="313">
        <v>15.646816484225926</v>
      </c>
      <c r="AB29" s="313">
        <v>19.257458331349696</v>
      </c>
      <c r="AC29" s="313">
        <v>17.32867693277073</v>
      </c>
      <c r="AD29" s="313">
        <v>33.148101227771072</v>
      </c>
      <c r="AE29" s="313">
        <v>37.801792987288863</v>
      </c>
      <c r="AF29" s="313">
        <v>35.31582110735058</v>
      </c>
    </row>
    <row r="30" spans="1:32" ht="28.5">
      <c r="A30" s="167">
        <v>21</v>
      </c>
      <c r="B30" s="27" t="s">
        <v>272</v>
      </c>
      <c r="C30" s="171">
        <v>517210</v>
      </c>
      <c r="D30" s="171">
        <v>392710</v>
      </c>
      <c r="E30" s="171">
        <v>909920</v>
      </c>
      <c r="F30" s="171">
        <v>246266</v>
      </c>
      <c r="G30" s="171">
        <v>192035</v>
      </c>
      <c r="H30" s="171">
        <v>438301</v>
      </c>
      <c r="I30" s="171">
        <v>43354</v>
      </c>
      <c r="J30" s="171">
        <v>37201</v>
      </c>
      <c r="K30" s="171">
        <v>80555</v>
      </c>
      <c r="L30" s="170">
        <v>289620</v>
      </c>
      <c r="M30" s="170">
        <v>229236</v>
      </c>
      <c r="N30" s="171">
        <v>518856</v>
      </c>
      <c r="O30" s="315">
        <v>55.996597126892368</v>
      </c>
      <c r="P30" s="315">
        <v>58.37284510198365</v>
      </c>
      <c r="Q30" s="315">
        <v>57.02215579391595</v>
      </c>
      <c r="R30" s="215">
        <f t="shared" si="8"/>
        <v>289620</v>
      </c>
      <c r="S30" s="215">
        <f t="shared" si="8"/>
        <v>229236</v>
      </c>
      <c r="T30" s="215">
        <f t="shared" si="8"/>
        <v>518856</v>
      </c>
      <c r="U30" s="251">
        <v>28573</v>
      </c>
      <c r="V30" s="251">
        <v>24946</v>
      </c>
      <c r="W30" s="215">
        <f t="shared" si="4"/>
        <v>53519</v>
      </c>
      <c r="X30" s="215">
        <v>77015</v>
      </c>
      <c r="Y30" s="215">
        <v>62524</v>
      </c>
      <c r="Z30" s="215">
        <f t="shared" si="5"/>
        <v>139539</v>
      </c>
      <c r="AA30" s="313">
        <f t="shared" si="6"/>
        <v>9.8656860714039087</v>
      </c>
      <c r="AB30" s="313">
        <f t="shared" si="6"/>
        <v>10.88223490202237</v>
      </c>
      <c r="AC30" s="313">
        <f t="shared" si="6"/>
        <v>10.314807962132074</v>
      </c>
      <c r="AD30" s="313">
        <f t="shared" si="7"/>
        <v>26.591740901871418</v>
      </c>
      <c r="AE30" s="313">
        <f t="shared" si="7"/>
        <v>27.274948088432879</v>
      </c>
      <c r="AF30" s="313">
        <f t="shared" si="7"/>
        <v>26.893588972662933</v>
      </c>
    </row>
    <row r="31" spans="1:32">
      <c r="A31" s="167">
        <v>22</v>
      </c>
      <c r="B31" s="27" t="s">
        <v>141</v>
      </c>
      <c r="C31" s="171">
        <v>14947</v>
      </c>
      <c r="D31" s="171">
        <v>15103</v>
      </c>
      <c r="E31" s="171">
        <v>30050</v>
      </c>
      <c r="F31" s="171">
        <v>11119</v>
      </c>
      <c r="G31" s="171">
        <v>10028</v>
      </c>
      <c r="H31" s="171">
        <v>21147</v>
      </c>
      <c r="I31" s="171">
        <v>1694</v>
      </c>
      <c r="J31" s="171">
        <v>1957</v>
      </c>
      <c r="K31" s="171">
        <v>3651</v>
      </c>
      <c r="L31" s="170">
        <v>12813</v>
      </c>
      <c r="M31" s="170">
        <v>11985</v>
      </c>
      <c r="N31" s="171">
        <v>24798</v>
      </c>
      <c r="O31" s="315">
        <v>85.722887535960396</v>
      </c>
      <c r="P31" s="315">
        <v>79.355095014235573</v>
      </c>
      <c r="Q31" s="315">
        <v>82.522462562396001</v>
      </c>
      <c r="R31" s="215">
        <v>12813</v>
      </c>
      <c r="S31" s="215">
        <v>11985</v>
      </c>
      <c r="T31" s="215">
        <v>24798</v>
      </c>
      <c r="U31" s="251">
        <v>485</v>
      </c>
      <c r="V31" s="251">
        <v>257</v>
      </c>
      <c r="W31" s="215">
        <v>742</v>
      </c>
      <c r="X31" s="215">
        <v>3462</v>
      </c>
      <c r="Y31" s="215">
        <v>2886</v>
      </c>
      <c r="Z31" s="215">
        <v>6348</v>
      </c>
      <c r="AA31" s="313">
        <v>3.7852181378287679</v>
      </c>
      <c r="AB31" s="313">
        <v>2.1443471005423449</v>
      </c>
      <c r="AC31" s="313">
        <v>2.9921767884506818</v>
      </c>
      <c r="AD31" s="313">
        <v>27.01943338796535</v>
      </c>
      <c r="AE31" s="313">
        <v>24.080100125156445</v>
      </c>
      <c r="AF31" s="313">
        <v>25.598838616017421</v>
      </c>
    </row>
    <row r="32" spans="1:32">
      <c r="A32" s="167">
        <v>23</v>
      </c>
      <c r="B32" s="27" t="s">
        <v>299</v>
      </c>
      <c r="C32" s="171">
        <v>16549</v>
      </c>
      <c r="D32" s="171">
        <v>19573</v>
      </c>
      <c r="E32" s="171">
        <v>36122</v>
      </c>
      <c r="F32" s="171">
        <v>7787</v>
      </c>
      <c r="G32" s="171">
        <v>8957</v>
      </c>
      <c r="H32" s="171">
        <v>16744</v>
      </c>
      <c r="I32" s="177"/>
      <c r="J32" s="177"/>
      <c r="K32" s="177"/>
      <c r="L32" s="170">
        <v>7787</v>
      </c>
      <c r="M32" s="170">
        <v>8957</v>
      </c>
      <c r="N32" s="171">
        <v>16744</v>
      </c>
      <c r="O32" s="315">
        <v>47.054202670856242</v>
      </c>
      <c r="P32" s="315">
        <v>45.762019107954835</v>
      </c>
      <c r="Q32" s="315">
        <v>46.354022479375452</v>
      </c>
      <c r="R32" s="171">
        <f t="shared" si="8"/>
        <v>7787</v>
      </c>
      <c r="S32" s="171">
        <f t="shared" si="8"/>
        <v>8957</v>
      </c>
      <c r="T32" s="171">
        <f t="shared" si="8"/>
        <v>16744</v>
      </c>
      <c r="U32" s="171">
        <v>1218</v>
      </c>
      <c r="V32" s="171">
        <v>1308</v>
      </c>
      <c r="W32" s="171">
        <f t="shared" si="4"/>
        <v>2526</v>
      </c>
      <c r="X32" s="171">
        <v>2053</v>
      </c>
      <c r="Y32" s="171">
        <v>2365</v>
      </c>
      <c r="Z32" s="171">
        <f t="shared" si="5"/>
        <v>4418</v>
      </c>
      <c r="AA32" s="315">
        <f t="shared" si="6"/>
        <v>15.641453704892768</v>
      </c>
      <c r="AB32" s="315">
        <f t="shared" si="6"/>
        <v>14.603103717762645</v>
      </c>
      <c r="AC32" s="315">
        <f t="shared" si="6"/>
        <v>15.086000955566174</v>
      </c>
      <c r="AD32" s="315">
        <f t="shared" si="7"/>
        <v>26.364453576473608</v>
      </c>
      <c r="AE32" s="315">
        <f t="shared" si="7"/>
        <v>26.403929887239034</v>
      </c>
      <c r="AF32" s="315">
        <f t="shared" si="7"/>
        <v>26.385570950788342</v>
      </c>
    </row>
    <row r="33" spans="1:32">
      <c r="A33" s="167">
        <v>24</v>
      </c>
      <c r="B33" s="27" t="s">
        <v>159</v>
      </c>
      <c r="C33" s="171">
        <v>7209</v>
      </c>
      <c r="D33" s="171">
        <v>7740</v>
      </c>
      <c r="E33" s="171">
        <v>14949</v>
      </c>
      <c r="F33" s="171">
        <v>5242</v>
      </c>
      <c r="G33" s="171">
        <v>5558</v>
      </c>
      <c r="H33" s="171">
        <v>10800</v>
      </c>
      <c r="I33" s="171">
        <v>87</v>
      </c>
      <c r="J33" s="171">
        <v>93</v>
      </c>
      <c r="K33" s="171">
        <v>180</v>
      </c>
      <c r="L33" s="170">
        <v>5329</v>
      </c>
      <c r="M33" s="170">
        <v>5651</v>
      </c>
      <c r="N33" s="171">
        <v>10980</v>
      </c>
      <c r="O33" s="315">
        <v>73.921487030101261</v>
      </c>
      <c r="P33" s="315">
        <v>73.010335917312659</v>
      </c>
      <c r="Q33" s="315">
        <v>73.44972907886816</v>
      </c>
      <c r="R33" s="215">
        <f t="shared" si="8"/>
        <v>5329</v>
      </c>
      <c r="S33" s="215">
        <f t="shared" si="8"/>
        <v>5651</v>
      </c>
      <c r="T33" s="215">
        <f t="shared" si="8"/>
        <v>10980</v>
      </c>
      <c r="U33" s="251">
        <v>350</v>
      </c>
      <c r="V33" s="251">
        <v>368</v>
      </c>
      <c r="W33" s="215">
        <f t="shared" si="4"/>
        <v>718</v>
      </c>
      <c r="X33" s="215">
        <v>1179</v>
      </c>
      <c r="Y33" s="215">
        <v>1149</v>
      </c>
      <c r="Z33" s="215">
        <f t="shared" si="5"/>
        <v>2328</v>
      </c>
      <c r="AA33" s="313">
        <f t="shared" si="6"/>
        <v>6.5678363670482272</v>
      </c>
      <c r="AB33" s="313">
        <f t="shared" si="6"/>
        <v>6.5121217483631222</v>
      </c>
      <c r="AC33" s="313">
        <f t="shared" si="6"/>
        <v>6.5391621129326047</v>
      </c>
      <c r="AD33" s="313">
        <f t="shared" si="7"/>
        <v>22.124225933571026</v>
      </c>
      <c r="AE33" s="313">
        <f t="shared" si="7"/>
        <v>20.332684480622898</v>
      </c>
      <c r="AF33" s="313">
        <f t="shared" si="7"/>
        <v>21.202185792349727</v>
      </c>
    </row>
    <row r="34" spans="1:32">
      <c r="A34" s="167">
        <v>25</v>
      </c>
      <c r="B34" s="27" t="s">
        <v>160</v>
      </c>
      <c r="C34" s="171">
        <v>10211</v>
      </c>
      <c r="D34" s="171">
        <v>10134</v>
      </c>
      <c r="E34" s="171">
        <v>20345</v>
      </c>
      <c r="F34" s="171">
        <v>6503</v>
      </c>
      <c r="G34" s="171">
        <v>5960</v>
      </c>
      <c r="H34" s="171">
        <v>12463</v>
      </c>
      <c r="I34" s="177">
        <v>0</v>
      </c>
      <c r="J34" s="177">
        <v>0</v>
      </c>
      <c r="K34" s="177">
        <v>0</v>
      </c>
      <c r="L34" s="170">
        <v>6503</v>
      </c>
      <c r="M34" s="170">
        <v>5960</v>
      </c>
      <c r="N34" s="171">
        <v>12463</v>
      </c>
      <c r="O34" s="315">
        <v>63.686220742336694</v>
      </c>
      <c r="P34" s="315">
        <v>58.811920268403398</v>
      </c>
      <c r="Q34" s="315">
        <v>61.258294421233714</v>
      </c>
      <c r="R34" s="215">
        <f t="shared" si="8"/>
        <v>6503</v>
      </c>
      <c r="S34" s="215">
        <f t="shared" si="8"/>
        <v>5960</v>
      </c>
      <c r="T34" s="215">
        <f t="shared" si="8"/>
        <v>12463</v>
      </c>
      <c r="U34" s="251">
        <v>295</v>
      </c>
      <c r="V34" s="251">
        <v>284</v>
      </c>
      <c r="W34" s="215">
        <f t="shared" si="4"/>
        <v>579</v>
      </c>
      <c r="X34" s="215">
        <v>1027</v>
      </c>
      <c r="Y34" s="215">
        <v>1044</v>
      </c>
      <c r="Z34" s="215">
        <f t="shared" si="5"/>
        <v>2071</v>
      </c>
      <c r="AA34" s="313">
        <f t="shared" si="6"/>
        <v>4.5363678302322006</v>
      </c>
      <c r="AB34" s="313">
        <f t="shared" si="6"/>
        <v>4.7651006711409396</v>
      </c>
      <c r="AC34" s="313">
        <f t="shared" si="6"/>
        <v>4.6457514242156783</v>
      </c>
      <c r="AD34" s="313">
        <f t="shared" si="7"/>
        <v>15.792711056435492</v>
      </c>
      <c r="AE34" s="313">
        <f t="shared" si="7"/>
        <v>17.516778523489933</v>
      </c>
      <c r="AF34" s="313">
        <f t="shared" si="7"/>
        <v>16.617186873144508</v>
      </c>
    </row>
    <row r="35" spans="1:32">
      <c r="A35" s="167">
        <v>26</v>
      </c>
      <c r="B35" s="27" t="s">
        <v>300</v>
      </c>
      <c r="C35" s="171">
        <v>223392</v>
      </c>
      <c r="D35" s="171">
        <v>229183</v>
      </c>
      <c r="E35" s="171">
        <v>452575</v>
      </c>
      <c r="F35" s="171">
        <v>158097</v>
      </c>
      <c r="G35" s="171">
        <v>154661</v>
      </c>
      <c r="H35" s="171">
        <v>312758</v>
      </c>
      <c r="I35" s="177">
        <v>0</v>
      </c>
      <c r="J35" s="177">
        <v>0</v>
      </c>
      <c r="K35" s="177">
        <v>0</v>
      </c>
      <c r="L35" s="170">
        <v>158097</v>
      </c>
      <c r="M35" s="170">
        <v>154661</v>
      </c>
      <c r="N35" s="171">
        <v>312758</v>
      </c>
      <c r="O35" s="315">
        <v>70.771110872367856</v>
      </c>
      <c r="P35" s="315">
        <v>67.483626621520798</v>
      </c>
      <c r="Q35" s="315">
        <v>69.106335966414406</v>
      </c>
      <c r="R35" s="215">
        <f t="shared" si="8"/>
        <v>158097</v>
      </c>
      <c r="S35" s="215">
        <f t="shared" si="8"/>
        <v>154661</v>
      </c>
      <c r="T35" s="215">
        <f t="shared" si="8"/>
        <v>312758</v>
      </c>
      <c r="U35" s="177"/>
      <c r="V35" s="177"/>
      <c r="W35" s="177">
        <f t="shared" si="4"/>
        <v>0</v>
      </c>
      <c r="X35" s="177"/>
      <c r="Y35" s="177"/>
      <c r="Z35" s="177">
        <f t="shared" si="5"/>
        <v>0</v>
      </c>
      <c r="AA35" s="216">
        <f t="shared" si="6"/>
        <v>0</v>
      </c>
      <c r="AB35" s="216">
        <f t="shared" si="6"/>
        <v>0</v>
      </c>
      <c r="AC35" s="216">
        <f t="shared" si="6"/>
        <v>0</v>
      </c>
      <c r="AD35" s="216">
        <f t="shared" si="7"/>
        <v>0</v>
      </c>
      <c r="AE35" s="216">
        <f t="shared" si="7"/>
        <v>0</v>
      </c>
      <c r="AF35" s="216">
        <f t="shared" si="7"/>
        <v>0</v>
      </c>
    </row>
    <row r="36" spans="1:32">
      <c r="A36" s="167">
        <v>27</v>
      </c>
      <c r="B36" s="27" t="s">
        <v>162</v>
      </c>
      <c r="C36" s="171">
        <v>214803</v>
      </c>
      <c r="D36" s="171">
        <v>171342</v>
      </c>
      <c r="E36" s="171">
        <v>386145</v>
      </c>
      <c r="F36" s="171">
        <v>151361</v>
      </c>
      <c r="G36" s="171">
        <v>133849</v>
      </c>
      <c r="H36" s="171">
        <v>285210</v>
      </c>
      <c r="I36" s="171">
        <v>16707</v>
      </c>
      <c r="J36" s="171">
        <v>10456</v>
      </c>
      <c r="K36" s="171">
        <v>27163</v>
      </c>
      <c r="L36" s="170">
        <v>168068</v>
      </c>
      <c r="M36" s="170">
        <v>144305</v>
      </c>
      <c r="N36" s="171">
        <v>312373</v>
      </c>
      <c r="O36" s="315">
        <v>78.242855081167392</v>
      </c>
      <c r="P36" s="315">
        <v>84.220447992903075</v>
      </c>
      <c r="Q36" s="315">
        <v>80.895259552758674</v>
      </c>
      <c r="R36" s="215">
        <f t="shared" si="8"/>
        <v>168068</v>
      </c>
      <c r="S36" s="215">
        <f t="shared" si="8"/>
        <v>144305</v>
      </c>
      <c r="T36" s="215">
        <f t="shared" si="8"/>
        <v>312373</v>
      </c>
      <c r="U36" s="251">
        <v>15851</v>
      </c>
      <c r="V36" s="251">
        <v>30375</v>
      </c>
      <c r="W36" s="215">
        <f t="shared" si="4"/>
        <v>46226</v>
      </c>
      <c r="X36" s="215">
        <v>66284</v>
      </c>
      <c r="Y36" s="215">
        <v>64331</v>
      </c>
      <c r="Z36" s="215">
        <f t="shared" si="5"/>
        <v>130615</v>
      </c>
      <c r="AA36" s="313">
        <f t="shared" si="6"/>
        <v>9.4313016160125667</v>
      </c>
      <c r="AB36" s="313">
        <f t="shared" si="6"/>
        <v>21.049166695540695</v>
      </c>
      <c r="AC36" s="313">
        <f t="shared" si="6"/>
        <v>14.798334042955057</v>
      </c>
      <c r="AD36" s="313">
        <f t="shared" si="7"/>
        <v>39.438798581526527</v>
      </c>
      <c r="AE36" s="313">
        <f t="shared" si="7"/>
        <v>44.579882886940858</v>
      </c>
      <c r="AF36" s="313">
        <f t="shared" si="7"/>
        <v>41.81379312552621</v>
      </c>
    </row>
    <row r="37" spans="1:32" ht="28.5">
      <c r="A37" s="167">
        <v>28</v>
      </c>
      <c r="B37" s="27" t="s">
        <v>212</v>
      </c>
      <c r="C37" s="171">
        <v>605575</v>
      </c>
      <c r="D37" s="171">
        <v>397448</v>
      </c>
      <c r="E37" s="171">
        <v>1003023</v>
      </c>
      <c r="F37" s="171">
        <v>374545</v>
      </c>
      <c r="G37" s="171">
        <v>246802</v>
      </c>
      <c r="H37" s="171">
        <v>621347</v>
      </c>
      <c r="I37" s="171">
        <v>12691</v>
      </c>
      <c r="J37" s="171">
        <v>10765</v>
      </c>
      <c r="K37" s="171">
        <v>23456</v>
      </c>
      <c r="L37" s="170">
        <v>387236</v>
      </c>
      <c r="M37" s="170">
        <v>257567</v>
      </c>
      <c r="N37" s="171">
        <v>644803</v>
      </c>
      <c r="O37" s="315">
        <v>63.945176072327961</v>
      </c>
      <c r="P37" s="315">
        <v>64.805207222076859</v>
      </c>
      <c r="Q37" s="315">
        <v>64.285963532242036</v>
      </c>
      <c r="R37" s="215">
        <f t="shared" si="8"/>
        <v>387236</v>
      </c>
      <c r="S37" s="215">
        <f t="shared" si="8"/>
        <v>257567</v>
      </c>
      <c r="T37" s="215">
        <f t="shared" si="8"/>
        <v>644803</v>
      </c>
      <c r="U37" s="251">
        <v>12372</v>
      </c>
      <c r="V37" s="251">
        <v>7646</v>
      </c>
      <c r="W37" s="215">
        <f t="shared" si="4"/>
        <v>20018</v>
      </c>
      <c r="X37" s="215">
        <v>60559</v>
      </c>
      <c r="Y37" s="215">
        <v>39806</v>
      </c>
      <c r="Z37" s="215">
        <f t="shared" si="5"/>
        <v>100365</v>
      </c>
      <c r="AA37" s="313">
        <f t="shared" si="6"/>
        <v>3.1949508826658679</v>
      </c>
      <c r="AB37" s="313">
        <f t="shared" si="6"/>
        <v>2.9685479894551707</v>
      </c>
      <c r="AC37" s="313">
        <f t="shared" si="6"/>
        <v>3.1045140919009375</v>
      </c>
      <c r="AD37" s="313">
        <f t="shared" si="7"/>
        <v>15.638783584170893</v>
      </c>
      <c r="AE37" s="313">
        <f t="shared" si="7"/>
        <v>15.454619574712599</v>
      </c>
      <c r="AF37" s="313">
        <f t="shared" si="7"/>
        <v>15.565219144451872</v>
      </c>
    </row>
    <row r="38" spans="1:32" ht="28.5">
      <c r="A38" s="167">
        <v>29</v>
      </c>
      <c r="B38" s="27" t="s">
        <v>274</v>
      </c>
      <c r="C38" s="171">
        <v>577824</v>
      </c>
      <c r="D38" s="171">
        <v>545338</v>
      </c>
      <c r="E38" s="171">
        <v>1123162</v>
      </c>
      <c r="F38" s="171">
        <v>455567</v>
      </c>
      <c r="G38" s="171">
        <v>475094</v>
      </c>
      <c r="H38" s="171">
        <v>930661</v>
      </c>
      <c r="I38" s="171">
        <v>15070</v>
      </c>
      <c r="J38" s="171">
        <v>11488</v>
      </c>
      <c r="K38" s="171">
        <v>26558</v>
      </c>
      <c r="L38" s="170">
        <v>470637</v>
      </c>
      <c r="M38" s="170">
        <v>486582</v>
      </c>
      <c r="N38" s="171">
        <v>957219</v>
      </c>
      <c r="O38" s="315">
        <v>81.449887855125439</v>
      </c>
      <c r="P38" s="315">
        <v>89.225764571696814</v>
      </c>
      <c r="Q38" s="315">
        <v>85.225372653277091</v>
      </c>
      <c r="R38" s="215">
        <v>470637</v>
      </c>
      <c r="S38" s="215">
        <v>486582</v>
      </c>
      <c r="T38" s="215">
        <v>957219</v>
      </c>
      <c r="U38" s="177"/>
      <c r="V38" s="177"/>
      <c r="W38" s="177">
        <v>0</v>
      </c>
      <c r="X38" s="177"/>
      <c r="Y38" s="177"/>
      <c r="Z38" s="177">
        <v>0</v>
      </c>
      <c r="AA38" s="216">
        <v>0</v>
      </c>
      <c r="AB38" s="216">
        <v>0</v>
      </c>
      <c r="AC38" s="216">
        <v>0</v>
      </c>
      <c r="AD38" s="216">
        <v>0</v>
      </c>
      <c r="AE38" s="216">
        <v>0</v>
      </c>
      <c r="AF38" s="216">
        <v>0</v>
      </c>
    </row>
    <row r="39" spans="1:32">
      <c r="A39" s="167">
        <v>30</v>
      </c>
      <c r="B39" s="27" t="s">
        <v>301</v>
      </c>
      <c r="C39" s="171">
        <v>24129</v>
      </c>
      <c r="D39" s="171">
        <v>21659</v>
      </c>
      <c r="E39" s="171">
        <v>45788</v>
      </c>
      <c r="F39" s="171">
        <v>13775</v>
      </c>
      <c r="G39" s="171">
        <v>11337</v>
      </c>
      <c r="H39" s="171">
        <v>25112</v>
      </c>
      <c r="I39" s="177">
        <v>0</v>
      </c>
      <c r="J39" s="177">
        <v>0</v>
      </c>
      <c r="K39" s="177">
        <v>0</v>
      </c>
      <c r="L39" s="170">
        <v>13775</v>
      </c>
      <c r="M39" s="170">
        <v>11337</v>
      </c>
      <c r="N39" s="171">
        <v>25112</v>
      </c>
      <c r="O39" s="315">
        <v>57.08898006548138</v>
      </c>
      <c r="P39" s="315">
        <v>52.343136802253113</v>
      </c>
      <c r="Q39" s="315">
        <v>54.844063946885647</v>
      </c>
      <c r="R39" s="215">
        <f t="shared" si="8"/>
        <v>13775</v>
      </c>
      <c r="S39" s="215">
        <f t="shared" si="8"/>
        <v>11337</v>
      </c>
      <c r="T39" s="215">
        <f t="shared" si="8"/>
        <v>25112</v>
      </c>
      <c r="U39" s="177"/>
      <c r="V39" s="177"/>
      <c r="W39" s="177">
        <f t="shared" si="4"/>
        <v>0</v>
      </c>
      <c r="X39" s="215">
        <v>1242</v>
      </c>
      <c r="Y39" s="215">
        <v>884</v>
      </c>
      <c r="Z39" s="215">
        <f t="shared" si="5"/>
        <v>2126</v>
      </c>
      <c r="AA39" s="216">
        <f t="shared" si="6"/>
        <v>0</v>
      </c>
      <c r="AB39" s="216">
        <f t="shared" si="6"/>
        <v>0</v>
      </c>
      <c r="AC39" s="216">
        <f t="shared" si="6"/>
        <v>0</v>
      </c>
      <c r="AD39" s="313">
        <f t="shared" si="7"/>
        <v>9.0163339382940109</v>
      </c>
      <c r="AE39" s="313">
        <f t="shared" si="7"/>
        <v>7.7974772867601656</v>
      </c>
      <c r="AF39" s="313">
        <f t="shared" si="7"/>
        <v>8.4660719974514169</v>
      </c>
    </row>
    <row r="40" spans="1:32" ht="28.5">
      <c r="A40" s="167">
        <v>31</v>
      </c>
      <c r="B40" s="27" t="s">
        <v>302</v>
      </c>
      <c r="C40" s="171">
        <v>1922649</v>
      </c>
      <c r="D40" s="171">
        <v>1382924</v>
      </c>
      <c r="E40" s="171">
        <v>3305573</v>
      </c>
      <c r="F40" s="171">
        <v>1267375</v>
      </c>
      <c r="G40" s="171">
        <v>1072602</v>
      </c>
      <c r="H40" s="171">
        <v>2339977</v>
      </c>
      <c r="I40" s="171">
        <v>31662</v>
      </c>
      <c r="J40" s="171">
        <v>14062</v>
      </c>
      <c r="K40" s="171">
        <v>45724</v>
      </c>
      <c r="L40" s="170">
        <v>1299037</v>
      </c>
      <c r="M40" s="170">
        <v>1086664</v>
      </c>
      <c r="N40" s="171">
        <v>2385701</v>
      </c>
      <c r="O40" s="315">
        <v>67.564958554577572</v>
      </c>
      <c r="P40" s="315">
        <v>78.577275396189521</v>
      </c>
      <c r="Q40" s="315">
        <v>72.172086352351016</v>
      </c>
      <c r="R40" s="215">
        <f t="shared" si="8"/>
        <v>1299037</v>
      </c>
      <c r="S40" s="215">
        <f t="shared" si="8"/>
        <v>1086664</v>
      </c>
      <c r="T40" s="215">
        <f t="shared" si="8"/>
        <v>2385701</v>
      </c>
      <c r="U40" s="177"/>
      <c r="V40" s="177"/>
      <c r="W40" s="177">
        <f t="shared" si="4"/>
        <v>0</v>
      </c>
      <c r="X40" s="177"/>
      <c r="Y40" s="177"/>
      <c r="Z40" s="177">
        <f t="shared" si="5"/>
        <v>0</v>
      </c>
      <c r="AA40" s="216">
        <f t="shared" si="6"/>
        <v>0</v>
      </c>
      <c r="AB40" s="216">
        <f t="shared" si="6"/>
        <v>0</v>
      </c>
      <c r="AC40" s="216">
        <f t="shared" si="6"/>
        <v>0</v>
      </c>
      <c r="AD40" s="216">
        <f t="shared" si="7"/>
        <v>0</v>
      </c>
      <c r="AE40" s="216">
        <f t="shared" si="7"/>
        <v>0</v>
      </c>
      <c r="AF40" s="216">
        <f t="shared" si="7"/>
        <v>0</v>
      </c>
    </row>
    <row r="41" spans="1:32">
      <c r="A41" s="167">
        <v>32</v>
      </c>
      <c r="B41" s="27" t="s">
        <v>276</v>
      </c>
      <c r="C41" s="171">
        <v>93853</v>
      </c>
      <c r="D41" s="171">
        <v>84885</v>
      </c>
      <c r="E41" s="171">
        <v>178738</v>
      </c>
      <c r="F41" s="171">
        <v>60980</v>
      </c>
      <c r="G41" s="171">
        <v>64604</v>
      </c>
      <c r="H41" s="171">
        <v>125584</v>
      </c>
      <c r="I41" s="177">
        <v>0</v>
      </c>
      <c r="J41" s="177">
        <v>0</v>
      </c>
      <c r="K41" s="177">
        <v>0</v>
      </c>
      <c r="L41" s="170">
        <v>60980</v>
      </c>
      <c r="M41" s="170">
        <v>64604</v>
      </c>
      <c r="N41" s="171">
        <v>125584</v>
      </c>
      <c r="O41" s="315">
        <v>64.973948621780877</v>
      </c>
      <c r="P41" s="315">
        <v>76.10767508982741</v>
      </c>
      <c r="Q41" s="315">
        <v>70.261500072732147</v>
      </c>
      <c r="R41" s="215">
        <f t="shared" si="8"/>
        <v>60980</v>
      </c>
      <c r="S41" s="215">
        <f t="shared" si="8"/>
        <v>64604</v>
      </c>
      <c r="T41" s="215">
        <f t="shared" si="8"/>
        <v>125584</v>
      </c>
      <c r="U41" s="251">
        <v>1713</v>
      </c>
      <c r="V41" s="251">
        <v>1270</v>
      </c>
      <c r="W41" s="215">
        <f t="shared" si="4"/>
        <v>2983</v>
      </c>
      <c r="X41" s="215">
        <v>12719</v>
      </c>
      <c r="Y41" s="215">
        <v>13259</v>
      </c>
      <c r="Z41" s="215">
        <f t="shared" si="5"/>
        <v>25978</v>
      </c>
      <c r="AA41" s="313">
        <f t="shared" si="6"/>
        <v>2.8091177435224668</v>
      </c>
      <c r="AB41" s="313">
        <f t="shared" si="6"/>
        <v>1.9658225496873261</v>
      </c>
      <c r="AC41" s="313">
        <f t="shared" si="6"/>
        <v>2.3753025863167285</v>
      </c>
      <c r="AD41" s="313">
        <f t="shared" si="7"/>
        <v>20.857658248606104</v>
      </c>
      <c r="AE41" s="313">
        <f t="shared" si="7"/>
        <v>20.523496997089964</v>
      </c>
      <c r="AF41" s="313">
        <f t="shared" si="7"/>
        <v>20.685756147279911</v>
      </c>
    </row>
    <row r="42" spans="1:32" ht="28.5">
      <c r="A42" s="167">
        <v>33</v>
      </c>
      <c r="B42" s="27" t="s">
        <v>172</v>
      </c>
      <c r="C42" s="171">
        <v>465514</v>
      </c>
      <c r="D42" s="171">
        <v>498783</v>
      </c>
      <c r="E42" s="171">
        <v>964297</v>
      </c>
      <c r="F42" s="171">
        <v>388509</v>
      </c>
      <c r="G42" s="171">
        <v>367027</v>
      </c>
      <c r="H42" s="171">
        <v>755536</v>
      </c>
      <c r="I42" s="171">
        <v>16245</v>
      </c>
      <c r="J42" s="171">
        <v>16324</v>
      </c>
      <c r="K42" s="171">
        <v>32569</v>
      </c>
      <c r="L42" s="170">
        <v>404754</v>
      </c>
      <c r="M42" s="170">
        <v>383351</v>
      </c>
      <c r="N42" s="171">
        <v>788105</v>
      </c>
      <c r="O42" s="315">
        <v>86.947760969594896</v>
      </c>
      <c r="P42" s="315">
        <v>76.857270596632205</v>
      </c>
      <c r="Q42" s="315">
        <v>81.728450881834121</v>
      </c>
      <c r="R42" s="215">
        <f t="shared" si="8"/>
        <v>404754</v>
      </c>
      <c r="S42" s="215">
        <f t="shared" si="8"/>
        <v>383351</v>
      </c>
      <c r="T42" s="215">
        <f t="shared" si="8"/>
        <v>788105</v>
      </c>
      <c r="U42" s="177"/>
      <c r="V42" s="177"/>
      <c r="W42" s="177">
        <f t="shared" si="4"/>
        <v>0</v>
      </c>
      <c r="X42" s="177"/>
      <c r="Y42" s="177"/>
      <c r="Z42" s="177">
        <f t="shared" si="5"/>
        <v>0</v>
      </c>
      <c r="AA42" s="216">
        <f t="shared" si="6"/>
        <v>0</v>
      </c>
      <c r="AB42" s="216">
        <f t="shared" si="6"/>
        <v>0</v>
      </c>
      <c r="AC42" s="216">
        <f t="shared" si="6"/>
        <v>0</v>
      </c>
      <c r="AD42" s="216">
        <f t="shared" si="7"/>
        <v>0</v>
      </c>
      <c r="AE42" s="216">
        <f t="shared" si="7"/>
        <v>0</v>
      </c>
      <c r="AF42" s="216">
        <f t="shared" si="7"/>
        <v>0</v>
      </c>
    </row>
    <row r="43" spans="1:32" ht="28.5">
      <c r="A43" s="268">
        <v>34</v>
      </c>
      <c r="B43" s="80" t="s">
        <v>277</v>
      </c>
      <c r="C43" s="190">
        <v>16951</v>
      </c>
      <c r="D43" s="190">
        <v>29307</v>
      </c>
      <c r="E43" s="190">
        <v>46258</v>
      </c>
      <c r="F43" s="190">
        <v>14145</v>
      </c>
      <c r="G43" s="190">
        <v>21204</v>
      </c>
      <c r="H43" s="190">
        <v>35349</v>
      </c>
      <c r="I43" s="192">
        <v>0</v>
      </c>
      <c r="J43" s="192">
        <v>0</v>
      </c>
      <c r="K43" s="192">
        <v>0</v>
      </c>
      <c r="L43" s="189">
        <v>14145</v>
      </c>
      <c r="M43" s="189">
        <v>21204</v>
      </c>
      <c r="N43" s="190">
        <v>35349</v>
      </c>
      <c r="O43" s="322">
        <v>83.446404341926723</v>
      </c>
      <c r="P43" s="322">
        <v>72.351315385402799</v>
      </c>
      <c r="Q43" s="322">
        <v>76.417052185567897</v>
      </c>
      <c r="R43" s="212">
        <f t="shared" si="8"/>
        <v>14145</v>
      </c>
      <c r="S43" s="212">
        <f t="shared" si="8"/>
        <v>21204</v>
      </c>
      <c r="T43" s="212">
        <f t="shared" si="8"/>
        <v>35349</v>
      </c>
      <c r="U43" s="323">
        <f>243+63</f>
        <v>306</v>
      </c>
      <c r="V43" s="323">
        <f>192+1</f>
        <v>193</v>
      </c>
      <c r="W43" s="212">
        <f t="shared" si="4"/>
        <v>499</v>
      </c>
      <c r="X43" s="212">
        <f>998+519</f>
        <v>1517</v>
      </c>
      <c r="Y43" s="212">
        <f>1025+99</f>
        <v>1124</v>
      </c>
      <c r="Z43" s="212">
        <f t="shared" si="5"/>
        <v>2641</v>
      </c>
      <c r="AA43" s="324">
        <f t="shared" si="6"/>
        <v>2.1633085896076354</v>
      </c>
      <c r="AB43" s="324">
        <f t="shared" si="6"/>
        <v>0.91020562158083385</v>
      </c>
      <c r="AC43" s="324">
        <f t="shared" si="6"/>
        <v>1.4116382358765454</v>
      </c>
      <c r="AD43" s="324">
        <f t="shared" si="7"/>
        <v>10.724637681159422</v>
      </c>
      <c r="AE43" s="324">
        <f t="shared" si="7"/>
        <v>5.300886625165063</v>
      </c>
      <c r="AF43" s="324">
        <f t="shared" si="7"/>
        <v>7.4712155930860842</v>
      </c>
    </row>
    <row r="44" spans="1:32">
      <c r="A44" s="640" t="s">
        <v>256</v>
      </c>
      <c r="B44" s="640"/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</row>
    <row r="45" spans="1:32" ht="28.5">
      <c r="A45" s="167">
        <v>1</v>
      </c>
      <c r="B45" s="43" t="s">
        <v>249</v>
      </c>
      <c r="C45" s="170">
        <v>106399</v>
      </c>
      <c r="D45" s="170">
        <v>47725</v>
      </c>
      <c r="E45" s="171">
        <v>154124</v>
      </c>
      <c r="F45" s="170">
        <v>96988</v>
      </c>
      <c r="G45" s="170">
        <v>42660</v>
      </c>
      <c r="H45" s="171">
        <v>139648</v>
      </c>
      <c r="I45" s="170"/>
      <c r="J45" s="170"/>
      <c r="K45" s="171"/>
      <c r="L45" s="170">
        <v>96988</v>
      </c>
      <c r="M45" s="170">
        <v>42660</v>
      </c>
      <c r="N45" s="171">
        <v>139648</v>
      </c>
      <c r="O45" s="170">
        <f>+L45/C45%</f>
        <v>91.154992058196029</v>
      </c>
      <c r="P45" s="170">
        <f t="shared" ref="P45:Q45" si="9">+M45/D45%</f>
        <v>89.387113672079622</v>
      </c>
      <c r="Q45" s="170">
        <f t="shared" si="9"/>
        <v>90.607562741688511</v>
      </c>
      <c r="R45" s="215">
        <v>96988</v>
      </c>
      <c r="S45" s="215">
        <v>42660</v>
      </c>
      <c r="T45" s="215">
        <v>139648</v>
      </c>
      <c r="U45" s="215">
        <v>774</v>
      </c>
      <c r="V45" s="215">
        <v>502</v>
      </c>
      <c r="W45" s="215">
        <v>1276</v>
      </c>
      <c r="X45" s="215">
        <v>15195</v>
      </c>
      <c r="Y45" s="215">
        <v>6609</v>
      </c>
      <c r="Z45" s="215">
        <v>21804</v>
      </c>
      <c r="AA45" s="313">
        <v>0.79803687054068539</v>
      </c>
      <c r="AB45" s="313">
        <v>1.1767463666197844</v>
      </c>
      <c r="AC45" s="313">
        <v>0.91372593950504122</v>
      </c>
      <c r="AD45" s="313">
        <v>15.666886625149504</v>
      </c>
      <c r="AE45" s="313">
        <v>15.492264416315049</v>
      </c>
      <c r="AF45" s="313">
        <v>15.613542621448213</v>
      </c>
    </row>
    <row r="46" spans="1:32">
      <c r="A46" s="167">
        <v>2</v>
      </c>
      <c r="B46" s="329" t="s">
        <v>250</v>
      </c>
      <c r="C46" s="207">
        <v>77812</v>
      </c>
      <c r="D46" s="207">
        <v>34996</v>
      </c>
      <c r="E46" s="171">
        <v>112808</v>
      </c>
      <c r="F46" s="207">
        <v>56130</v>
      </c>
      <c r="G46" s="207">
        <v>26954</v>
      </c>
      <c r="H46" s="171">
        <v>83084</v>
      </c>
      <c r="I46" s="330"/>
      <c r="J46" s="330"/>
      <c r="K46" s="171"/>
      <c r="L46" s="207">
        <v>56130</v>
      </c>
      <c r="M46" s="207">
        <v>26954</v>
      </c>
      <c r="N46" s="171">
        <v>83084</v>
      </c>
      <c r="O46" s="170">
        <f t="shared" ref="O46:Q51" si="10">+L46/C46%</f>
        <v>72.135403279699787</v>
      </c>
      <c r="P46" s="170">
        <f t="shared" ref="P46:P50" si="11">+M46/D46%</f>
        <v>77.02023088352955</v>
      </c>
      <c r="Q46" s="170">
        <f t="shared" ref="Q46:Q50" si="12">+N46/E46%</f>
        <v>73.650804907453377</v>
      </c>
      <c r="R46" s="215">
        <v>56130</v>
      </c>
      <c r="S46" s="215">
        <v>26954</v>
      </c>
      <c r="T46" s="215">
        <v>83084</v>
      </c>
      <c r="U46" s="215">
        <v>357</v>
      </c>
      <c r="V46" s="215">
        <v>285</v>
      </c>
      <c r="W46" s="215">
        <v>642</v>
      </c>
      <c r="X46" s="215">
        <v>9764</v>
      </c>
      <c r="Y46" s="215">
        <v>6147</v>
      </c>
      <c r="Z46" s="215">
        <v>15911</v>
      </c>
      <c r="AA46" s="313">
        <v>0.63602351683591662</v>
      </c>
      <c r="AB46" s="313">
        <v>1.0573569785560584</v>
      </c>
      <c r="AC46" s="313">
        <v>0.77271195416686722</v>
      </c>
      <c r="AD46" s="313">
        <v>17.395332264386248</v>
      </c>
      <c r="AE46" s="313">
        <v>22.805520516435408</v>
      </c>
      <c r="AF46" s="313">
        <v>19.150498290886333</v>
      </c>
    </row>
    <row r="47" spans="1:32">
      <c r="A47" s="167">
        <v>3</v>
      </c>
      <c r="B47" s="45" t="s">
        <v>251</v>
      </c>
      <c r="C47" s="170">
        <v>36253</v>
      </c>
      <c r="D47" s="170">
        <v>29053</v>
      </c>
      <c r="E47" s="171">
        <v>65306</v>
      </c>
      <c r="F47" s="170">
        <v>24996</v>
      </c>
      <c r="G47" s="170">
        <v>21553</v>
      </c>
      <c r="H47" s="171">
        <v>46549</v>
      </c>
      <c r="I47" s="170"/>
      <c r="J47" s="170"/>
      <c r="K47" s="171"/>
      <c r="L47" s="170">
        <v>24996</v>
      </c>
      <c r="M47" s="170">
        <v>21553</v>
      </c>
      <c r="N47" s="171">
        <v>46549</v>
      </c>
      <c r="O47" s="170">
        <f t="shared" si="10"/>
        <v>68.948776652966657</v>
      </c>
      <c r="P47" s="170">
        <f t="shared" si="11"/>
        <v>74.18510997143153</v>
      </c>
      <c r="Q47" s="170">
        <f t="shared" si="12"/>
        <v>71.278289896793567</v>
      </c>
      <c r="R47" s="215">
        <v>24996</v>
      </c>
      <c r="S47" s="215">
        <v>21553</v>
      </c>
      <c r="T47" s="215">
        <v>46549</v>
      </c>
      <c r="U47" s="215">
        <v>6</v>
      </c>
      <c r="V47" s="215">
        <v>9</v>
      </c>
      <c r="W47" s="215">
        <v>15</v>
      </c>
      <c r="X47" s="215">
        <v>657</v>
      </c>
      <c r="Y47" s="215">
        <v>608</v>
      </c>
      <c r="Z47" s="215">
        <v>1265</v>
      </c>
      <c r="AA47" s="313">
        <v>2.4003840614498319E-2</v>
      </c>
      <c r="AB47" s="313">
        <v>4.1757527954345106E-2</v>
      </c>
      <c r="AC47" s="313">
        <v>3.2224107929278822E-2</v>
      </c>
      <c r="AD47" s="313">
        <v>2.6284205472875661</v>
      </c>
      <c r="AE47" s="313">
        <v>2.8209529995824245</v>
      </c>
      <c r="AF47" s="313">
        <v>2.7175664353691809</v>
      </c>
    </row>
    <row r="48" spans="1:32" ht="28.5">
      <c r="A48" s="167">
        <v>4</v>
      </c>
      <c r="B48" s="45" t="s">
        <v>252</v>
      </c>
      <c r="C48" s="170">
        <v>86665</v>
      </c>
      <c r="D48" s="170">
        <v>48777</v>
      </c>
      <c r="E48" s="171">
        <v>135442</v>
      </c>
      <c r="F48" s="170">
        <v>22664</v>
      </c>
      <c r="G48" s="170">
        <v>16435</v>
      </c>
      <c r="H48" s="171">
        <v>39099</v>
      </c>
      <c r="I48" s="170"/>
      <c r="J48" s="170"/>
      <c r="K48" s="171"/>
      <c r="L48" s="170">
        <v>22664</v>
      </c>
      <c r="M48" s="170">
        <v>16435</v>
      </c>
      <c r="N48" s="171">
        <v>39099</v>
      </c>
      <c r="O48" s="170">
        <f t="shared" si="10"/>
        <v>26.151272139848842</v>
      </c>
      <c r="P48" s="170">
        <f t="shared" si="11"/>
        <v>33.694159132377969</v>
      </c>
      <c r="Q48" s="170">
        <f t="shared" si="12"/>
        <v>28.86770721046647</v>
      </c>
      <c r="R48" s="215">
        <v>22664</v>
      </c>
      <c r="S48" s="215">
        <v>16435</v>
      </c>
      <c r="T48" s="215">
        <v>39099</v>
      </c>
      <c r="U48" s="215">
        <v>44</v>
      </c>
      <c r="V48" s="215">
        <v>12</v>
      </c>
      <c r="W48" s="215">
        <v>56</v>
      </c>
      <c r="X48" s="215">
        <v>547</v>
      </c>
      <c r="Y48" s="215">
        <v>385</v>
      </c>
      <c r="Z48" s="215">
        <v>932</v>
      </c>
      <c r="AA48" s="313">
        <v>0.19414048711613133</v>
      </c>
      <c r="AB48" s="313">
        <v>7.3014907210222094E-2</v>
      </c>
      <c r="AC48" s="313">
        <v>0.14322616946724981</v>
      </c>
      <c r="AD48" s="313">
        <v>2.41351923755736</v>
      </c>
      <c r="AE48" s="313">
        <v>2.3425616063279588</v>
      </c>
      <c r="AF48" s="313">
        <v>2.3836926775620859</v>
      </c>
    </row>
    <row r="49" spans="1:32" ht="28.5">
      <c r="A49" s="167">
        <v>5</v>
      </c>
      <c r="B49" s="43" t="s">
        <v>253</v>
      </c>
      <c r="C49" s="170">
        <v>18786</v>
      </c>
      <c r="D49" s="170">
        <v>16960</v>
      </c>
      <c r="E49" s="171">
        <v>35746</v>
      </c>
      <c r="F49" s="170">
        <v>9071</v>
      </c>
      <c r="G49" s="170">
        <v>10801</v>
      </c>
      <c r="H49" s="171">
        <v>19872</v>
      </c>
      <c r="I49" s="180"/>
      <c r="J49" s="180"/>
      <c r="K49" s="177"/>
      <c r="L49" s="170">
        <v>9071</v>
      </c>
      <c r="M49" s="170">
        <v>10801</v>
      </c>
      <c r="N49" s="171">
        <v>19872</v>
      </c>
      <c r="O49" s="170">
        <f t="shared" si="10"/>
        <v>48.28595762802086</v>
      </c>
      <c r="P49" s="170">
        <f t="shared" si="11"/>
        <v>63.685141509433961</v>
      </c>
      <c r="Q49" s="170">
        <f t="shared" si="12"/>
        <v>55.592234096122645</v>
      </c>
      <c r="R49" s="215">
        <v>9071</v>
      </c>
      <c r="S49" s="215">
        <v>10801</v>
      </c>
      <c r="T49" s="215">
        <v>19872</v>
      </c>
      <c r="U49" s="177"/>
      <c r="V49" s="177"/>
      <c r="W49" s="177">
        <v>0</v>
      </c>
      <c r="X49" s="177"/>
      <c r="Y49" s="177"/>
      <c r="Z49" s="177">
        <v>0</v>
      </c>
      <c r="AA49" s="216">
        <v>0</v>
      </c>
      <c r="AB49" s="216">
        <v>0</v>
      </c>
      <c r="AC49" s="216">
        <v>0</v>
      </c>
      <c r="AD49" s="216">
        <v>0</v>
      </c>
      <c r="AE49" s="216">
        <v>0</v>
      </c>
      <c r="AF49" s="216">
        <v>0</v>
      </c>
    </row>
    <row r="50" spans="1:32" ht="28.5">
      <c r="A50" s="268">
        <v>6</v>
      </c>
      <c r="B50" s="44" t="s">
        <v>296</v>
      </c>
      <c r="C50" s="189">
        <v>21313</v>
      </c>
      <c r="D50" s="189">
        <v>23380</v>
      </c>
      <c r="E50" s="171">
        <v>44693</v>
      </c>
      <c r="F50" s="189">
        <v>7905</v>
      </c>
      <c r="G50" s="189">
        <v>9636</v>
      </c>
      <c r="H50" s="171">
        <v>17541</v>
      </c>
      <c r="I50" s="189"/>
      <c r="J50" s="189"/>
      <c r="K50" s="171"/>
      <c r="L50" s="189">
        <v>7905</v>
      </c>
      <c r="M50" s="189">
        <v>9636</v>
      </c>
      <c r="N50" s="171">
        <v>17541</v>
      </c>
      <c r="O50" s="170">
        <f t="shared" si="10"/>
        <v>37.090038943367901</v>
      </c>
      <c r="P50" s="170">
        <f t="shared" si="11"/>
        <v>41.214713430282288</v>
      </c>
      <c r="Q50" s="170">
        <f t="shared" si="12"/>
        <v>39.247756919428099</v>
      </c>
      <c r="R50" s="212">
        <v>7905</v>
      </c>
      <c r="S50" s="212">
        <v>9636</v>
      </c>
      <c r="T50" s="212">
        <v>17541</v>
      </c>
      <c r="U50" s="192"/>
      <c r="V50" s="192"/>
      <c r="W50" s="192">
        <v>0</v>
      </c>
      <c r="X50" s="212">
        <v>616</v>
      </c>
      <c r="Y50" s="212">
        <v>827</v>
      </c>
      <c r="Z50" s="212">
        <v>1443</v>
      </c>
      <c r="AA50" s="193">
        <v>0</v>
      </c>
      <c r="AB50" s="193">
        <v>0</v>
      </c>
      <c r="AC50" s="193">
        <v>0</v>
      </c>
      <c r="AD50" s="324">
        <v>7.7925363693864647</v>
      </c>
      <c r="AE50" s="324">
        <v>8.5823993358239932</v>
      </c>
      <c r="AF50" s="324">
        <v>8.2264409098683089</v>
      </c>
    </row>
    <row r="51" spans="1:32">
      <c r="A51" s="642" t="s">
        <v>3</v>
      </c>
      <c r="B51" s="642"/>
      <c r="C51" s="218">
        <f>SUM(C8:C50)</f>
        <v>10287144</v>
      </c>
      <c r="D51" s="218">
        <f t="shared" ref="D51:N51" si="13">SUM(D8:D50)</f>
        <v>8287633</v>
      </c>
      <c r="E51" s="218">
        <f t="shared" si="13"/>
        <v>18574777</v>
      </c>
      <c r="F51" s="218">
        <f t="shared" si="13"/>
        <v>7319342</v>
      </c>
      <c r="G51" s="218">
        <f t="shared" si="13"/>
        <v>6221009</v>
      </c>
      <c r="H51" s="218">
        <f t="shared" si="13"/>
        <v>13540351</v>
      </c>
      <c r="I51" s="218">
        <f t="shared" si="13"/>
        <v>329188</v>
      </c>
      <c r="J51" s="218">
        <f t="shared" si="13"/>
        <v>241581</v>
      </c>
      <c r="K51" s="218">
        <f t="shared" si="13"/>
        <v>570769</v>
      </c>
      <c r="L51" s="218">
        <f t="shared" si="13"/>
        <v>7648530</v>
      </c>
      <c r="M51" s="218">
        <f t="shared" si="13"/>
        <v>6462590</v>
      </c>
      <c r="N51" s="218">
        <f t="shared" si="13"/>
        <v>14111120</v>
      </c>
      <c r="O51" s="219">
        <f t="shared" si="10"/>
        <v>74.350373631398568</v>
      </c>
      <c r="P51" s="219">
        <f t="shared" si="10"/>
        <v>77.978718410914183</v>
      </c>
      <c r="Q51" s="219">
        <f t="shared" si="10"/>
        <v>75.96925658919082</v>
      </c>
      <c r="R51" s="218">
        <f t="shared" ref="R51:Z51" si="14">SUM(R8:R50)</f>
        <v>7648530</v>
      </c>
      <c r="S51" s="218">
        <f t="shared" si="14"/>
        <v>6462590</v>
      </c>
      <c r="T51" s="218">
        <f t="shared" si="14"/>
        <v>14111120</v>
      </c>
      <c r="U51" s="218">
        <f t="shared" si="14"/>
        <v>557964</v>
      </c>
      <c r="V51" s="218">
        <f t="shared" si="14"/>
        <v>565418</v>
      </c>
      <c r="W51" s="218">
        <f t="shared" si="14"/>
        <v>1123382</v>
      </c>
      <c r="X51" s="218">
        <f t="shared" si="14"/>
        <v>1191238</v>
      </c>
      <c r="Y51" s="218">
        <f t="shared" si="14"/>
        <v>1025991</v>
      </c>
      <c r="Z51" s="218">
        <f t="shared" si="14"/>
        <v>2217229</v>
      </c>
      <c r="AA51" s="220">
        <f>+U51/R51%</f>
        <v>7.2950488525246024</v>
      </c>
      <c r="AB51" s="220">
        <f t="shared" ref="AB51:AC51" si="15">+V51/S51%</f>
        <v>8.7490928559602263</v>
      </c>
      <c r="AC51" s="220">
        <f t="shared" si="15"/>
        <v>7.9609697883654871</v>
      </c>
      <c r="AD51" s="220">
        <f>+X51/R51%</f>
        <v>15.574731353606509</v>
      </c>
      <c r="AE51" s="220">
        <f t="shared" ref="AE51:AF51" si="16">+Y51/S51%</f>
        <v>15.87584853750586</v>
      </c>
      <c r="AF51" s="220">
        <f t="shared" si="16"/>
        <v>15.712636558969095</v>
      </c>
    </row>
    <row r="52" spans="1:32">
      <c r="A52" s="325"/>
      <c r="B52" s="326"/>
      <c r="C52" s="625" t="s">
        <v>278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 t="s">
        <v>278</v>
      </c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</row>
    <row r="53" spans="1:32">
      <c r="A53" s="327"/>
      <c r="B53" s="328"/>
      <c r="C53" s="625" t="s">
        <v>248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 t="s">
        <v>248</v>
      </c>
      <c r="S53" s="625"/>
      <c r="T53" s="625"/>
      <c r="U53" s="625"/>
      <c r="V53" s="625"/>
      <c r="W53" s="625"/>
      <c r="X53" s="625"/>
      <c r="Y53" s="625"/>
      <c r="Z53" s="625"/>
      <c r="AA53" s="625"/>
      <c r="AB53" s="625"/>
      <c r="AC53" s="625"/>
      <c r="AD53" s="625"/>
      <c r="AE53" s="625"/>
      <c r="AF53" s="625"/>
    </row>
    <row r="54" spans="1:32">
      <c r="A54" s="205"/>
      <c r="B54" s="145"/>
      <c r="C54" s="625" t="s">
        <v>228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 t="s">
        <v>228</v>
      </c>
      <c r="S54" s="625"/>
      <c r="T54" s="625"/>
      <c r="U54" s="625"/>
      <c r="V54" s="625"/>
      <c r="W54" s="625"/>
      <c r="X54" s="625"/>
      <c r="Y54" s="625"/>
      <c r="Z54" s="625"/>
      <c r="AA54" s="625"/>
      <c r="AB54" s="625"/>
      <c r="AC54" s="625"/>
      <c r="AD54" s="625"/>
      <c r="AE54" s="625"/>
      <c r="AF54" s="625"/>
    </row>
    <row r="55" spans="1:32">
      <c r="A55" s="205"/>
      <c r="B55" s="145"/>
      <c r="C55" s="658" t="s">
        <v>303</v>
      </c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 t="s">
        <v>303</v>
      </c>
      <c r="S55" s="658"/>
      <c r="T55" s="658"/>
      <c r="U55" s="658"/>
      <c r="V55" s="658"/>
      <c r="W55" s="658"/>
      <c r="X55" s="658"/>
      <c r="Y55" s="658"/>
      <c r="Z55" s="658"/>
      <c r="AA55" s="658"/>
      <c r="AB55" s="658"/>
      <c r="AC55" s="658"/>
      <c r="AD55" s="658"/>
      <c r="AE55" s="658"/>
      <c r="AF55" s="658"/>
    </row>
    <row r="56" spans="1:32">
      <c r="A56" s="205"/>
      <c r="B56" s="145"/>
      <c r="C56" s="346" t="s">
        <v>313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346" t="s">
        <v>313</v>
      </c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</row>
    <row r="57" spans="1:32">
      <c r="A57" s="205"/>
      <c r="B57" s="145"/>
      <c r="C57" s="369" t="s">
        <v>333</v>
      </c>
      <c r="D57" s="369"/>
      <c r="E57" s="369"/>
      <c r="F57" s="370" t="s">
        <v>334</v>
      </c>
      <c r="G57" s="369"/>
      <c r="H57" s="369"/>
      <c r="I57" s="369"/>
      <c r="J57" s="145"/>
      <c r="R57" s="369" t="s">
        <v>333</v>
      </c>
      <c r="S57" s="369"/>
      <c r="T57" s="369"/>
      <c r="U57" s="370" t="s">
        <v>334</v>
      </c>
      <c r="V57" s="369"/>
      <c r="W57" s="369"/>
      <c r="X57" s="369"/>
    </row>
    <row r="58" spans="1:32">
      <c r="A58" s="205"/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  <row r="59" spans="1:32">
      <c r="A59" s="205"/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spans="1:32">
      <c r="A60" s="205"/>
      <c r="B60" s="145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32">
      <c r="A61" s="20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32">
      <c r="A62" s="205"/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32">
      <c r="A63" s="205"/>
      <c r="B63" s="145"/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32">
      <c r="A64" s="205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32">
      <c r="A65" s="205"/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32">
      <c r="A66" s="20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</row>
    <row r="67" spans="1:32">
      <c r="A67" s="20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</row>
    <row r="68" spans="1:32">
      <c r="A68" s="20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</row>
    <row r="69" spans="1:32">
      <c r="A69" s="20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</row>
    <row r="70" spans="1:32">
      <c r="A70" s="20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</row>
    <row r="71" spans="1:32">
      <c r="A71" s="20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</row>
    <row r="72" spans="1:32">
      <c r="A72" s="20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</row>
    <row r="73" spans="1:32">
      <c r="A73" s="20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</row>
    <row r="74" spans="1:32">
      <c r="A74" s="20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</row>
    <row r="75" spans="1:32">
      <c r="A75" s="20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</row>
    <row r="76" spans="1:32">
      <c r="A76" s="20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</row>
    <row r="77" spans="1:32">
      <c r="A77" s="20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</row>
    <row r="78" spans="1:32">
      <c r="A78" s="20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</row>
    <row r="79" spans="1:32">
      <c r="A79" s="20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</row>
    <row r="80" spans="1:32">
      <c r="A80" s="20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</row>
    <row r="81" spans="1:32">
      <c r="A81" s="20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</row>
    <row r="82" spans="1:32">
      <c r="A82" s="20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</row>
    <row r="83" spans="1:32">
      <c r="A83" s="20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</row>
    <row r="84" spans="1:32">
      <c r="A84" s="20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</row>
    <row r="85" spans="1:32">
      <c r="A85" s="20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</row>
    <row r="86" spans="1:32">
      <c r="A86" s="20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</row>
    <row r="87" spans="1:32">
      <c r="A87" s="20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</row>
    <row r="88" spans="1:32">
      <c r="A88" s="20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2">
      <c r="A89" s="20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</row>
    <row r="90" spans="1:32">
      <c r="A90" s="20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</row>
    <row r="91" spans="1:32">
      <c r="A91" s="20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</row>
    <row r="92" spans="1:32">
      <c r="A92" s="20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</row>
    <row r="93" spans="1:32">
      <c r="A93" s="20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</row>
  </sheetData>
  <mergeCells count="47">
    <mergeCell ref="A51:B51"/>
    <mergeCell ref="C44:D44"/>
    <mergeCell ref="E44:F44"/>
    <mergeCell ref="G44:H44"/>
    <mergeCell ref="I44:J44"/>
    <mergeCell ref="A44:B44"/>
    <mergeCell ref="R55:AF55"/>
    <mergeCell ref="R54:AF54"/>
    <mergeCell ref="C55:Q55"/>
    <mergeCell ref="C54:Q54"/>
    <mergeCell ref="C53:Q53"/>
    <mergeCell ref="R53:AF53"/>
    <mergeCell ref="R52:AF52"/>
    <mergeCell ref="C52:Q52"/>
    <mergeCell ref="Y44:Z44"/>
    <mergeCell ref="AA44:AB44"/>
    <mergeCell ref="AC44:AD44"/>
    <mergeCell ref="AE44:AF44"/>
    <mergeCell ref="M44:N44"/>
    <mergeCell ref="O44:P44"/>
    <mergeCell ref="Q44:R44"/>
    <mergeCell ref="S44:T44"/>
    <mergeCell ref="U44:V44"/>
    <mergeCell ref="W44:X44"/>
    <mergeCell ref="K44:L44"/>
    <mergeCell ref="C11:Q11"/>
    <mergeCell ref="R8:AF8"/>
    <mergeCell ref="A8:B8"/>
    <mergeCell ref="C8:Q8"/>
    <mergeCell ref="U5:W5"/>
    <mergeCell ref="X5:Z5"/>
    <mergeCell ref="AA5:AC5"/>
    <mergeCell ref="F5:H5"/>
    <mergeCell ref="I5:K5"/>
    <mergeCell ref="L5:N5"/>
    <mergeCell ref="C4:E5"/>
    <mergeCell ref="F4:N4"/>
    <mergeCell ref="R3:T5"/>
    <mergeCell ref="U3:Z4"/>
    <mergeCell ref="AA3:AF4"/>
    <mergeCell ref="AD5:AF5"/>
    <mergeCell ref="C1:Q1"/>
    <mergeCell ref="O3:Q5"/>
    <mergeCell ref="A3:A6"/>
    <mergeCell ref="B3:B6"/>
    <mergeCell ref="C3:N3"/>
    <mergeCell ref="C2:Q2"/>
  </mergeCells>
  <hyperlinks>
    <hyperlink ref="F57" r:id="rId1"/>
    <hyperlink ref="U57" r:id="rId2"/>
  </hyperlinks>
  <pageMargins left="0.70866141732283472" right="0.70866141732283472" top="0.74803149606299213" bottom="0.74803149606299213" header="0.31496062992125984" footer="0.31496062992125984"/>
  <pageSetup paperSize="9" scale="65" firstPageNumber="81" orientation="landscape" useFirstPageNumber="1" r:id="rId3"/>
  <headerFooter>
    <oddFooter>Page &amp;P</oddFooter>
  </headerFooter>
  <rowBreaks count="1" manualBreakCount="1">
    <brk id="34" max="16383" man="1"/>
  </rowBreaks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topLeftCell="A40" zoomScale="85" zoomScaleSheetLayoutView="85" workbookViewId="0">
      <selection activeCell="C51" sqref="C51"/>
    </sheetView>
  </sheetViews>
  <sheetFormatPr defaultRowHeight="15"/>
  <cols>
    <col min="1" max="1" width="9.28515625" bestFit="1" customWidth="1"/>
    <col min="2" max="2" width="35.140625" customWidth="1"/>
    <col min="3" max="3" width="11.7109375" customWidth="1"/>
    <col min="4" max="4" width="10.42578125" bestFit="1" customWidth="1"/>
    <col min="5" max="5" width="11.7109375" bestFit="1" customWidth="1"/>
    <col min="6" max="7" width="10.42578125" bestFit="1" customWidth="1"/>
    <col min="8" max="8" width="11.7109375" bestFit="1" customWidth="1"/>
    <col min="9" max="13" width="9.28515625" bestFit="1" customWidth="1"/>
    <col min="14" max="14" width="9.85546875" bestFit="1" customWidth="1"/>
    <col min="15" max="17" width="9.28515625" bestFit="1" customWidth="1"/>
  </cols>
  <sheetData>
    <row r="1" spans="1:32" ht="18" customHeight="1">
      <c r="A1" s="145"/>
      <c r="B1" s="164"/>
      <c r="C1" s="596" t="s">
        <v>304</v>
      </c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158" t="s">
        <v>304</v>
      </c>
      <c r="S1" s="158"/>
      <c r="T1" s="158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5.75" customHeight="1">
      <c r="A2" s="165"/>
      <c r="B2" s="166"/>
      <c r="C2" s="598" t="s">
        <v>343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147" t="s">
        <v>344</v>
      </c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15" customHeight="1">
      <c r="A3" s="604" t="s">
        <v>192</v>
      </c>
      <c r="B3" s="600" t="s">
        <v>260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1" t="s">
        <v>189</v>
      </c>
      <c r="P3" s="601"/>
      <c r="Q3" s="601"/>
      <c r="R3" s="563" t="s">
        <v>193</v>
      </c>
      <c r="S3" s="564"/>
      <c r="T3" s="565"/>
      <c r="U3" s="563" t="s">
        <v>194</v>
      </c>
      <c r="V3" s="564"/>
      <c r="W3" s="564"/>
      <c r="X3" s="564"/>
      <c r="Y3" s="564"/>
      <c r="Z3" s="565"/>
      <c r="AA3" s="563" t="s">
        <v>195</v>
      </c>
      <c r="AB3" s="564"/>
      <c r="AC3" s="564"/>
      <c r="AD3" s="564"/>
      <c r="AE3" s="564"/>
      <c r="AF3" s="565"/>
    </row>
    <row r="4" spans="1:32">
      <c r="A4" s="604"/>
      <c r="B4" s="600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1"/>
      <c r="P4" s="601"/>
      <c r="Q4" s="601"/>
      <c r="R4" s="575"/>
      <c r="S4" s="576"/>
      <c r="T4" s="577"/>
      <c r="U4" s="566"/>
      <c r="V4" s="567"/>
      <c r="W4" s="567"/>
      <c r="X4" s="567"/>
      <c r="Y4" s="567"/>
      <c r="Z4" s="568"/>
      <c r="AA4" s="566"/>
      <c r="AB4" s="567"/>
      <c r="AC4" s="567"/>
      <c r="AD4" s="567"/>
      <c r="AE4" s="567"/>
      <c r="AF4" s="568"/>
    </row>
    <row r="5" spans="1:32" ht="15" customHeight="1">
      <c r="A5" s="604"/>
      <c r="B5" s="600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262</v>
      </c>
      <c r="M5" s="600"/>
      <c r="N5" s="600"/>
      <c r="O5" s="601"/>
      <c r="P5" s="601"/>
      <c r="Q5" s="601"/>
      <c r="R5" s="566"/>
      <c r="S5" s="567"/>
      <c r="T5" s="568"/>
      <c r="U5" s="553" t="s">
        <v>229</v>
      </c>
      <c r="V5" s="554"/>
      <c r="W5" s="555"/>
      <c r="X5" s="553" t="s">
        <v>230</v>
      </c>
      <c r="Y5" s="554"/>
      <c r="Z5" s="555"/>
      <c r="AA5" s="553" t="s">
        <v>229</v>
      </c>
      <c r="AB5" s="554"/>
      <c r="AC5" s="555"/>
      <c r="AD5" s="553" t="s">
        <v>230</v>
      </c>
      <c r="AE5" s="554"/>
      <c r="AF5" s="555"/>
    </row>
    <row r="6" spans="1:32">
      <c r="A6" s="604"/>
      <c r="B6" s="600"/>
      <c r="C6" s="159" t="s">
        <v>43</v>
      </c>
      <c r="D6" s="159" t="s">
        <v>44</v>
      </c>
      <c r="E6" s="159" t="s">
        <v>3</v>
      </c>
      <c r="F6" s="159" t="s">
        <v>43</v>
      </c>
      <c r="G6" s="159" t="s">
        <v>44</v>
      </c>
      <c r="H6" s="159" t="s">
        <v>3</v>
      </c>
      <c r="I6" s="159" t="s">
        <v>43</v>
      </c>
      <c r="J6" s="159" t="s">
        <v>44</v>
      </c>
      <c r="K6" s="159" t="s">
        <v>3</v>
      </c>
      <c r="L6" s="159" t="s">
        <v>43</v>
      </c>
      <c r="M6" s="159" t="s">
        <v>44</v>
      </c>
      <c r="N6" s="159" t="s">
        <v>3</v>
      </c>
      <c r="O6" s="160" t="s">
        <v>43</v>
      </c>
      <c r="P6" s="160" t="s">
        <v>44</v>
      </c>
      <c r="Q6" s="160" t="s">
        <v>3</v>
      </c>
      <c r="R6" s="159" t="s">
        <v>43</v>
      </c>
      <c r="S6" s="159" t="s">
        <v>44</v>
      </c>
      <c r="T6" s="159" t="s">
        <v>3</v>
      </c>
      <c r="U6" s="159" t="s">
        <v>43</v>
      </c>
      <c r="V6" s="159" t="s">
        <v>44</v>
      </c>
      <c r="W6" s="159" t="s">
        <v>3</v>
      </c>
      <c r="X6" s="159" t="s">
        <v>43</v>
      </c>
      <c r="Y6" s="159" t="s">
        <v>44</v>
      </c>
      <c r="Z6" s="159" t="s">
        <v>3</v>
      </c>
      <c r="AA6" s="159" t="s">
        <v>43</v>
      </c>
      <c r="AB6" s="159" t="s">
        <v>44</v>
      </c>
      <c r="AC6" s="159" t="s">
        <v>3</v>
      </c>
      <c r="AD6" s="159" t="s">
        <v>43</v>
      </c>
      <c r="AE6" s="159" t="s">
        <v>44</v>
      </c>
      <c r="AF6" s="159" t="s">
        <v>3</v>
      </c>
    </row>
    <row r="7" spans="1:32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8">
        <v>3</v>
      </c>
      <c r="S7" s="78">
        <v>4</v>
      </c>
      <c r="T7" s="78">
        <v>5</v>
      </c>
      <c r="U7" s="78">
        <v>6</v>
      </c>
      <c r="V7" s="78">
        <v>7</v>
      </c>
      <c r="W7" s="78">
        <v>8</v>
      </c>
      <c r="X7" s="78">
        <v>9</v>
      </c>
      <c r="Y7" s="78">
        <v>10</v>
      </c>
      <c r="Z7" s="78">
        <v>11</v>
      </c>
      <c r="AA7" s="78">
        <v>12</v>
      </c>
      <c r="AB7" s="78">
        <v>13</v>
      </c>
      <c r="AC7" s="78">
        <v>14</v>
      </c>
      <c r="AD7" s="78">
        <v>15</v>
      </c>
      <c r="AE7" s="78">
        <v>16</v>
      </c>
      <c r="AF7" s="78">
        <v>17</v>
      </c>
    </row>
    <row r="8" spans="1:32">
      <c r="A8" s="659" t="s">
        <v>216</v>
      </c>
      <c r="B8" s="659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3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5"/>
    </row>
    <row r="9" spans="1:32" ht="28.5">
      <c r="A9" s="167">
        <v>1</v>
      </c>
      <c r="B9" s="43" t="s">
        <v>143</v>
      </c>
      <c r="C9" s="171">
        <v>625535</v>
      </c>
      <c r="D9" s="171">
        <v>426449</v>
      </c>
      <c r="E9" s="171">
        <v>1051984</v>
      </c>
      <c r="F9" s="171">
        <v>602272</v>
      </c>
      <c r="G9" s="171">
        <v>414010</v>
      </c>
      <c r="H9" s="171">
        <v>1016282</v>
      </c>
      <c r="I9" s="171">
        <v>6604</v>
      </c>
      <c r="J9" s="171">
        <v>3301</v>
      </c>
      <c r="K9" s="171">
        <v>9905</v>
      </c>
      <c r="L9" s="168">
        <v>608876</v>
      </c>
      <c r="M9" s="168">
        <v>417311</v>
      </c>
      <c r="N9" s="168">
        <v>1026187</v>
      </c>
      <c r="O9" s="172">
        <v>97.336839665246544</v>
      </c>
      <c r="P9" s="172">
        <v>97.857188081107012</v>
      </c>
      <c r="Q9" s="172">
        <v>97.547776392036383</v>
      </c>
      <c r="R9" s="169">
        <f>L9</f>
        <v>608876</v>
      </c>
      <c r="S9" s="169">
        <f>M9</f>
        <v>417311</v>
      </c>
      <c r="T9" s="169">
        <f>N9</f>
        <v>1026187</v>
      </c>
      <c r="U9" s="177"/>
      <c r="V9" s="177"/>
      <c r="W9" s="177"/>
      <c r="X9" s="177"/>
      <c r="Y9" s="177"/>
      <c r="Z9" s="177"/>
      <c r="AA9" s="216"/>
      <c r="AB9" s="216"/>
      <c r="AC9" s="216"/>
      <c r="AD9" s="216"/>
      <c r="AE9" s="216"/>
      <c r="AF9" s="216"/>
    </row>
    <row r="10" spans="1:32" ht="28.5">
      <c r="A10" s="167">
        <v>2</v>
      </c>
      <c r="B10" s="43" t="s">
        <v>231</v>
      </c>
      <c r="C10" s="171">
        <v>68392</v>
      </c>
      <c r="D10" s="171">
        <v>53957</v>
      </c>
      <c r="E10" s="171">
        <v>122349</v>
      </c>
      <c r="F10" s="171">
        <v>67159</v>
      </c>
      <c r="G10" s="171">
        <v>53499</v>
      </c>
      <c r="H10" s="171">
        <v>120658</v>
      </c>
      <c r="I10" s="177"/>
      <c r="J10" s="177"/>
      <c r="K10" s="177"/>
      <c r="L10" s="170">
        <v>67159</v>
      </c>
      <c r="M10" s="170">
        <v>53499</v>
      </c>
      <c r="N10" s="170">
        <v>120658</v>
      </c>
      <c r="O10" s="315">
        <v>98.197157562287984</v>
      </c>
      <c r="P10" s="315">
        <v>99.151175936393798</v>
      </c>
      <c r="Q10" s="315">
        <v>98.6178881723594</v>
      </c>
      <c r="R10" s="171">
        <v>67159</v>
      </c>
      <c r="S10" s="171">
        <v>53499</v>
      </c>
      <c r="T10" s="171">
        <v>120658</v>
      </c>
      <c r="U10" s="171">
        <v>39676</v>
      </c>
      <c r="V10" s="171">
        <v>36191</v>
      </c>
      <c r="W10" s="171">
        <v>75867</v>
      </c>
      <c r="X10" s="171">
        <v>20035</v>
      </c>
      <c r="Y10" s="171">
        <v>13569</v>
      </c>
      <c r="Z10" s="171">
        <v>33604</v>
      </c>
      <c r="AA10" s="315">
        <v>59.077711103500647</v>
      </c>
      <c r="AB10" s="315">
        <v>67.647993420437757</v>
      </c>
      <c r="AC10" s="315">
        <v>62.877720499262381</v>
      </c>
      <c r="AD10" s="315">
        <v>29.832189282151312</v>
      </c>
      <c r="AE10" s="315">
        <v>25.363090898895305</v>
      </c>
      <c r="AF10" s="315">
        <v>27.850619105239605</v>
      </c>
    </row>
    <row r="11" spans="1:32">
      <c r="A11" s="659" t="s">
        <v>217</v>
      </c>
      <c r="B11" s="659"/>
      <c r="C11" s="660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2"/>
      <c r="R11" s="331"/>
      <c r="S11" s="332"/>
      <c r="T11" s="332"/>
      <c r="U11" s="332"/>
      <c r="V11" s="332"/>
      <c r="W11" s="333"/>
      <c r="X11" s="332"/>
      <c r="Y11" s="332"/>
      <c r="Z11" s="333"/>
      <c r="AA11" s="334"/>
      <c r="AB11" s="334"/>
      <c r="AC11" s="334"/>
      <c r="AD11" s="334"/>
      <c r="AE11" s="334"/>
      <c r="AF11" s="334"/>
    </row>
    <row r="12" spans="1:32" ht="28.5">
      <c r="A12" s="167">
        <v>3</v>
      </c>
      <c r="B12" s="43" t="s">
        <v>263</v>
      </c>
      <c r="C12" s="171">
        <v>700828</v>
      </c>
      <c r="D12" s="171">
        <v>591240</v>
      </c>
      <c r="E12" s="171">
        <v>1292068</v>
      </c>
      <c r="F12" s="171">
        <v>504057</v>
      </c>
      <c r="G12" s="171">
        <v>464086</v>
      </c>
      <c r="H12" s="171">
        <v>968143</v>
      </c>
      <c r="I12" s="177"/>
      <c r="J12" s="177"/>
      <c r="K12" s="177"/>
      <c r="L12" s="170">
        <v>504057</v>
      </c>
      <c r="M12" s="170">
        <v>464086</v>
      </c>
      <c r="N12" s="171">
        <v>968143</v>
      </c>
      <c r="O12" s="315">
        <v>71.923068142254593</v>
      </c>
      <c r="P12" s="315">
        <v>78.493674311616275</v>
      </c>
      <c r="Q12" s="315">
        <v>74.929725060910101</v>
      </c>
      <c r="R12" s="171">
        <v>504057</v>
      </c>
      <c r="S12" s="171">
        <v>464086</v>
      </c>
      <c r="T12" s="171">
        <v>968143</v>
      </c>
      <c r="U12" s="171">
        <v>153689</v>
      </c>
      <c r="V12" s="171">
        <v>152279</v>
      </c>
      <c r="W12" s="171">
        <v>305968</v>
      </c>
      <c r="X12" s="171">
        <v>291393</v>
      </c>
      <c r="Y12" s="171">
        <v>275038</v>
      </c>
      <c r="Z12" s="171">
        <v>566431</v>
      </c>
      <c r="AA12" s="315">
        <v>30.49040088720125</v>
      </c>
      <c r="AB12" s="315">
        <v>32.81266834164358</v>
      </c>
      <c r="AC12" s="315">
        <v>31.603595749801421</v>
      </c>
      <c r="AD12" s="315">
        <v>57.809533445622222</v>
      </c>
      <c r="AE12" s="315">
        <v>59.264446675831636</v>
      </c>
      <c r="AF12" s="315">
        <v>58.506956100493419</v>
      </c>
    </row>
    <row r="13" spans="1:32">
      <c r="A13" s="167">
        <v>4</v>
      </c>
      <c r="B13" s="43" t="s">
        <v>264</v>
      </c>
      <c r="C13" s="171">
        <v>180717</v>
      </c>
      <c r="D13" s="171">
        <v>186521</v>
      </c>
      <c r="E13" s="171">
        <v>367238</v>
      </c>
      <c r="F13" s="171">
        <v>120773</v>
      </c>
      <c r="G13" s="171">
        <v>117237</v>
      </c>
      <c r="H13" s="171">
        <v>238010</v>
      </c>
      <c r="I13" s="177"/>
      <c r="J13" s="177"/>
      <c r="K13" s="177"/>
      <c r="L13" s="170">
        <v>120773</v>
      </c>
      <c r="M13" s="170">
        <v>117237</v>
      </c>
      <c r="N13" s="171">
        <v>238010</v>
      </c>
      <c r="O13" s="315">
        <v>66.829905321580156</v>
      </c>
      <c r="P13" s="315">
        <v>62.854584738447684</v>
      </c>
      <c r="Q13" s="315">
        <v>64.810831123140858</v>
      </c>
      <c r="R13" s="171">
        <v>120773</v>
      </c>
      <c r="S13" s="171">
        <v>117237</v>
      </c>
      <c r="T13" s="171">
        <v>238010</v>
      </c>
      <c r="U13" s="171">
        <v>2596</v>
      </c>
      <c r="V13" s="171">
        <v>1894</v>
      </c>
      <c r="W13" s="171">
        <v>4490</v>
      </c>
      <c r="X13" s="171">
        <v>10731</v>
      </c>
      <c r="Y13" s="171">
        <v>8560</v>
      </c>
      <c r="Z13" s="171">
        <v>19291</v>
      </c>
      <c r="AA13" s="315">
        <v>2.1494870542256961</v>
      </c>
      <c r="AB13" s="315">
        <v>1.6155309330672059</v>
      </c>
      <c r="AC13" s="315">
        <v>1.8864753581782279</v>
      </c>
      <c r="AD13" s="315">
        <v>8.8852640904837994</v>
      </c>
      <c r="AE13" s="315">
        <v>7.301449201190751</v>
      </c>
      <c r="AF13" s="315">
        <v>8.10512163354481</v>
      </c>
    </row>
    <row r="14" spans="1:32">
      <c r="A14" s="167">
        <v>5</v>
      </c>
      <c r="B14" s="43" t="s">
        <v>265</v>
      </c>
      <c r="C14" s="171">
        <v>3403</v>
      </c>
      <c r="D14" s="171">
        <v>2234</v>
      </c>
      <c r="E14" s="171">
        <v>5637</v>
      </c>
      <c r="F14" s="171">
        <v>1955</v>
      </c>
      <c r="G14" s="171">
        <v>1558</v>
      </c>
      <c r="H14" s="171">
        <v>3513</v>
      </c>
      <c r="I14" s="177">
        <v>0</v>
      </c>
      <c r="J14" s="177">
        <v>0</v>
      </c>
      <c r="K14" s="177">
        <v>0</v>
      </c>
      <c r="L14" s="170">
        <v>1955</v>
      </c>
      <c r="M14" s="170">
        <v>1558</v>
      </c>
      <c r="N14" s="171">
        <v>3513</v>
      </c>
      <c r="O14" s="315">
        <v>57.449309432853369</v>
      </c>
      <c r="P14" s="315">
        <v>69.740376007162041</v>
      </c>
      <c r="Q14" s="315">
        <v>62.320383182543907</v>
      </c>
      <c r="R14" s="171">
        <v>1955</v>
      </c>
      <c r="S14" s="171">
        <v>1558</v>
      </c>
      <c r="T14" s="171">
        <v>3513</v>
      </c>
      <c r="U14" s="177"/>
      <c r="V14" s="177"/>
      <c r="W14" s="177"/>
      <c r="X14" s="177"/>
      <c r="Y14" s="177"/>
      <c r="Z14" s="177">
        <v>0</v>
      </c>
      <c r="AA14" s="216"/>
      <c r="AB14" s="216"/>
      <c r="AC14" s="216"/>
      <c r="AD14" s="216"/>
      <c r="AE14" s="216"/>
      <c r="AF14" s="216"/>
    </row>
    <row r="15" spans="1:32">
      <c r="A15" s="167">
        <v>6</v>
      </c>
      <c r="B15" s="43" t="s">
        <v>266</v>
      </c>
      <c r="C15" s="171">
        <v>27</v>
      </c>
      <c r="D15" s="171">
        <v>150</v>
      </c>
      <c r="E15" s="171">
        <v>177</v>
      </c>
      <c r="F15" s="171">
        <v>26</v>
      </c>
      <c r="G15" s="171">
        <v>146</v>
      </c>
      <c r="H15" s="171">
        <v>172</v>
      </c>
      <c r="I15" s="171">
        <v>1</v>
      </c>
      <c r="J15" s="171">
        <v>3</v>
      </c>
      <c r="K15" s="171">
        <v>4</v>
      </c>
      <c r="L15" s="170">
        <v>27</v>
      </c>
      <c r="M15" s="170">
        <v>149</v>
      </c>
      <c r="N15" s="171">
        <v>176</v>
      </c>
      <c r="O15" s="315">
        <v>100</v>
      </c>
      <c r="P15" s="315">
        <v>99.333333333333329</v>
      </c>
      <c r="Q15" s="315">
        <v>99.435028248587571</v>
      </c>
      <c r="R15" s="171">
        <v>27</v>
      </c>
      <c r="S15" s="171">
        <v>149</v>
      </c>
      <c r="T15" s="171">
        <v>176</v>
      </c>
      <c r="U15" s="171">
        <v>6</v>
      </c>
      <c r="V15" s="171">
        <v>36</v>
      </c>
      <c r="W15" s="171">
        <v>42</v>
      </c>
      <c r="X15" s="171">
        <v>8</v>
      </c>
      <c r="Y15" s="171">
        <v>49</v>
      </c>
      <c r="Z15" s="171">
        <v>57</v>
      </c>
      <c r="AA15" s="315">
        <v>22.222222222222221</v>
      </c>
      <c r="AB15" s="315">
        <v>24.161073825503355</v>
      </c>
      <c r="AC15" s="315">
        <v>23.863636363636363</v>
      </c>
      <c r="AD15" s="315">
        <v>29.629629629629626</v>
      </c>
      <c r="AE15" s="315">
        <v>32.885906040268459</v>
      </c>
      <c r="AF15" s="315">
        <v>32.386363636363633</v>
      </c>
    </row>
    <row r="16" spans="1:32">
      <c r="A16" s="167">
        <v>7</v>
      </c>
      <c r="B16" s="43" t="s">
        <v>138</v>
      </c>
      <c r="C16" s="171">
        <v>566012</v>
      </c>
      <c r="D16" s="171">
        <v>410922</v>
      </c>
      <c r="E16" s="171">
        <v>976934</v>
      </c>
      <c r="F16" s="171">
        <v>409128</v>
      </c>
      <c r="G16" s="171">
        <v>250368</v>
      </c>
      <c r="H16" s="171">
        <v>659496</v>
      </c>
      <c r="I16" s="171">
        <v>16693</v>
      </c>
      <c r="J16" s="171">
        <v>23809</v>
      </c>
      <c r="K16" s="171">
        <v>40502</v>
      </c>
      <c r="L16" s="170">
        <v>425821</v>
      </c>
      <c r="M16" s="170">
        <v>274177</v>
      </c>
      <c r="N16" s="171">
        <v>699998</v>
      </c>
      <c r="O16" s="315">
        <v>75.231797205712951</v>
      </c>
      <c r="P16" s="315">
        <v>66.722395004404731</v>
      </c>
      <c r="Q16" s="315">
        <v>71.652537428321665</v>
      </c>
      <c r="R16" s="171">
        <v>425821</v>
      </c>
      <c r="S16" s="171">
        <v>274177</v>
      </c>
      <c r="T16" s="171">
        <v>699998</v>
      </c>
      <c r="U16" s="171">
        <v>10859</v>
      </c>
      <c r="V16" s="171">
        <v>3731</v>
      </c>
      <c r="W16" s="171">
        <v>14590</v>
      </c>
      <c r="X16" s="171">
        <v>96297</v>
      </c>
      <c r="Y16" s="171">
        <v>41103</v>
      </c>
      <c r="Z16" s="171">
        <v>137400</v>
      </c>
      <c r="AA16" s="315">
        <v>2.5501325674403095</v>
      </c>
      <c r="AB16" s="315">
        <v>1.3607997753276169</v>
      </c>
      <c r="AC16" s="315">
        <v>2.0842916694047697</v>
      </c>
      <c r="AD16" s="315">
        <v>22.614431885698451</v>
      </c>
      <c r="AE16" s="315">
        <v>14.991410658078541</v>
      </c>
      <c r="AF16" s="315">
        <v>19.628627510364318</v>
      </c>
    </row>
    <row r="17" spans="1:32">
      <c r="A17" s="167">
        <v>8</v>
      </c>
      <c r="B17" s="43" t="s">
        <v>267</v>
      </c>
      <c r="C17" s="171">
        <v>43233</v>
      </c>
      <c r="D17" s="171">
        <v>86988</v>
      </c>
      <c r="E17" s="171">
        <v>130221</v>
      </c>
      <c r="F17" s="171">
        <v>39533</v>
      </c>
      <c r="G17" s="171">
        <v>63087</v>
      </c>
      <c r="H17" s="171">
        <v>102620</v>
      </c>
      <c r="I17" s="177"/>
      <c r="J17" s="177"/>
      <c r="K17" s="177"/>
      <c r="L17" s="170">
        <v>39533</v>
      </c>
      <c r="M17" s="170">
        <v>63087</v>
      </c>
      <c r="N17" s="171">
        <v>102620</v>
      </c>
      <c r="O17" s="315">
        <v>91.441722758078313</v>
      </c>
      <c r="P17" s="315">
        <v>72.523796385708366</v>
      </c>
      <c r="Q17" s="315">
        <v>78.804493898833513</v>
      </c>
      <c r="R17" s="171">
        <v>39533</v>
      </c>
      <c r="S17" s="171">
        <v>63087</v>
      </c>
      <c r="T17" s="171">
        <v>102620</v>
      </c>
      <c r="U17" s="177"/>
      <c r="V17" s="177"/>
      <c r="W17" s="177"/>
      <c r="X17" s="171">
        <v>23367</v>
      </c>
      <c r="Y17" s="171">
        <v>33862</v>
      </c>
      <c r="Z17" s="171">
        <v>57229</v>
      </c>
      <c r="AA17" s="216"/>
      <c r="AB17" s="216"/>
      <c r="AC17" s="216"/>
      <c r="AD17" s="315">
        <v>59.107581008271573</v>
      </c>
      <c r="AE17" s="315">
        <v>53.67508361469082</v>
      </c>
      <c r="AF17" s="315">
        <v>55.767881504580004</v>
      </c>
    </row>
    <row r="18" spans="1:32" ht="28.5">
      <c r="A18" s="167">
        <v>9</v>
      </c>
      <c r="B18" s="35" t="s">
        <v>56</v>
      </c>
      <c r="C18" s="171">
        <v>196431</v>
      </c>
      <c r="D18" s="171">
        <v>188301</v>
      </c>
      <c r="E18" s="171">
        <v>384732</v>
      </c>
      <c r="F18" s="171">
        <v>101457</v>
      </c>
      <c r="G18" s="171">
        <v>95937</v>
      </c>
      <c r="H18" s="171">
        <v>197394</v>
      </c>
      <c r="I18" s="171">
        <v>1958</v>
      </c>
      <c r="J18" s="171">
        <v>1836</v>
      </c>
      <c r="K18" s="171">
        <v>3794</v>
      </c>
      <c r="L18" s="169">
        <v>103415</v>
      </c>
      <c r="M18" s="169">
        <v>97773</v>
      </c>
      <c r="N18" s="171">
        <v>201188</v>
      </c>
      <c r="O18" s="172">
        <v>52.646985455452558</v>
      </c>
      <c r="P18" s="172">
        <v>51.92378160498351</v>
      </c>
      <c r="Q18" s="172">
        <v>52.293024754894311</v>
      </c>
      <c r="R18" s="169">
        <v>103415</v>
      </c>
      <c r="S18" s="169">
        <v>97773</v>
      </c>
      <c r="T18" s="169">
        <v>201188</v>
      </c>
      <c r="U18" s="174"/>
      <c r="V18" s="174"/>
      <c r="W18" s="174"/>
      <c r="X18" s="174"/>
      <c r="Y18" s="174"/>
      <c r="Z18" s="174"/>
      <c r="AA18" s="175"/>
      <c r="AB18" s="175"/>
      <c r="AC18" s="175"/>
      <c r="AD18" s="176"/>
      <c r="AE18" s="176"/>
      <c r="AF18" s="176"/>
    </row>
    <row r="19" spans="1:32">
      <c r="A19" s="167">
        <v>10</v>
      </c>
      <c r="B19" s="43" t="s">
        <v>305</v>
      </c>
      <c r="C19" s="171">
        <v>308</v>
      </c>
      <c r="D19" s="171">
        <v>175</v>
      </c>
      <c r="E19" s="171">
        <v>483</v>
      </c>
      <c r="F19" s="171">
        <v>203</v>
      </c>
      <c r="G19" s="171">
        <v>128</v>
      </c>
      <c r="H19" s="171">
        <v>331</v>
      </c>
      <c r="I19" s="171">
        <v>61</v>
      </c>
      <c r="J19" s="171">
        <v>31</v>
      </c>
      <c r="K19" s="171">
        <v>92</v>
      </c>
      <c r="L19" s="171">
        <v>264</v>
      </c>
      <c r="M19" s="171">
        <v>159</v>
      </c>
      <c r="N19" s="171">
        <v>423</v>
      </c>
      <c r="O19" s="315">
        <v>85.714285714285708</v>
      </c>
      <c r="P19" s="315">
        <v>90.857142857142861</v>
      </c>
      <c r="Q19" s="315">
        <v>87.577639751552795</v>
      </c>
      <c r="R19" s="171">
        <v>264</v>
      </c>
      <c r="S19" s="171">
        <v>159</v>
      </c>
      <c r="T19" s="171">
        <v>423</v>
      </c>
      <c r="U19" s="177"/>
      <c r="V19" s="177"/>
      <c r="W19" s="177"/>
      <c r="X19" s="177"/>
      <c r="Y19" s="177"/>
      <c r="Z19" s="171">
        <v>14</v>
      </c>
      <c r="AA19" s="216"/>
      <c r="AB19" s="216">
        <v>0</v>
      </c>
      <c r="AC19" s="216"/>
      <c r="AD19" s="216"/>
      <c r="AE19" s="216"/>
      <c r="AF19" s="315">
        <v>3.3096926713947985</v>
      </c>
    </row>
    <row r="20" spans="1:32" ht="28.5">
      <c r="A20" s="167">
        <v>11</v>
      </c>
      <c r="B20" s="43" t="s">
        <v>144</v>
      </c>
      <c r="C20" s="171">
        <v>319</v>
      </c>
      <c r="D20" s="171">
        <v>210</v>
      </c>
      <c r="E20" s="171">
        <v>529</v>
      </c>
      <c r="F20" s="171">
        <v>288</v>
      </c>
      <c r="G20" s="171">
        <v>188</v>
      </c>
      <c r="H20" s="171">
        <v>476</v>
      </c>
      <c r="I20" s="171">
        <v>25</v>
      </c>
      <c r="J20" s="171">
        <v>15</v>
      </c>
      <c r="K20" s="171">
        <v>40</v>
      </c>
      <c r="L20" s="170">
        <v>313</v>
      </c>
      <c r="M20" s="170">
        <v>203</v>
      </c>
      <c r="N20" s="171">
        <v>516</v>
      </c>
      <c r="O20" s="315">
        <v>98.119122257053291</v>
      </c>
      <c r="P20" s="315">
        <v>96.666666666666671</v>
      </c>
      <c r="Q20" s="315">
        <v>97.542533081285441</v>
      </c>
      <c r="R20" s="171">
        <v>313</v>
      </c>
      <c r="S20" s="171">
        <v>203</v>
      </c>
      <c r="T20" s="171">
        <v>516</v>
      </c>
      <c r="U20" s="171">
        <v>3</v>
      </c>
      <c r="V20" s="171">
        <v>0</v>
      </c>
      <c r="W20" s="171">
        <v>3</v>
      </c>
      <c r="X20" s="171">
        <v>99</v>
      </c>
      <c r="Y20" s="171">
        <v>64</v>
      </c>
      <c r="Z20" s="171">
        <v>163</v>
      </c>
      <c r="AA20" s="315">
        <v>0.95846645367412142</v>
      </c>
      <c r="AB20" s="335">
        <v>0</v>
      </c>
      <c r="AC20" s="315">
        <v>0.58139534883720934</v>
      </c>
      <c r="AD20" s="315">
        <v>31.629392971246009</v>
      </c>
      <c r="AE20" s="315">
        <v>31.527093596059117</v>
      </c>
      <c r="AF20" s="315">
        <v>31.589147286821703</v>
      </c>
    </row>
    <row r="21" spans="1:32" ht="28.5">
      <c r="A21" s="167">
        <v>12</v>
      </c>
      <c r="B21" s="43" t="s">
        <v>148</v>
      </c>
      <c r="C21" s="171">
        <v>8563</v>
      </c>
      <c r="D21" s="171">
        <v>8211</v>
      </c>
      <c r="E21" s="171">
        <v>16774</v>
      </c>
      <c r="F21" s="171">
        <v>6948</v>
      </c>
      <c r="G21" s="171">
        <v>6580</v>
      </c>
      <c r="H21" s="171">
        <v>13528</v>
      </c>
      <c r="I21" s="171">
        <v>151</v>
      </c>
      <c r="J21" s="171">
        <v>172</v>
      </c>
      <c r="K21" s="171">
        <v>323</v>
      </c>
      <c r="L21" s="170">
        <v>7099</v>
      </c>
      <c r="M21" s="170">
        <v>6752</v>
      </c>
      <c r="N21" s="171">
        <v>13851</v>
      </c>
      <c r="O21" s="315">
        <v>82.903188134999411</v>
      </c>
      <c r="P21" s="315">
        <v>82.231153330897584</v>
      </c>
      <c r="Q21" s="315">
        <v>82.574222010253962</v>
      </c>
      <c r="R21" s="171">
        <v>7099</v>
      </c>
      <c r="S21" s="171">
        <v>6752</v>
      </c>
      <c r="T21" s="171">
        <v>13851</v>
      </c>
      <c r="U21" s="171">
        <v>542</v>
      </c>
      <c r="V21" s="171">
        <v>864</v>
      </c>
      <c r="W21" s="171">
        <v>1406</v>
      </c>
      <c r="X21" s="171">
        <v>1323</v>
      </c>
      <c r="Y21" s="171">
        <v>1626</v>
      </c>
      <c r="Z21" s="171">
        <v>2949</v>
      </c>
      <c r="AA21" s="315">
        <v>7.6348781518523738</v>
      </c>
      <c r="AB21" s="315">
        <v>12.796208530805687</v>
      </c>
      <c r="AC21" s="315">
        <v>10.150891632373115</v>
      </c>
      <c r="AD21" s="315">
        <v>18.636427665868432</v>
      </c>
      <c r="AE21" s="315">
        <v>24.08175355450237</v>
      </c>
      <c r="AF21" s="315">
        <v>21.290881524799655</v>
      </c>
    </row>
    <row r="22" spans="1:32" ht="28.5">
      <c r="A22" s="167">
        <v>13</v>
      </c>
      <c r="B22" s="43" t="s">
        <v>149</v>
      </c>
      <c r="C22" s="171">
        <v>594541</v>
      </c>
      <c r="D22" s="171">
        <v>342309</v>
      </c>
      <c r="E22" s="171">
        <v>936850</v>
      </c>
      <c r="F22" s="171">
        <v>393899</v>
      </c>
      <c r="G22" s="171">
        <v>258852</v>
      </c>
      <c r="H22" s="171">
        <v>652751</v>
      </c>
      <c r="I22" s="171">
        <v>33868</v>
      </c>
      <c r="J22" s="171">
        <v>17581</v>
      </c>
      <c r="K22" s="171">
        <v>51449</v>
      </c>
      <c r="L22" s="170">
        <v>427767</v>
      </c>
      <c r="M22" s="170">
        <v>276433</v>
      </c>
      <c r="N22" s="171">
        <v>704200</v>
      </c>
      <c r="O22" s="315">
        <v>71.94911704995954</v>
      </c>
      <c r="P22" s="315">
        <v>80.755399361395703</v>
      </c>
      <c r="Q22" s="315">
        <v>75.166782302396328</v>
      </c>
      <c r="R22" s="171">
        <v>427767</v>
      </c>
      <c r="S22" s="171">
        <v>276433</v>
      </c>
      <c r="T22" s="171">
        <v>704200</v>
      </c>
      <c r="U22" s="171">
        <v>59558</v>
      </c>
      <c r="V22" s="171">
        <v>46298</v>
      </c>
      <c r="W22" s="171">
        <v>105856</v>
      </c>
      <c r="X22" s="171">
        <v>112202</v>
      </c>
      <c r="Y22" s="171">
        <v>85727</v>
      </c>
      <c r="Z22" s="171">
        <v>197929</v>
      </c>
      <c r="AA22" s="315">
        <v>13.923000137925552</v>
      </c>
      <c r="AB22" s="315">
        <v>16.748362170941963</v>
      </c>
      <c r="AC22" s="315">
        <v>15.032093155353593</v>
      </c>
      <c r="AD22" s="315">
        <v>26.229699813216072</v>
      </c>
      <c r="AE22" s="315">
        <v>31.011854590443253</v>
      </c>
      <c r="AF22" s="315">
        <v>28.106929849474582</v>
      </c>
    </row>
    <row r="23" spans="1:32">
      <c r="A23" s="167">
        <v>14</v>
      </c>
      <c r="B23" s="43" t="s">
        <v>140</v>
      </c>
      <c r="C23" s="171">
        <v>196742</v>
      </c>
      <c r="D23" s="171">
        <v>158121</v>
      </c>
      <c r="E23" s="171">
        <v>354863</v>
      </c>
      <c r="F23" s="171">
        <v>129533</v>
      </c>
      <c r="G23" s="171">
        <v>111972</v>
      </c>
      <c r="H23" s="171">
        <v>241505</v>
      </c>
      <c r="I23" s="171">
        <v>25270</v>
      </c>
      <c r="J23" s="171">
        <v>16530</v>
      </c>
      <c r="K23" s="171">
        <v>41800</v>
      </c>
      <c r="L23" s="170">
        <v>154803</v>
      </c>
      <c r="M23" s="170">
        <v>128502</v>
      </c>
      <c r="N23" s="171">
        <v>283305</v>
      </c>
      <c r="O23" s="315">
        <v>78.683250144859755</v>
      </c>
      <c r="P23" s="315">
        <v>81.268142751437182</v>
      </c>
      <c r="Q23" s="315">
        <v>79.83503492897259</v>
      </c>
      <c r="R23" s="171">
        <v>154803</v>
      </c>
      <c r="S23" s="171">
        <v>128502</v>
      </c>
      <c r="T23" s="171">
        <v>283305</v>
      </c>
      <c r="U23" s="171">
        <v>4179</v>
      </c>
      <c r="V23" s="171">
        <v>5597</v>
      </c>
      <c r="W23" s="171">
        <v>9776</v>
      </c>
      <c r="X23" s="171">
        <v>42039</v>
      </c>
      <c r="Y23" s="171">
        <v>41900</v>
      </c>
      <c r="Z23" s="171">
        <v>83939</v>
      </c>
      <c r="AA23" s="315">
        <v>2.6995600860448441</v>
      </c>
      <c r="AB23" s="315">
        <v>4.355574232307668</v>
      </c>
      <c r="AC23" s="315">
        <v>3.4506980109775682</v>
      </c>
      <c r="AD23" s="315">
        <v>27.156450456386505</v>
      </c>
      <c r="AE23" s="315">
        <v>32.606496396943236</v>
      </c>
      <c r="AF23" s="315">
        <v>29.628492260990804</v>
      </c>
    </row>
    <row r="24" spans="1:32">
      <c r="A24" s="167">
        <v>15</v>
      </c>
      <c r="B24" s="43" t="s">
        <v>150</v>
      </c>
      <c r="C24" s="171">
        <v>69113</v>
      </c>
      <c r="D24" s="171">
        <v>62840</v>
      </c>
      <c r="E24" s="171">
        <v>131953</v>
      </c>
      <c r="F24" s="171">
        <v>43100</v>
      </c>
      <c r="G24" s="171">
        <v>39478</v>
      </c>
      <c r="H24" s="171">
        <v>82578</v>
      </c>
      <c r="I24" s="171">
        <v>7878</v>
      </c>
      <c r="J24" s="171">
        <v>7794</v>
      </c>
      <c r="K24" s="171">
        <v>15672</v>
      </c>
      <c r="L24" s="170">
        <v>50978</v>
      </c>
      <c r="M24" s="170">
        <v>47272</v>
      </c>
      <c r="N24" s="171">
        <v>98250</v>
      </c>
      <c r="O24" s="315">
        <v>73.760363462734944</v>
      </c>
      <c r="P24" s="315">
        <v>75.225970719287076</v>
      </c>
      <c r="Q24" s="315">
        <v>74.458329859874354</v>
      </c>
      <c r="R24" s="171">
        <v>50978</v>
      </c>
      <c r="S24" s="171">
        <v>47272</v>
      </c>
      <c r="T24" s="171">
        <v>98250</v>
      </c>
      <c r="U24" s="171">
        <v>3991</v>
      </c>
      <c r="V24" s="171">
        <v>4429</v>
      </c>
      <c r="W24" s="171">
        <v>8420</v>
      </c>
      <c r="X24" s="171">
        <v>14872</v>
      </c>
      <c r="Y24" s="171">
        <v>15610</v>
      </c>
      <c r="Z24" s="171">
        <v>30482</v>
      </c>
      <c r="AA24" s="315">
        <v>7.828867354545098</v>
      </c>
      <c r="AB24" s="315">
        <v>9.3691826028092731</v>
      </c>
      <c r="AC24" s="315">
        <v>8.5699745547073789</v>
      </c>
      <c r="AD24" s="315">
        <v>29.1733689042332</v>
      </c>
      <c r="AE24" s="315">
        <v>33.021661871721101</v>
      </c>
      <c r="AF24" s="315">
        <v>31.024936386768449</v>
      </c>
    </row>
    <row r="25" spans="1:32">
      <c r="A25" s="167">
        <v>16</v>
      </c>
      <c r="B25" s="43" t="s">
        <v>151</v>
      </c>
      <c r="C25" s="171">
        <v>236818</v>
      </c>
      <c r="D25" s="171">
        <v>174287</v>
      </c>
      <c r="E25" s="171">
        <v>411105</v>
      </c>
      <c r="F25" s="171">
        <v>97968</v>
      </c>
      <c r="G25" s="171">
        <v>74239</v>
      </c>
      <c r="H25" s="171">
        <v>172207</v>
      </c>
      <c r="I25" s="177"/>
      <c r="J25" s="177"/>
      <c r="K25" s="177"/>
      <c r="L25" s="171">
        <v>97968</v>
      </c>
      <c r="M25" s="171">
        <v>74239</v>
      </c>
      <c r="N25" s="171">
        <v>172207</v>
      </c>
      <c r="O25" s="315">
        <v>41.368477058331713</v>
      </c>
      <c r="P25" s="315">
        <v>42.595833309426403</v>
      </c>
      <c r="Q25" s="315">
        <v>41.888811860716842</v>
      </c>
      <c r="R25" s="171">
        <v>97968</v>
      </c>
      <c r="S25" s="171">
        <v>74239</v>
      </c>
      <c r="T25" s="171">
        <v>172207</v>
      </c>
      <c r="U25" s="177"/>
      <c r="V25" s="177"/>
      <c r="W25" s="177"/>
      <c r="X25" s="177"/>
      <c r="Y25" s="177"/>
      <c r="Z25" s="177"/>
      <c r="AA25" s="216"/>
      <c r="AB25" s="216"/>
      <c r="AC25" s="216"/>
      <c r="AD25" s="216"/>
      <c r="AE25" s="216"/>
      <c r="AF25" s="216"/>
    </row>
    <row r="26" spans="1:32">
      <c r="A26" s="167">
        <v>17</v>
      </c>
      <c r="B26" s="43" t="s">
        <v>152</v>
      </c>
      <c r="C26" s="171">
        <v>141354</v>
      </c>
      <c r="D26" s="171">
        <v>121248</v>
      </c>
      <c r="E26" s="171">
        <v>262602</v>
      </c>
      <c r="F26" s="171">
        <v>99931</v>
      </c>
      <c r="G26" s="171">
        <v>79454</v>
      </c>
      <c r="H26" s="171">
        <v>179385</v>
      </c>
      <c r="I26" s="171">
        <v>2719</v>
      </c>
      <c r="J26" s="171">
        <v>4414</v>
      </c>
      <c r="K26" s="171">
        <v>7133</v>
      </c>
      <c r="L26" s="170">
        <v>102650</v>
      </c>
      <c r="M26" s="170">
        <v>83868</v>
      </c>
      <c r="N26" s="171">
        <v>186518</v>
      </c>
      <c r="O26" s="315">
        <v>72.619098150742118</v>
      </c>
      <c r="P26" s="315">
        <v>69.170625494853525</v>
      </c>
      <c r="Q26" s="315">
        <v>71.026877175345206</v>
      </c>
      <c r="R26" s="171">
        <v>102650</v>
      </c>
      <c r="S26" s="171">
        <v>83868</v>
      </c>
      <c r="T26" s="171">
        <v>186518</v>
      </c>
      <c r="U26" s="171">
        <v>2022</v>
      </c>
      <c r="V26" s="171">
        <v>1068</v>
      </c>
      <c r="W26" s="171">
        <v>3090</v>
      </c>
      <c r="X26" s="171">
        <v>19366</v>
      </c>
      <c r="Y26" s="171">
        <v>13907</v>
      </c>
      <c r="Z26" s="171">
        <v>33273</v>
      </c>
      <c r="AA26" s="315">
        <v>1.9698002922552362</v>
      </c>
      <c r="AB26" s="315">
        <v>1.2734296752038918</v>
      </c>
      <c r="AC26" s="315">
        <v>1.6566765674090436</v>
      </c>
      <c r="AD26" s="315">
        <v>18.866049683390159</v>
      </c>
      <c r="AE26" s="315">
        <v>16.582009824963038</v>
      </c>
      <c r="AF26" s="315">
        <v>17.839028940906505</v>
      </c>
    </row>
    <row r="27" spans="1:32" ht="28.5">
      <c r="A27" s="167">
        <v>18</v>
      </c>
      <c r="B27" s="43" t="s">
        <v>285</v>
      </c>
      <c r="C27" s="171">
        <v>454814</v>
      </c>
      <c r="D27" s="171">
        <v>400701</v>
      </c>
      <c r="E27" s="171">
        <v>855515</v>
      </c>
      <c r="F27" s="171">
        <v>322587</v>
      </c>
      <c r="G27" s="171">
        <v>318521</v>
      </c>
      <c r="H27" s="171">
        <v>641108</v>
      </c>
      <c r="I27" s="171">
        <v>38492</v>
      </c>
      <c r="J27" s="171">
        <v>25184</v>
      </c>
      <c r="K27" s="171">
        <v>63676</v>
      </c>
      <c r="L27" s="170">
        <v>361079</v>
      </c>
      <c r="M27" s="170">
        <v>343705</v>
      </c>
      <c r="N27" s="171">
        <v>704784</v>
      </c>
      <c r="O27" s="315">
        <v>79.39047610671615</v>
      </c>
      <c r="P27" s="315">
        <v>85.775927686729005</v>
      </c>
      <c r="Q27" s="315">
        <v>82.381255734849773</v>
      </c>
      <c r="R27" s="171">
        <v>361079</v>
      </c>
      <c r="S27" s="171">
        <v>343705</v>
      </c>
      <c r="T27" s="171">
        <v>704784</v>
      </c>
      <c r="U27" s="171">
        <v>49706</v>
      </c>
      <c r="V27" s="171">
        <v>60798</v>
      </c>
      <c r="W27" s="171">
        <v>110504</v>
      </c>
      <c r="X27" s="171">
        <v>75278</v>
      </c>
      <c r="Y27" s="171">
        <v>84748</v>
      </c>
      <c r="Z27" s="171">
        <v>160026</v>
      </c>
      <c r="AA27" s="315">
        <v>13.765962573287286</v>
      </c>
      <c r="AB27" s="315">
        <v>17.689006560858875</v>
      </c>
      <c r="AC27" s="315">
        <v>15.679130059706235</v>
      </c>
      <c r="AD27" s="315">
        <v>20.848069259081807</v>
      </c>
      <c r="AE27" s="315">
        <v>24.657191486885555</v>
      </c>
      <c r="AF27" s="315">
        <v>22.705680038139345</v>
      </c>
    </row>
    <row r="28" spans="1:32">
      <c r="A28" s="167">
        <v>19</v>
      </c>
      <c r="B28" s="43" t="s">
        <v>286</v>
      </c>
      <c r="C28" s="171">
        <v>228265</v>
      </c>
      <c r="D28" s="171">
        <v>229930</v>
      </c>
      <c r="E28" s="171">
        <v>462966</v>
      </c>
      <c r="F28" s="171">
        <v>204768</v>
      </c>
      <c r="G28" s="171">
        <v>213851</v>
      </c>
      <c r="H28" s="171">
        <v>420831</v>
      </c>
      <c r="I28" s="177"/>
      <c r="J28" s="177"/>
      <c r="K28" s="177"/>
      <c r="L28" s="170">
        <v>204768</v>
      </c>
      <c r="M28" s="170">
        <v>213851</v>
      </c>
      <c r="N28" s="171">
        <v>420831</v>
      </c>
      <c r="O28" s="315">
        <v>89.706262458107901</v>
      </c>
      <c r="P28" s="315">
        <v>93.007002131083368</v>
      </c>
      <c r="Q28" s="315">
        <v>90.89889970321795</v>
      </c>
      <c r="R28" s="171">
        <v>204768</v>
      </c>
      <c r="S28" s="171">
        <v>213851</v>
      </c>
      <c r="T28" s="171">
        <v>420831</v>
      </c>
      <c r="U28" s="177"/>
      <c r="V28" s="177"/>
      <c r="W28" s="177"/>
      <c r="X28" s="177"/>
      <c r="Y28" s="177"/>
      <c r="Z28" s="177"/>
      <c r="AA28" s="216"/>
      <c r="AB28" s="216"/>
      <c r="AC28" s="216"/>
      <c r="AD28" s="216"/>
      <c r="AE28" s="216"/>
      <c r="AF28" s="216"/>
    </row>
    <row r="29" spans="1:32" ht="42.75">
      <c r="A29" s="167">
        <v>20</v>
      </c>
      <c r="B29" s="27" t="s">
        <v>271</v>
      </c>
      <c r="C29" s="171">
        <v>900227</v>
      </c>
      <c r="D29" s="171">
        <v>732526</v>
      </c>
      <c r="E29" s="171">
        <v>1632753</v>
      </c>
      <c r="F29" s="171">
        <v>617377</v>
      </c>
      <c r="G29" s="171">
        <v>542531</v>
      </c>
      <c r="H29" s="171">
        <v>1159908</v>
      </c>
      <c r="I29" s="171">
        <v>29862</v>
      </c>
      <c r="J29" s="171">
        <v>19939</v>
      </c>
      <c r="K29" s="171">
        <v>49801</v>
      </c>
      <c r="L29" s="168">
        <v>647239</v>
      </c>
      <c r="M29" s="168">
        <v>562470</v>
      </c>
      <c r="N29" s="171">
        <v>1209709</v>
      </c>
      <c r="O29" s="172">
        <v>71.897310345057406</v>
      </c>
      <c r="P29" s="172">
        <v>76.784987836609204</v>
      </c>
      <c r="Q29" s="172">
        <v>74.090141007243588</v>
      </c>
      <c r="R29" s="169">
        <f>L29</f>
        <v>647239</v>
      </c>
      <c r="S29" s="169">
        <f>M29</f>
        <v>562470</v>
      </c>
      <c r="T29" s="169">
        <f>N29</f>
        <v>1209709</v>
      </c>
      <c r="U29" s="169">
        <v>127330</v>
      </c>
      <c r="V29" s="169">
        <v>134213</v>
      </c>
      <c r="W29" s="169">
        <f>U29+V29</f>
        <v>261543</v>
      </c>
      <c r="X29" s="169">
        <v>207045</v>
      </c>
      <c r="Y29" s="169">
        <v>200535</v>
      </c>
      <c r="Z29" s="169">
        <f>X29+Y29</f>
        <v>407580</v>
      </c>
      <c r="AA29" s="172">
        <f>U29/R29%</f>
        <v>19.672794748153308</v>
      </c>
      <c r="AB29" s="172">
        <f>V29/S29%</f>
        <v>23.861361494835283</v>
      </c>
      <c r="AC29" s="172">
        <f>W29/T29%</f>
        <v>21.620323565419451</v>
      </c>
      <c r="AD29" s="336">
        <f>X29/R29%</f>
        <v>31.988956166114836</v>
      </c>
      <c r="AE29" s="336">
        <f>Y29/S29%</f>
        <v>35.652568136967304</v>
      </c>
      <c r="AF29" s="336">
        <f>Z29/T29%</f>
        <v>33.692400403733458</v>
      </c>
    </row>
    <row r="30" spans="1:32" ht="28.5">
      <c r="A30" s="167">
        <v>21</v>
      </c>
      <c r="B30" s="27" t="s">
        <v>272</v>
      </c>
      <c r="C30" s="171">
        <v>503813</v>
      </c>
      <c r="D30" s="171">
        <v>359065</v>
      </c>
      <c r="E30" s="171">
        <v>862878</v>
      </c>
      <c r="F30" s="171">
        <v>246195</v>
      </c>
      <c r="G30" s="171">
        <v>184473</v>
      </c>
      <c r="H30" s="171">
        <v>430668</v>
      </c>
      <c r="I30" s="171">
        <v>55956</v>
      </c>
      <c r="J30" s="171">
        <v>42011</v>
      </c>
      <c r="K30" s="171">
        <v>97967</v>
      </c>
      <c r="L30" s="170">
        <v>302151</v>
      </c>
      <c r="M30" s="170">
        <v>226484</v>
      </c>
      <c r="N30" s="171">
        <v>528635</v>
      </c>
      <c r="O30" s="315">
        <v>59.972847068257472</v>
      </c>
      <c r="P30" s="315">
        <v>63.07604472727779</v>
      </c>
      <c r="Q30" s="315">
        <v>61.264164806612285</v>
      </c>
      <c r="R30" s="171">
        <v>302151</v>
      </c>
      <c r="S30" s="171">
        <v>226484</v>
      </c>
      <c r="T30" s="171">
        <v>528635</v>
      </c>
      <c r="U30" s="171">
        <v>20381</v>
      </c>
      <c r="V30" s="171">
        <v>17423</v>
      </c>
      <c r="W30" s="171">
        <v>37804</v>
      </c>
      <c r="X30" s="171">
        <v>64264</v>
      </c>
      <c r="Y30" s="171">
        <v>51357</v>
      </c>
      <c r="Z30" s="171">
        <v>115621</v>
      </c>
      <c r="AA30" s="315">
        <v>6.7453028452661083</v>
      </c>
      <c r="AB30" s="315">
        <v>7.6928171526465441</v>
      </c>
      <c r="AC30" s="315">
        <v>7.1512480255753017</v>
      </c>
      <c r="AD30" s="315">
        <v>21.268835780785103</v>
      </c>
      <c r="AE30" s="315">
        <v>22.675774006110807</v>
      </c>
      <c r="AF30" s="315">
        <v>21.871612738467938</v>
      </c>
    </row>
    <row r="31" spans="1:32" ht="28.5">
      <c r="A31" s="167">
        <v>22</v>
      </c>
      <c r="B31" s="27" t="s">
        <v>141</v>
      </c>
      <c r="C31" s="171">
        <v>18458</v>
      </c>
      <c r="D31" s="171">
        <v>16485</v>
      </c>
      <c r="E31" s="171">
        <v>34943</v>
      </c>
      <c r="F31" s="171">
        <v>13869</v>
      </c>
      <c r="G31" s="171">
        <v>10856</v>
      </c>
      <c r="H31" s="171">
        <v>24725</v>
      </c>
      <c r="I31" s="171">
        <v>2063</v>
      </c>
      <c r="J31" s="171">
        <v>2194</v>
      </c>
      <c r="K31" s="171">
        <v>4257</v>
      </c>
      <c r="L31" s="168">
        <v>15932</v>
      </c>
      <c r="M31" s="168">
        <v>13050</v>
      </c>
      <c r="N31" s="171">
        <v>28982</v>
      </c>
      <c r="O31" s="172">
        <v>86.314877018095132</v>
      </c>
      <c r="P31" s="172">
        <v>79.162875341219291</v>
      </c>
      <c r="Q31" s="172">
        <v>82.940789285407675</v>
      </c>
      <c r="R31" s="169">
        <f>L31</f>
        <v>15932</v>
      </c>
      <c r="S31" s="169">
        <f>M31</f>
        <v>13050</v>
      </c>
      <c r="T31" s="169">
        <f>N31</f>
        <v>28982</v>
      </c>
      <c r="U31" s="169">
        <v>365</v>
      </c>
      <c r="V31" s="169">
        <v>234</v>
      </c>
      <c r="W31" s="169">
        <f>U31+V31</f>
        <v>599</v>
      </c>
      <c r="X31" s="169">
        <v>3545</v>
      </c>
      <c r="Y31" s="169">
        <v>2690</v>
      </c>
      <c r="Z31" s="169">
        <f>X31+Y31</f>
        <v>6235</v>
      </c>
      <c r="AA31" s="172">
        <f>U31/R31%</f>
        <v>2.2909866934471506</v>
      </c>
      <c r="AB31" s="172">
        <f>V31/S31%</f>
        <v>1.7931034482758621</v>
      </c>
      <c r="AC31" s="172">
        <f>W31/T31%</f>
        <v>2.0668000828100199</v>
      </c>
      <c r="AD31" s="336">
        <f>X31/R31%</f>
        <v>22.250815967863421</v>
      </c>
      <c r="AE31" s="336">
        <f>Y31/S31%</f>
        <v>20.613026819923373</v>
      </c>
      <c r="AF31" s="336">
        <f>Z31/T31%</f>
        <v>21.513353115727003</v>
      </c>
    </row>
    <row r="32" spans="1:32" ht="28.5">
      <c r="A32" s="167">
        <v>23</v>
      </c>
      <c r="B32" s="27" t="s">
        <v>158</v>
      </c>
      <c r="C32" s="171">
        <v>16549</v>
      </c>
      <c r="D32" s="171">
        <v>19573</v>
      </c>
      <c r="E32" s="171">
        <v>36122</v>
      </c>
      <c r="F32" s="171">
        <v>7787</v>
      </c>
      <c r="G32" s="171">
        <v>8957</v>
      </c>
      <c r="H32" s="171">
        <v>16744</v>
      </c>
      <c r="I32" s="177"/>
      <c r="J32" s="177"/>
      <c r="K32" s="177"/>
      <c r="L32" s="170">
        <v>7787</v>
      </c>
      <c r="M32" s="170">
        <v>8957</v>
      </c>
      <c r="N32" s="171">
        <v>16744</v>
      </c>
      <c r="O32" s="315">
        <v>47.054202670856242</v>
      </c>
      <c r="P32" s="315">
        <v>45.762019107954835</v>
      </c>
      <c r="Q32" s="315">
        <v>46.354022479375452</v>
      </c>
      <c r="R32" s="171">
        <v>7787</v>
      </c>
      <c r="S32" s="171">
        <v>8957</v>
      </c>
      <c r="T32" s="171">
        <v>16744</v>
      </c>
      <c r="U32" s="171">
        <v>1218</v>
      </c>
      <c r="V32" s="171">
        <v>1308</v>
      </c>
      <c r="W32" s="171">
        <v>2526</v>
      </c>
      <c r="X32" s="171">
        <v>2053</v>
      </c>
      <c r="Y32" s="171">
        <v>2365</v>
      </c>
      <c r="Z32" s="171">
        <v>4418</v>
      </c>
      <c r="AA32" s="315">
        <v>15.641453704892768</v>
      </c>
      <c r="AB32" s="315">
        <v>14.603103717762645</v>
      </c>
      <c r="AC32" s="315">
        <v>15.086000955566174</v>
      </c>
      <c r="AD32" s="315">
        <v>26.364453576473608</v>
      </c>
      <c r="AE32" s="315">
        <v>26.403929887239034</v>
      </c>
      <c r="AF32" s="315">
        <v>26.385570950788342</v>
      </c>
    </row>
    <row r="33" spans="1:32">
      <c r="A33" s="167">
        <v>24</v>
      </c>
      <c r="B33" s="27" t="s">
        <v>159</v>
      </c>
      <c r="C33" s="171">
        <v>5515</v>
      </c>
      <c r="D33" s="171">
        <v>5660</v>
      </c>
      <c r="E33" s="171">
        <v>11175</v>
      </c>
      <c r="F33" s="171">
        <v>3929</v>
      </c>
      <c r="G33" s="171">
        <v>3787</v>
      </c>
      <c r="H33" s="171">
        <v>7716</v>
      </c>
      <c r="I33" s="171">
        <v>61</v>
      </c>
      <c r="J33" s="171">
        <v>74</v>
      </c>
      <c r="K33" s="171">
        <v>135</v>
      </c>
      <c r="L33" s="170">
        <v>3990</v>
      </c>
      <c r="M33" s="170">
        <v>3861</v>
      </c>
      <c r="N33" s="171">
        <v>7851</v>
      </c>
      <c r="O33" s="315">
        <v>72.348141432456941</v>
      </c>
      <c r="P33" s="315">
        <v>68.215547703180206</v>
      </c>
      <c r="Q33" s="315">
        <v>70.255033557046971</v>
      </c>
      <c r="R33" s="171">
        <v>3990</v>
      </c>
      <c r="S33" s="171">
        <v>3861</v>
      </c>
      <c r="T33" s="171">
        <v>7851</v>
      </c>
      <c r="U33" s="171">
        <v>171</v>
      </c>
      <c r="V33" s="171">
        <v>210</v>
      </c>
      <c r="W33" s="171">
        <v>381</v>
      </c>
      <c r="X33" s="171">
        <v>906</v>
      </c>
      <c r="Y33" s="171">
        <v>788</v>
      </c>
      <c r="Z33" s="171">
        <v>1694</v>
      </c>
      <c r="AA33" s="315">
        <v>4.2857142857142856</v>
      </c>
      <c r="AB33" s="315">
        <v>5.439005439005439</v>
      </c>
      <c r="AC33" s="315">
        <v>4.8528849828047376</v>
      </c>
      <c r="AD33" s="315">
        <v>22.706766917293233</v>
      </c>
      <c r="AE33" s="315">
        <v>20.40922040922041</v>
      </c>
      <c r="AF33" s="315">
        <v>21.576869188638387</v>
      </c>
    </row>
    <row r="34" spans="1:32">
      <c r="A34" s="167">
        <v>25</v>
      </c>
      <c r="B34" s="27" t="s">
        <v>160</v>
      </c>
      <c r="C34" s="171">
        <v>11627</v>
      </c>
      <c r="D34" s="171">
        <v>11834</v>
      </c>
      <c r="E34" s="171">
        <v>23461</v>
      </c>
      <c r="F34" s="171">
        <v>8269</v>
      </c>
      <c r="G34" s="171">
        <v>8046</v>
      </c>
      <c r="H34" s="171">
        <v>16315</v>
      </c>
      <c r="I34" s="177"/>
      <c r="J34" s="177"/>
      <c r="K34" s="177"/>
      <c r="L34" s="170">
        <v>8269</v>
      </c>
      <c r="M34" s="170">
        <v>8046</v>
      </c>
      <c r="N34" s="171">
        <v>16315</v>
      </c>
      <c r="O34" s="315">
        <v>71.118947277887685</v>
      </c>
      <c r="P34" s="315">
        <v>67.990535744465092</v>
      </c>
      <c r="Q34" s="315">
        <v>69.540940283875358</v>
      </c>
      <c r="R34" s="171">
        <v>8269</v>
      </c>
      <c r="S34" s="171">
        <v>8046</v>
      </c>
      <c r="T34" s="171">
        <v>16315</v>
      </c>
      <c r="U34" s="171">
        <v>273</v>
      </c>
      <c r="V34" s="171">
        <v>313</v>
      </c>
      <c r="W34" s="171">
        <v>586</v>
      </c>
      <c r="X34" s="171">
        <v>1170</v>
      </c>
      <c r="Y34" s="171">
        <v>1160</v>
      </c>
      <c r="Z34" s="171">
        <v>2330</v>
      </c>
      <c r="AA34" s="315">
        <v>3.3014874833716292</v>
      </c>
      <c r="AB34" s="315">
        <v>3.8901317424807362</v>
      </c>
      <c r="AC34" s="315">
        <v>3.5917866993564203</v>
      </c>
      <c r="AD34" s="315">
        <v>14.149232071592696</v>
      </c>
      <c r="AE34" s="315">
        <v>14.417101665423814</v>
      </c>
      <c r="AF34" s="315">
        <v>14.281336193686791</v>
      </c>
    </row>
    <row r="35" spans="1:32" ht="28.5">
      <c r="A35" s="167">
        <v>26</v>
      </c>
      <c r="B35" s="27" t="s">
        <v>300</v>
      </c>
      <c r="C35" s="171">
        <v>244401</v>
      </c>
      <c r="D35" s="171">
        <v>230944</v>
      </c>
      <c r="E35" s="171">
        <v>475345</v>
      </c>
      <c r="F35" s="171">
        <v>153179</v>
      </c>
      <c r="G35" s="171">
        <v>141319</v>
      </c>
      <c r="H35" s="171">
        <v>294498</v>
      </c>
      <c r="I35" s="171">
        <v>10074</v>
      </c>
      <c r="J35" s="171">
        <v>8114</v>
      </c>
      <c r="K35" s="171">
        <v>18188</v>
      </c>
      <c r="L35" s="170">
        <v>163253</v>
      </c>
      <c r="M35" s="170">
        <v>149433</v>
      </c>
      <c r="N35" s="171">
        <v>312686</v>
      </c>
      <c r="O35" s="315">
        <v>66.797189864198586</v>
      </c>
      <c r="P35" s="315">
        <v>64.705296522100596</v>
      </c>
      <c r="Q35" s="315">
        <v>65.780853906110309</v>
      </c>
      <c r="R35" s="171">
        <v>163253</v>
      </c>
      <c r="S35" s="171">
        <v>149433</v>
      </c>
      <c r="T35" s="171">
        <v>312686</v>
      </c>
      <c r="U35" s="177"/>
      <c r="V35" s="177"/>
      <c r="W35" s="177"/>
      <c r="X35" s="171">
        <v>30371</v>
      </c>
      <c r="Y35" s="171">
        <v>24295</v>
      </c>
      <c r="Z35" s="171">
        <v>54666</v>
      </c>
      <c r="AA35" s="216"/>
      <c r="AB35" s="216"/>
      <c r="AC35" s="216"/>
      <c r="AD35" s="315">
        <v>18.603639749346108</v>
      </c>
      <c r="AE35" s="315">
        <v>16.258122369222328</v>
      </c>
      <c r="AF35" s="315">
        <v>17.482714288455512</v>
      </c>
    </row>
    <row r="36" spans="1:32">
      <c r="A36" s="167">
        <v>27</v>
      </c>
      <c r="B36" s="27" t="s">
        <v>162</v>
      </c>
      <c r="C36" s="171">
        <v>187544</v>
      </c>
      <c r="D36" s="171">
        <v>160075</v>
      </c>
      <c r="E36" s="171">
        <v>347619</v>
      </c>
      <c r="F36" s="171">
        <v>118620</v>
      </c>
      <c r="G36" s="171">
        <v>113365</v>
      </c>
      <c r="H36" s="171">
        <v>231985</v>
      </c>
      <c r="I36" s="171">
        <v>23024</v>
      </c>
      <c r="J36" s="171">
        <v>14710</v>
      </c>
      <c r="K36" s="171">
        <v>37734</v>
      </c>
      <c r="L36" s="170">
        <v>141644</v>
      </c>
      <c r="M36" s="170">
        <v>128075</v>
      </c>
      <c r="N36" s="171">
        <v>269719</v>
      </c>
      <c r="O36" s="315">
        <v>75.525743292240747</v>
      </c>
      <c r="P36" s="315">
        <v>80.009370607527714</v>
      </c>
      <c r="Q36" s="315">
        <v>77.590407889096966</v>
      </c>
      <c r="R36" s="171">
        <v>141644</v>
      </c>
      <c r="S36" s="171">
        <v>128075</v>
      </c>
      <c r="T36" s="171">
        <v>269719</v>
      </c>
      <c r="U36" s="171">
        <v>10665</v>
      </c>
      <c r="V36" s="171">
        <v>21045</v>
      </c>
      <c r="W36" s="171">
        <v>31710</v>
      </c>
      <c r="X36" s="171">
        <v>44766</v>
      </c>
      <c r="Y36" s="171">
        <v>48652</v>
      </c>
      <c r="Z36" s="171">
        <v>93418</v>
      </c>
      <c r="AA36" s="315">
        <v>7.5294400045183698</v>
      </c>
      <c r="AB36" s="315">
        <v>16.431778254928751</v>
      </c>
      <c r="AC36" s="315">
        <v>11.756680100400787</v>
      </c>
      <c r="AD36" s="315">
        <v>31.604586145547991</v>
      </c>
      <c r="AE36" s="315">
        <v>37.987116923677533</v>
      </c>
      <c r="AF36" s="315">
        <v>34.635305632899424</v>
      </c>
    </row>
    <row r="37" spans="1:32" ht="28.5">
      <c r="A37" s="167">
        <v>28</v>
      </c>
      <c r="B37" s="27" t="s">
        <v>212</v>
      </c>
      <c r="C37" s="171">
        <v>597729</v>
      </c>
      <c r="D37" s="171">
        <v>380788</v>
      </c>
      <c r="E37" s="171">
        <v>978517</v>
      </c>
      <c r="F37" s="171">
        <v>440985</v>
      </c>
      <c r="G37" s="171">
        <v>280239</v>
      </c>
      <c r="H37" s="171">
        <v>721224</v>
      </c>
      <c r="I37" s="171">
        <v>17265</v>
      </c>
      <c r="J37" s="171">
        <v>12630</v>
      </c>
      <c r="K37" s="171">
        <v>29895</v>
      </c>
      <c r="L37" s="170">
        <v>458250</v>
      </c>
      <c r="M37" s="170">
        <v>292869</v>
      </c>
      <c r="N37" s="171">
        <v>751119</v>
      </c>
      <c r="O37" s="315">
        <v>76.665177697585364</v>
      </c>
      <c r="P37" s="315">
        <v>76.911299725831697</v>
      </c>
      <c r="Q37" s="315">
        <v>76.76095560935579</v>
      </c>
      <c r="R37" s="171">
        <v>458250</v>
      </c>
      <c r="S37" s="171">
        <v>292869</v>
      </c>
      <c r="T37" s="171">
        <v>751119</v>
      </c>
      <c r="U37" s="171">
        <v>23285</v>
      </c>
      <c r="V37" s="171">
        <v>14091</v>
      </c>
      <c r="W37" s="171">
        <v>37376</v>
      </c>
      <c r="X37" s="171">
        <v>79017</v>
      </c>
      <c r="Y37" s="171">
        <v>50240</v>
      </c>
      <c r="Z37" s="171">
        <v>129257</v>
      </c>
      <c r="AA37" s="315">
        <v>5.0812875068194217</v>
      </c>
      <c r="AB37" s="315">
        <v>4.8113661739549078</v>
      </c>
      <c r="AC37" s="315">
        <v>4.9760424113888746</v>
      </c>
      <c r="AD37" s="315">
        <v>17.243207855973814</v>
      </c>
      <c r="AE37" s="315">
        <v>17.1544274061099</v>
      </c>
      <c r="AF37" s="315">
        <v>17.208591448225913</v>
      </c>
    </row>
    <row r="38" spans="1:32" ht="28.5">
      <c r="A38" s="167">
        <v>29</v>
      </c>
      <c r="B38" s="27" t="s">
        <v>274</v>
      </c>
      <c r="C38" s="171">
        <v>475279</v>
      </c>
      <c r="D38" s="171">
        <v>455365</v>
      </c>
      <c r="E38" s="171">
        <v>930644</v>
      </c>
      <c r="F38" s="171">
        <v>343523</v>
      </c>
      <c r="G38" s="171">
        <v>381612</v>
      </c>
      <c r="H38" s="171">
        <v>725135</v>
      </c>
      <c r="I38" s="171">
        <v>23856</v>
      </c>
      <c r="J38" s="171">
        <v>16964</v>
      </c>
      <c r="K38" s="171">
        <v>40820</v>
      </c>
      <c r="L38" s="168">
        <v>367379</v>
      </c>
      <c r="M38" s="168">
        <v>398576</v>
      </c>
      <c r="N38" s="171">
        <v>765955</v>
      </c>
      <c r="O38" s="172">
        <v>77.297545231327277</v>
      </c>
      <c r="P38" s="172">
        <v>87.528905383593383</v>
      </c>
      <c r="Q38" s="172">
        <v>82.303759547152296</v>
      </c>
      <c r="R38" s="169">
        <f>L38</f>
        <v>367379</v>
      </c>
      <c r="S38" s="169">
        <f>M38</f>
        <v>398576</v>
      </c>
      <c r="T38" s="169">
        <f>N38</f>
        <v>765955</v>
      </c>
      <c r="U38" s="174"/>
      <c r="V38" s="174"/>
      <c r="W38" s="174"/>
      <c r="X38" s="174"/>
      <c r="Y38" s="174"/>
      <c r="Z38" s="174"/>
      <c r="AA38" s="175"/>
      <c r="AB38" s="175"/>
      <c r="AC38" s="175"/>
      <c r="AD38" s="176"/>
      <c r="AE38" s="176"/>
      <c r="AF38" s="176"/>
    </row>
    <row r="39" spans="1:32" ht="28.5">
      <c r="A39" s="167">
        <v>30</v>
      </c>
      <c r="B39" s="27" t="s">
        <v>301</v>
      </c>
      <c r="C39" s="171">
        <v>23179</v>
      </c>
      <c r="D39" s="171">
        <v>20333</v>
      </c>
      <c r="E39" s="171">
        <v>43512</v>
      </c>
      <c r="F39" s="171">
        <v>12153</v>
      </c>
      <c r="G39" s="171">
        <v>9791</v>
      </c>
      <c r="H39" s="171">
        <v>21944</v>
      </c>
      <c r="I39" s="177"/>
      <c r="J39" s="177"/>
      <c r="K39" s="177"/>
      <c r="L39" s="170">
        <v>12153</v>
      </c>
      <c r="M39" s="170">
        <v>9791</v>
      </c>
      <c r="N39" s="171">
        <v>21944</v>
      </c>
      <c r="O39" s="315">
        <v>52.431079856766907</v>
      </c>
      <c r="P39" s="315">
        <v>48.153248413908422</v>
      </c>
      <c r="Q39" s="315">
        <v>50.432064717778999</v>
      </c>
      <c r="R39" s="171">
        <v>12153</v>
      </c>
      <c r="S39" s="171">
        <v>9791</v>
      </c>
      <c r="T39" s="171">
        <v>21944</v>
      </c>
      <c r="U39" s="177"/>
      <c r="V39" s="177"/>
      <c r="W39" s="177"/>
      <c r="X39" s="171">
        <v>1243</v>
      </c>
      <c r="Y39" s="171">
        <v>798</v>
      </c>
      <c r="Z39" s="171">
        <v>2041</v>
      </c>
      <c r="AA39" s="216"/>
      <c r="AB39" s="216"/>
      <c r="AC39" s="216"/>
      <c r="AD39" s="315">
        <v>10.22792726075866</v>
      </c>
      <c r="AE39" s="315">
        <v>8.150342150954959</v>
      </c>
      <c r="AF39" s="315">
        <v>9.3009478672985786</v>
      </c>
    </row>
    <row r="40" spans="1:32" ht="27">
      <c r="A40" s="167">
        <v>31</v>
      </c>
      <c r="B40" s="27" t="s">
        <v>306</v>
      </c>
      <c r="C40" s="171">
        <v>1922649</v>
      </c>
      <c r="D40" s="171">
        <v>1382924</v>
      </c>
      <c r="E40" s="171">
        <v>3305573</v>
      </c>
      <c r="F40" s="171">
        <v>1267375</v>
      </c>
      <c r="G40" s="171">
        <v>1072602</v>
      </c>
      <c r="H40" s="171">
        <v>2339977</v>
      </c>
      <c r="I40" s="171">
        <v>31662</v>
      </c>
      <c r="J40" s="171">
        <v>14062</v>
      </c>
      <c r="K40" s="171">
        <v>45724</v>
      </c>
      <c r="L40" s="170">
        <v>1299037</v>
      </c>
      <c r="M40" s="170">
        <v>1086664</v>
      </c>
      <c r="N40" s="171">
        <v>2385701</v>
      </c>
      <c r="O40" s="315">
        <v>67.564958554577572</v>
      </c>
      <c r="P40" s="315">
        <v>78.577275396189521</v>
      </c>
      <c r="Q40" s="315">
        <v>72.172086352351016</v>
      </c>
      <c r="R40" s="171">
        <v>1299037</v>
      </c>
      <c r="S40" s="171">
        <v>1086664</v>
      </c>
      <c r="T40" s="171">
        <v>2385701</v>
      </c>
      <c r="U40" s="177"/>
      <c r="V40" s="177"/>
      <c r="W40" s="177"/>
      <c r="X40" s="177"/>
      <c r="Y40" s="177"/>
      <c r="Z40" s="177"/>
      <c r="AA40" s="216"/>
      <c r="AB40" s="216"/>
      <c r="AC40" s="216">
        <v>0</v>
      </c>
      <c r="AD40" s="216"/>
      <c r="AE40" s="216"/>
      <c r="AF40" s="216">
        <v>0</v>
      </c>
    </row>
    <row r="41" spans="1:32" ht="28.5">
      <c r="A41" s="167">
        <v>32</v>
      </c>
      <c r="B41" s="27" t="s">
        <v>276</v>
      </c>
      <c r="C41" s="171">
        <v>94951</v>
      </c>
      <c r="D41" s="171">
        <v>80025</v>
      </c>
      <c r="E41" s="171">
        <v>174976</v>
      </c>
      <c r="F41" s="171">
        <v>59398</v>
      </c>
      <c r="G41" s="171">
        <v>59845</v>
      </c>
      <c r="H41" s="171">
        <v>119243</v>
      </c>
      <c r="I41" s="177"/>
      <c r="J41" s="177"/>
      <c r="K41" s="177"/>
      <c r="L41" s="170">
        <v>59398</v>
      </c>
      <c r="M41" s="170">
        <v>59845</v>
      </c>
      <c r="N41" s="171">
        <v>119243</v>
      </c>
      <c r="O41" s="315">
        <v>62.556476498404443</v>
      </c>
      <c r="P41" s="315">
        <v>74.782880349890661</v>
      </c>
      <c r="Q41" s="315">
        <v>68.148203182150695</v>
      </c>
      <c r="R41" s="171">
        <v>59398</v>
      </c>
      <c r="S41" s="171">
        <v>59845</v>
      </c>
      <c r="T41" s="171">
        <v>119243</v>
      </c>
      <c r="U41" s="171">
        <v>1469</v>
      </c>
      <c r="V41" s="171">
        <v>1024</v>
      </c>
      <c r="W41" s="171">
        <v>2493</v>
      </c>
      <c r="X41" s="171">
        <v>8327</v>
      </c>
      <c r="Y41" s="171">
        <v>10706</v>
      </c>
      <c r="Z41" s="171">
        <v>19033</v>
      </c>
      <c r="AA41" s="315">
        <v>2.47314724401495</v>
      </c>
      <c r="AB41" s="315">
        <v>1.7110869746846018</v>
      </c>
      <c r="AC41" s="315">
        <v>2.0906887616044547</v>
      </c>
      <c r="AD41" s="315">
        <v>14.018990538401965</v>
      </c>
      <c r="AE41" s="315">
        <v>17.889547998997408</v>
      </c>
      <c r="AF41" s="315">
        <v>15.96152394689835</v>
      </c>
    </row>
    <row r="42" spans="1:32" ht="28.5">
      <c r="A42" s="167">
        <v>33</v>
      </c>
      <c r="B42" s="27" t="s">
        <v>172</v>
      </c>
      <c r="C42" s="171">
        <v>465143</v>
      </c>
      <c r="D42" s="171">
        <v>489024</v>
      </c>
      <c r="E42" s="171">
        <v>954167</v>
      </c>
      <c r="F42" s="171">
        <v>386056</v>
      </c>
      <c r="G42" s="171">
        <v>361819</v>
      </c>
      <c r="H42" s="171">
        <v>747875</v>
      </c>
      <c r="I42" s="171">
        <v>17539</v>
      </c>
      <c r="J42" s="171">
        <v>19088</v>
      </c>
      <c r="K42" s="171">
        <v>36627</v>
      </c>
      <c r="L42" s="170">
        <v>403595</v>
      </c>
      <c r="M42" s="170">
        <v>380907</v>
      </c>
      <c r="N42" s="171">
        <v>784502</v>
      </c>
      <c r="O42" s="315">
        <v>86.767940181836551</v>
      </c>
      <c r="P42" s="315">
        <v>77.891269140164894</v>
      </c>
      <c r="Q42" s="315">
        <v>82.21852149571302</v>
      </c>
      <c r="R42" s="171">
        <v>403595</v>
      </c>
      <c r="S42" s="171">
        <v>380907</v>
      </c>
      <c r="T42" s="171">
        <v>784502</v>
      </c>
      <c r="U42" s="177"/>
      <c r="V42" s="177"/>
      <c r="W42" s="177"/>
      <c r="X42" s="177"/>
      <c r="Y42" s="177"/>
      <c r="Z42" s="177"/>
      <c r="AA42" s="216"/>
      <c r="AB42" s="216"/>
      <c r="AC42" s="216"/>
      <c r="AD42" s="216"/>
      <c r="AE42" s="216"/>
      <c r="AF42" s="216"/>
    </row>
    <row r="43" spans="1:32" ht="28.5">
      <c r="A43" s="268">
        <v>34</v>
      </c>
      <c r="B43" s="80" t="s">
        <v>277</v>
      </c>
      <c r="C43" s="190">
        <v>17188</v>
      </c>
      <c r="D43" s="190">
        <v>29456</v>
      </c>
      <c r="E43" s="190">
        <v>46644</v>
      </c>
      <c r="F43" s="190">
        <v>14178</v>
      </c>
      <c r="G43" s="190">
        <v>20964</v>
      </c>
      <c r="H43" s="190">
        <v>35142</v>
      </c>
      <c r="I43" s="192"/>
      <c r="J43" s="192"/>
      <c r="K43" s="192"/>
      <c r="L43" s="189">
        <v>14178</v>
      </c>
      <c r="M43" s="189">
        <v>20964</v>
      </c>
      <c r="N43" s="190">
        <v>35142</v>
      </c>
      <c r="O43" s="322">
        <v>82.487782173609489</v>
      </c>
      <c r="P43" s="322">
        <v>71.170559478544277</v>
      </c>
      <c r="Q43" s="322">
        <v>75.340879855930027</v>
      </c>
      <c r="R43" s="190">
        <v>14178</v>
      </c>
      <c r="S43" s="190">
        <v>20964</v>
      </c>
      <c r="T43" s="190">
        <v>35142</v>
      </c>
      <c r="U43" s="190">
        <v>470</v>
      </c>
      <c r="V43" s="190">
        <v>372</v>
      </c>
      <c r="W43" s="190">
        <v>842</v>
      </c>
      <c r="X43" s="190">
        <v>1971</v>
      </c>
      <c r="Y43" s="190">
        <v>1594</v>
      </c>
      <c r="Z43" s="190">
        <v>3565</v>
      </c>
      <c r="AA43" s="322">
        <v>3.3149950627733107</v>
      </c>
      <c r="AB43" s="322">
        <v>1.7744705208929594</v>
      </c>
      <c r="AC43" s="322">
        <v>2.3959933982129646</v>
      </c>
      <c r="AD43" s="322">
        <v>13.901819720694032</v>
      </c>
      <c r="AE43" s="322">
        <v>7.6035107803854229</v>
      </c>
      <c r="AF43" s="322">
        <v>10.144556371293609</v>
      </c>
    </row>
    <row r="44" spans="1:32">
      <c r="A44" s="640" t="s">
        <v>256</v>
      </c>
      <c r="B44" s="640"/>
      <c r="C44" s="640"/>
      <c r="D44" s="640"/>
      <c r="E44" s="640"/>
      <c r="F44" s="640"/>
      <c r="G44" s="640"/>
      <c r="H44" s="640"/>
      <c r="I44" s="640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</row>
    <row r="45" spans="1:32" ht="28.5">
      <c r="A45" s="167">
        <v>1</v>
      </c>
      <c r="B45" s="43" t="s">
        <v>249</v>
      </c>
      <c r="C45" s="168">
        <v>122233</v>
      </c>
      <c r="D45" s="168">
        <v>54799</v>
      </c>
      <c r="E45" s="169">
        <v>177032</v>
      </c>
      <c r="F45" s="168">
        <v>87159</v>
      </c>
      <c r="G45" s="168">
        <v>39853</v>
      </c>
      <c r="H45" s="169">
        <v>127012</v>
      </c>
      <c r="I45" s="168"/>
      <c r="J45" s="168"/>
      <c r="K45" s="169"/>
      <c r="L45" s="168">
        <v>87159</v>
      </c>
      <c r="M45" s="168">
        <v>39853</v>
      </c>
      <c r="N45" s="169">
        <v>127012</v>
      </c>
      <c r="O45" s="168">
        <f>+L45/C45%</f>
        <v>71.305621231582307</v>
      </c>
      <c r="P45" s="168">
        <f t="shared" ref="P45:Q45" si="0">+M45/D45%</f>
        <v>72.725779667512185</v>
      </c>
      <c r="Q45" s="168">
        <f t="shared" si="0"/>
        <v>71.745221202946368</v>
      </c>
      <c r="R45" s="173">
        <v>87159</v>
      </c>
      <c r="S45" s="173">
        <v>39853</v>
      </c>
      <c r="T45" s="173">
        <v>127012</v>
      </c>
      <c r="U45" s="173">
        <v>327</v>
      </c>
      <c r="V45" s="173">
        <v>239</v>
      </c>
      <c r="W45" s="173">
        <v>566</v>
      </c>
      <c r="X45" s="173">
        <v>11768</v>
      </c>
      <c r="Y45" s="173">
        <v>5599</v>
      </c>
      <c r="Z45" s="173">
        <v>17367</v>
      </c>
      <c r="AA45" s="178">
        <v>0.37517640174852857</v>
      </c>
      <c r="AB45" s="178">
        <v>0.59970391187614491</v>
      </c>
      <c r="AC45" s="178">
        <v>0.44562718483292924</v>
      </c>
      <c r="AD45" s="178">
        <v>13.501761149164171</v>
      </c>
      <c r="AE45" s="178">
        <v>14.049130554788849</v>
      </c>
      <c r="AF45" s="178">
        <v>13.673511164299438</v>
      </c>
    </row>
    <row r="46" spans="1:32">
      <c r="A46" s="267">
        <v>2</v>
      </c>
      <c r="B46" s="337" t="s">
        <v>250</v>
      </c>
      <c r="C46" s="241">
        <v>62866</v>
      </c>
      <c r="D46" s="241">
        <v>29357</v>
      </c>
      <c r="E46" s="32">
        <v>92223</v>
      </c>
      <c r="F46" s="241">
        <v>46500</v>
      </c>
      <c r="G46" s="241">
        <v>23080</v>
      </c>
      <c r="H46" s="32">
        <v>69580</v>
      </c>
      <c r="I46" s="82"/>
      <c r="J46" s="82"/>
      <c r="K46" s="32"/>
      <c r="L46" s="241">
        <v>46500</v>
      </c>
      <c r="M46" s="241">
        <v>23080</v>
      </c>
      <c r="N46" s="32">
        <v>69580</v>
      </c>
      <c r="O46" s="168">
        <f t="shared" ref="O46:Q51" si="1">+L46/C46%</f>
        <v>73.966850125664109</v>
      </c>
      <c r="P46" s="168">
        <f t="shared" ref="P46:P50" si="2">+M46/D46%</f>
        <v>78.618387437408458</v>
      </c>
      <c r="Q46" s="168">
        <f t="shared" ref="Q46:Q50" si="3">+N46/E46%</f>
        <v>75.447556466391248</v>
      </c>
      <c r="R46" s="32">
        <v>46500</v>
      </c>
      <c r="S46" s="32">
        <v>23080</v>
      </c>
      <c r="T46" s="32">
        <v>69580</v>
      </c>
      <c r="U46" s="32">
        <v>108</v>
      </c>
      <c r="V46" s="32">
        <v>83</v>
      </c>
      <c r="W46" s="32">
        <v>191</v>
      </c>
      <c r="X46" s="32">
        <v>6522</v>
      </c>
      <c r="Y46" s="32">
        <v>4555</v>
      </c>
      <c r="Z46" s="32">
        <v>11077</v>
      </c>
      <c r="AA46" s="182">
        <v>0.23225806451612904</v>
      </c>
      <c r="AB46" s="182">
        <v>0.35961871750433272</v>
      </c>
      <c r="AC46" s="182">
        <v>0.27450416786432885</v>
      </c>
      <c r="AD46" s="260">
        <v>14.025806451612903</v>
      </c>
      <c r="AE46" s="260">
        <v>19.735701906412476</v>
      </c>
      <c r="AF46" s="260">
        <v>15.919804541534925</v>
      </c>
    </row>
    <row r="47" spans="1:32">
      <c r="A47" s="167">
        <v>3</v>
      </c>
      <c r="B47" s="45" t="s">
        <v>251</v>
      </c>
      <c r="C47" s="168">
        <v>28219</v>
      </c>
      <c r="D47" s="168">
        <v>34996</v>
      </c>
      <c r="E47" s="169">
        <v>63215</v>
      </c>
      <c r="F47" s="168">
        <v>13369</v>
      </c>
      <c r="G47" s="168">
        <v>14907</v>
      </c>
      <c r="H47" s="169">
        <v>28276</v>
      </c>
      <c r="I47" s="168"/>
      <c r="J47" s="168"/>
      <c r="K47" s="169"/>
      <c r="L47" s="168">
        <v>13369</v>
      </c>
      <c r="M47" s="168">
        <v>14907</v>
      </c>
      <c r="N47" s="169">
        <v>28276</v>
      </c>
      <c r="O47" s="168">
        <f t="shared" si="1"/>
        <v>47.375881498281302</v>
      </c>
      <c r="P47" s="168">
        <f t="shared" si="2"/>
        <v>42.596296719625101</v>
      </c>
      <c r="Q47" s="168">
        <f t="shared" si="3"/>
        <v>44.72989005773946</v>
      </c>
      <c r="R47" s="173">
        <v>13369</v>
      </c>
      <c r="S47" s="173">
        <v>14907</v>
      </c>
      <c r="T47" s="173">
        <v>28276</v>
      </c>
      <c r="U47" s="173">
        <v>9</v>
      </c>
      <c r="V47" s="173">
        <v>8</v>
      </c>
      <c r="W47" s="173">
        <v>17</v>
      </c>
      <c r="X47" s="173">
        <v>469</v>
      </c>
      <c r="Y47" s="173">
        <v>411</v>
      </c>
      <c r="Z47" s="173">
        <v>880</v>
      </c>
      <c r="AA47" s="178">
        <v>6.7319919216096938E-2</v>
      </c>
      <c r="AB47" s="178">
        <v>5.3666062923458782E-2</v>
      </c>
      <c r="AC47" s="178">
        <v>6.0121657943131984E-2</v>
      </c>
      <c r="AD47" s="178">
        <v>3.5081157902610518</v>
      </c>
      <c r="AE47" s="178">
        <v>2.757093982692695</v>
      </c>
      <c r="AF47" s="178">
        <v>3.1121799405856558</v>
      </c>
    </row>
    <row r="48" spans="1:32" ht="28.5">
      <c r="A48" s="167">
        <v>4</v>
      </c>
      <c r="B48" s="45" t="s">
        <v>252</v>
      </c>
      <c r="C48" s="168">
        <v>44594</v>
      </c>
      <c r="D48" s="168">
        <v>31126</v>
      </c>
      <c r="E48" s="169">
        <v>75720</v>
      </c>
      <c r="F48" s="168">
        <v>21962</v>
      </c>
      <c r="G48" s="168">
        <v>15261</v>
      </c>
      <c r="H48" s="169">
        <v>37223</v>
      </c>
      <c r="I48" s="168"/>
      <c r="J48" s="168"/>
      <c r="K48" s="169"/>
      <c r="L48" s="168">
        <v>21962</v>
      </c>
      <c r="M48" s="168">
        <v>15261</v>
      </c>
      <c r="N48" s="169">
        <v>37223</v>
      </c>
      <c r="O48" s="168">
        <f t="shared" si="1"/>
        <v>49.248777862492709</v>
      </c>
      <c r="P48" s="168">
        <f t="shared" si="2"/>
        <v>49.029750048191225</v>
      </c>
      <c r="Q48" s="168">
        <f t="shared" si="3"/>
        <v>49.158742736397251</v>
      </c>
      <c r="R48" s="173">
        <v>21962</v>
      </c>
      <c r="S48" s="173">
        <v>15261</v>
      </c>
      <c r="T48" s="173">
        <v>37223</v>
      </c>
      <c r="U48" s="174"/>
      <c r="V48" s="174"/>
      <c r="W48" s="174">
        <v>0</v>
      </c>
      <c r="X48" s="173">
        <v>2206</v>
      </c>
      <c r="Y48" s="173">
        <v>1861</v>
      </c>
      <c r="Z48" s="173">
        <v>4067</v>
      </c>
      <c r="AA48" s="175">
        <v>0</v>
      </c>
      <c r="AB48" s="175">
        <v>0</v>
      </c>
      <c r="AC48" s="175">
        <v>0</v>
      </c>
      <c r="AD48" s="178">
        <v>10.044622529824242</v>
      </c>
      <c r="AE48" s="178">
        <v>12.194482668239301</v>
      </c>
      <c r="AF48" s="178">
        <v>10.926040351395642</v>
      </c>
    </row>
    <row r="49" spans="1:32" ht="28.5">
      <c r="A49" s="167">
        <v>5</v>
      </c>
      <c r="B49" s="43" t="s">
        <v>253</v>
      </c>
      <c r="C49" s="168">
        <v>30545</v>
      </c>
      <c r="D49" s="168">
        <v>28715</v>
      </c>
      <c r="E49" s="169">
        <v>59260</v>
      </c>
      <c r="F49" s="168">
        <v>9744</v>
      </c>
      <c r="G49" s="168">
        <v>10609</v>
      </c>
      <c r="H49" s="169">
        <v>20353</v>
      </c>
      <c r="I49" s="168"/>
      <c r="J49" s="168"/>
      <c r="K49" s="169"/>
      <c r="L49" s="168">
        <v>9744</v>
      </c>
      <c r="M49" s="168">
        <v>10609</v>
      </c>
      <c r="N49" s="169">
        <v>20353</v>
      </c>
      <c r="O49" s="168">
        <f t="shared" si="1"/>
        <v>31.900474709445081</v>
      </c>
      <c r="P49" s="168">
        <f t="shared" si="2"/>
        <v>36.945847118230894</v>
      </c>
      <c r="Q49" s="168">
        <f t="shared" si="3"/>
        <v>34.345258184272694</v>
      </c>
      <c r="R49" s="173">
        <v>9744</v>
      </c>
      <c r="S49" s="173">
        <v>10609</v>
      </c>
      <c r="T49" s="173">
        <v>20353</v>
      </c>
      <c r="U49" s="174"/>
      <c r="V49" s="174"/>
      <c r="W49" s="174">
        <v>0</v>
      </c>
      <c r="X49" s="174"/>
      <c r="Y49" s="174"/>
      <c r="Z49" s="174">
        <v>0</v>
      </c>
      <c r="AA49" s="175">
        <v>0</v>
      </c>
      <c r="AB49" s="175">
        <v>0</v>
      </c>
      <c r="AC49" s="175">
        <v>0</v>
      </c>
      <c r="AD49" s="175">
        <v>0</v>
      </c>
      <c r="AE49" s="175">
        <v>0</v>
      </c>
      <c r="AF49" s="175">
        <v>0</v>
      </c>
    </row>
    <row r="50" spans="1:32" ht="28.5">
      <c r="A50" s="268">
        <v>6</v>
      </c>
      <c r="B50" s="44" t="s">
        <v>296</v>
      </c>
      <c r="C50" s="209">
        <v>30439</v>
      </c>
      <c r="D50" s="209">
        <v>40073</v>
      </c>
      <c r="E50" s="169">
        <v>70512</v>
      </c>
      <c r="F50" s="209">
        <v>8952</v>
      </c>
      <c r="G50" s="209">
        <v>13585</v>
      </c>
      <c r="H50" s="210">
        <v>22537</v>
      </c>
      <c r="I50" s="209"/>
      <c r="J50" s="209"/>
      <c r="K50" s="210"/>
      <c r="L50" s="209">
        <v>8952</v>
      </c>
      <c r="M50" s="209">
        <v>13585</v>
      </c>
      <c r="N50" s="210">
        <v>22537</v>
      </c>
      <c r="O50" s="168">
        <f t="shared" si="1"/>
        <v>29.409638950031212</v>
      </c>
      <c r="P50" s="168">
        <f t="shared" si="2"/>
        <v>33.900631347790281</v>
      </c>
      <c r="Q50" s="168">
        <f t="shared" si="3"/>
        <v>31.961935557068301</v>
      </c>
      <c r="R50" s="194">
        <v>8952</v>
      </c>
      <c r="S50" s="194">
        <v>13585</v>
      </c>
      <c r="T50" s="194">
        <v>22537</v>
      </c>
      <c r="U50" s="338"/>
      <c r="V50" s="338"/>
      <c r="W50" s="338">
        <v>0</v>
      </c>
      <c r="X50" s="339">
        <v>809</v>
      </c>
      <c r="Y50" s="339">
        <v>1289</v>
      </c>
      <c r="Z50" s="339">
        <v>2098</v>
      </c>
      <c r="AA50" s="340">
        <v>0</v>
      </c>
      <c r="AB50" s="340">
        <v>0</v>
      </c>
      <c r="AC50" s="340">
        <v>0</v>
      </c>
      <c r="AD50" s="341">
        <v>9.0370866845397675</v>
      </c>
      <c r="AE50" s="341">
        <v>9.4884063305115944</v>
      </c>
      <c r="AF50" s="341">
        <v>9.3091360873230684</v>
      </c>
    </row>
    <row r="51" spans="1:32">
      <c r="A51" s="642" t="s">
        <v>3</v>
      </c>
      <c r="B51" s="642"/>
      <c r="C51" s="218">
        <f>SUM(C8:C50)</f>
        <v>10118563</v>
      </c>
      <c r="D51" s="218">
        <f t="shared" ref="D51:N51" si="4">SUM(D8:D50)</f>
        <v>8037937</v>
      </c>
      <c r="E51" s="218">
        <f t="shared" si="4"/>
        <v>18161271</v>
      </c>
      <c r="F51" s="218">
        <f t="shared" si="4"/>
        <v>7026164</v>
      </c>
      <c r="G51" s="218">
        <f t="shared" si="4"/>
        <v>5880692</v>
      </c>
      <c r="H51" s="218">
        <f t="shared" si="4"/>
        <v>12909068</v>
      </c>
      <c r="I51" s="218">
        <f t="shared" si="4"/>
        <v>345082</v>
      </c>
      <c r="J51" s="218">
        <f t="shared" si="4"/>
        <v>250456</v>
      </c>
      <c r="K51" s="218">
        <f t="shared" si="4"/>
        <v>595538</v>
      </c>
      <c r="L51" s="218">
        <f t="shared" si="4"/>
        <v>7371246</v>
      </c>
      <c r="M51" s="218">
        <f t="shared" si="4"/>
        <v>6131148</v>
      </c>
      <c r="N51" s="218">
        <f t="shared" si="4"/>
        <v>13504606</v>
      </c>
      <c r="O51" s="219">
        <f t="shared" si="1"/>
        <v>72.848743443115382</v>
      </c>
      <c r="P51" s="219">
        <f t="shared" si="1"/>
        <v>76.277631934661841</v>
      </c>
      <c r="Q51" s="219">
        <f t="shared" si="1"/>
        <v>74.359366147886902</v>
      </c>
      <c r="R51" s="218">
        <f t="shared" ref="R51:Z51" si="5">SUM(R8:R50)</f>
        <v>7371246</v>
      </c>
      <c r="S51" s="218">
        <f t="shared" si="5"/>
        <v>6131148</v>
      </c>
      <c r="T51" s="218">
        <f t="shared" si="5"/>
        <v>13504606</v>
      </c>
      <c r="U51" s="218">
        <f t="shared" si="5"/>
        <v>512898</v>
      </c>
      <c r="V51" s="218">
        <f t="shared" si="5"/>
        <v>503748</v>
      </c>
      <c r="W51" s="218">
        <f t="shared" si="5"/>
        <v>1016646</v>
      </c>
      <c r="X51" s="218">
        <f t="shared" si="5"/>
        <v>1173462</v>
      </c>
      <c r="Y51" s="218">
        <f t="shared" si="5"/>
        <v>1024658</v>
      </c>
      <c r="Z51" s="218">
        <f t="shared" si="5"/>
        <v>2198134</v>
      </c>
      <c r="AA51" s="220">
        <f>+U51/R51%</f>
        <v>6.9580909387639478</v>
      </c>
      <c r="AB51" s="220">
        <f t="shared" ref="AB51:AC51" si="6">+V51/S51%</f>
        <v>8.2162100800698337</v>
      </c>
      <c r="AC51" s="220">
        <f t="shared" si="6"/>
        <v>7.5281426203770776</v>
      </c>
      <c r="AD51" s="220">
        <f>+X51/R51%</f>
        <v>15.919452423647236</v>
      </c>
      <c r="AE51" s="220">
        <f t="shared" ref="AE51:AF51" si="7">+Y51/S51%</f>
        <v>16.712335112445498</v>
      </c>
      <c r="AF51" s="220">
        <f t="shared" si="7"/>
        <v>16.276920629894718</v>
      </c>
    </row>
    <row r="52" spans="1:32">
      <c r="C52" s="667" t="s">
        <v>278</v>
      </c>
      <c r="D52" s="667"/>
      <c r="E52" s="667"/>
      <c r="F52" s="667"/>
      <c r="G52" s="667"/>
      <c r="H52" s="667"/>
      <c r="I52" s="667"/>
      <c r="J52" s="667"/>
      <c r="K52" s="667"/>
      <c r="L52" s="667"/>
      <c r="M52" s="667"/>
      <c r="N52" s="667"/>
      <c r="O52" s="667"/>
      <c r="P52" s="667"/>
      <c r="Q52" s="667"/>
      <c r="R52" s="667" t="s">
        <v>278</v>
      </c>
      <c r="S52" s="667"/>
      <c r="T52" s="667"/>
      <c r="U52" s="667"/>
      <c r="V52" s="667"/>
      <c r="W52" s="667"/>
      <c r="X52" s="667"/>
      <c r="Y52" s="667"/>
      <c r="Z52" s="667"/>
      <c r="AA52" s="667"/>
      <c r="AB52" s="667"/>
      <c r="AC52" s="667"/>
      <c r="AD52" s="667"/>
      <c r="AE52" s="667"/>
      <c r="AF52" s="667"/>
    </row>
    <row r="53" spans="1:32">
      <c r="C53" s="343" t="s">
        <v>228</v>
      </c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 t="s">
        <v>228</v>
      </c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</row>
    <row r="54" spans="1:32">
      <c r="C54" s="658" t="s">
        <v>307</v>
      </c>
      <c r="D54" s="658"/>
      <c r="E54" s="658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 t="s">
        <v>307</v>
      </c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8"/>
      <c r="AF54" s="658"/>
    </row>
    <row r="55" spans="1:32">
      <c r="C55" s="346" t="s">
        <v>313</v>
      </c>
      <c r="R55" s="346" t="s">
        <v>313</v>
      </c>
    </row>
    <row r="56" spans="1:32">
      <c r="C56" s="369" t="s">
        <v>333</v>
      </c>
      <c r="D56" s="369"/>
      <c r="E56" s="369"/>
      <c r="F56" s="370" t="s">
        <v>334</v>
      </c>
      <c r="G56" s="369"/>
      <c r="H56" s="369"/>
      <c r="I56" s="369"/>
      <c r="R56" s="369" t="s">
        <v>333</v>
      </c>
      <c r="S56" s="369"/>
      <c r="T56" s="369"/>
      <c r="U56" s="370" t="s">
        <v>334</v>
      </c>
      <c r="V56" s="369"/>
      <c r="W56" s="369"/>
      <c r="X56" s="369"/>
    </row>
  </sheetData>
  <mergeCells count="44">
    <mergeCell ref="O44:P44"/>
    <mergeCell ref="Q44:R44"/>
    <mergeCell ref="S44:T44"/>
    <mergeCell ref="U44:V44"/>
    <mergeCell ref="W44:X44"/>
    <mergeCell ref="K44:L44"/>
    <mergeCell ref="A44:B44"/>
    <mergeCell ref="C52:Q52"/>
    <mergeCell ref="C54:Q54"/>
    <mergeCell ref="R52:AF52"/>
    <mergeCell ref="R54:AF54"/>
    <mergeCell ref="A51:B51"/>
    <mergeCell ref="C44:D44"/>
    <mergeCell ref="E44:F44"/>
    <mergeCell ref="G44:H44"/>
    <mergeCell ref="I44:J44"/>
    <mergeCell ref="Y44:Z44"/>
    <mergeCell ref="AA44:AB44"/>
    <mergeCell ref="AC44:AD44"/>
    <mergeCell ref="AE44:AF44"/>
    <mergeCell ref="M44:N44"/>
    <mergeCell ref="A11:B11"/>
    <mergeCell ref="C11:Q11"/>
    <mergeCell ref="R8:AF8"/>
    <mergeCell ref="A8:B8"/>
    <mergeCell ref="C8:Q8"/>
    <mergeCell ref="R3:T5"/>
    <mergeCell ref="U3:Z4"/>
    <mergeCell ref="AA3:AF4"/>
    <mergeCell ref="AD5:AF5"/>
    <mergeCell ref="O3:Q5"/>
    <mergeCell ref="U5:W5"/>
    <mergeCell ref="X5:Z5"/>
    <mergeCell ref="AA5:AC5"/>
    <mergeCell ref="A3:A6"/>
    <mergeCell ref="B3:B6"/>
    <mergeCell ref="C3:N3"/>
    <mergeCell ref="C2:Q2"/>
    <mergeCell ref="C1:Q1"/>
    <mergeCell ref="C4:E5"/>
    <mergeCell ref="F4:N4"/>
    <mergeCell ref="F5:H5"/>
    <mergeCell ref="I5:K5"/>
    <mergeCell ref="L5:N5"/>
  </mergeCells>
  <hyperlinks>
    <hyperlink ref="F56" r:id="rId1"/>
    <hyperlink ref="U56" r:id="rId2"/>
  </hyperlinks>
  <pageMargins left="0.70866141732283472" right="0.70866141732283472" top="0.74803149606299213" bottom="0.74803149606299213" header="0.31496062992125984" footer="0.31496062992125984"/>
  <pageSetup paperSize="9" scale="67" firstPageNumber="85" orientation="landscape" useFirstPageNumber="1" r:id="rId3"/>
  <headerFooter>
    <oddFooter>Page &amp;P</oddFooter>
  </headerFooter>
  <rowBreaks count="1" manualBreakCount="1">
    <brk id="34" max="16383" man="1"/>
  </rowBreaks>
  <colBreaks count="1" manualBreakCount="1">
    <brk id="1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SheetLayoutView="100" workbookViewId="0">
      <selection activeCell="O42" sqref="O42"/>
    </sheetView>
  </sheetViews>
  <sheetFormatPr defaultRowHeight="15"/>
  <cols>
    <col min="1" max="1" width="9.42578125" bestFit="1" customWidth="1"/>
    <col min="2" max="2" width="39.85546875" style="431" customWidth="1"/>
    <col min="3" max="3" width="10.140625" customWidth="1"/>
    <col min="4" max="4" width="10.28515625" customWidth="1"/>
    <col min="5" max="5" width="8.7109375" customWidth="1"/>
    <col min="6" max="6" width="10.85546875" customWidth="1"/>
    <col min="7" max="7" width="10" customWidth="1"/>
    <col min="8" max="8" width="7.42578125" customWidth="1"/>
    <col min="9" max="9" width="7.42578125" style="434" customWidth="1"/>
  </cols>
  <sheetData>
    <row r="2" spans="1:9" ht="100.5" customHeight="1">
      <c r="A2" s="435" t="s">
        <v>398</v>
      </c>
      <c r="B2" s="436" t="s">
        <v>399</v>
      </c>
      <c r="C2" s="437" t="s">
        <v>390</v>
      </c>
      <c r="D2" s="437" t="s">
        <v>391</v>
      </c>
      <c r="E2" s="437" t="s">
        <v>392</v>
      </c>
      <c r="F2" s="437" t="s">
        <v>393</v>
      </c>
      <c r="G2" s="437" t="s">
        <v>394</v>
      </c>
      <c r="H2" s="437" t="s">
        <v>395</v>
      </c>
      <c r="I2" s="438" t="s">
        <v>396</v>
      </c>
    </row>
    <row r="3" spans="1:9" s="433" customFormat="1" ht="15.75">
      <c r="A3" s="439"/>
      <c r="B3" s="440">
        <v>1</v>
      </c>
      <c r="C3" s="437">
        <v>2</v>
      </c>
      <c r="D3" s="437">
        <v>3</v>
      </c>
      <c r="E3" s="437">
        <v>4</v>
      </c>
      <c r="F3" s="437">
        <v>6</v>
      </c>
      <c r="G3" s="437">
        <v>6</v>
      </c>
      <c r="H3" s="437">
        <v>7</v>
      </c>
      <c r="I3" s="438" t="s">
        <v>397</v>
      </c>
    </row>
    <row r="4" spans="1:9" ht="31.5">
      <c r="A4" s="441">
        <v>1</v>
      </c>
      <c r="B4" s="442" t="s">
        <v>143</v>
      </c>
      <c r="C4" s="443">
        <v>845699</v>
      </c>
      <c r="D4" s="443">
        <v>516080</v>
      </c>
      <c r="E4" s="444">
        <v>61.024075941913139</v>
      </c>
      <c r="F4" s="443">
        <v>603382</v>
      </c>
      <c r="G4" s="443">
        <v>418369</v>
      </c>
      <c r="H4" s="444">
        <v>69.337335220473932</v>
      </c>
      <c r="I4" s="451">
        <f>ABS(E4-H4)</f>
        <v>8.3132592785607926</v>
      </c>
    </row>
    <row r="5" spans="1:9" ht="31.5">
      <c r="A5" s="441">
        <v>2</v>
      </c>
      <c r="B5" s="442" t="s">
        <v>215</v>
      </c>
      <c r="C5" s="443">
        <v>98523</v>
      </c>
      <c r="D5" s="443">
        <v>87474</v>
      </c>
      <c r="E5" s="444">
        <v>88.785359763709991</v>
      </c>
      <c r="F5" s="443">
        <v>82156</v>
      </c>
      <c r="G5" s="443">
        <v>76294</v>
      </c>
      <c r="H5" s="444">
        <v>92.864793806903933</v>
      </c>
      <c r="I5" s="451">
        <f t="shared" ref="I5:I46" si="0">ABS(E5-H5)</f>
        <v>4.0794340431939418</v>
      </c>
    </row>
    <row r="6" spans="1:9" ht="31.5">
      <c r="A6" s="441">
        <v>3</v>
      </c>
      <c r="B6" s="445" t="s">
        <v>133</v>
      </c>
      <c r="C6" s="443">
        <v>302846</v>
      </c>
      <c r="D6" s="443">
        <v>287987</v>
      </c>
      <c r="E6" s="444">
        <v>95.093545894613101</v>
      </c>
      <c r="F6" s="443">
        <v>287528</v>
      </c>
      <c r="G6" s="443">
        <v>275551</v>
      </c>
      <c r="H6" s="444">
        <v>95.834492640716732</v>
      </c>
      <c r="I6" s="451">
        <f t="shared" si="0"/>
        <v>0.74094674610363143</v>
      </c>
    </row>
    <row r="7" spans="1:9" ht="31.5">
      <c r="A7" s="441">
        <v>4</v>
      </c>
      <c r="B7" s="442" t="s">
        <v>388</v>
      </c>
      <c r="C7" s="443">
        <v>242056</v>
      </c>
      <c r="D7" s="443" t="s">
        <v>400</v>
      </c>
      <c r="E7" s="444" t="s">
        <v>400</v>
      </c>
      <c r="F7" s="443">
        <v>237747</v>
      </c>
      <c r="G7" s="443" t="s">
        <v>400</v>
      </c>
      <c r="H7" s="444" t="s">
        <v>400</v>
      </c>
      <c r="I7" s="451" t="s">
        <v>400</v>
      </c>
    </row>
    <row r="8" spans="1:9" ht="15.75">
      <c r="A8" s="441">
        <v>5</v>
      </c>
      <c r="B8" s="442" t="s">
        <v>134</v>
      </c>
      <c r="C8" s="443">
        <v>108910</v>
      </c>
      <c r="D8" s="443">
        <v>32442</v>
      </c>
      <c r="E8" s="444">
        <v>29.787898264622164</v>
      </c>
      <c r="F8" s="443">
        <v>106466</v>
      </c>
      <c r="G8" s="443">
        <v>29812</v>
      </c>
      <c r="H8" s="444">
        <v>28.001427685833974</v>
      </c>
      <c r="I8" s="451">
        <f t="shared" si="0"/>
        <v>1.7864705787881903</v>
      </c>
    </row>
    <row r="9" spans="1:9" ht="15.75">
      <c r="A9" s="441">
        <v>6</v>
      </c>
      <c r="B9" s="442" t="s">
        <v>136</v>
      </c>
      <c r="C9" s="443">
        <v>20</v>
      </c>
      <c r="D9" s="443">
        <v>9</v>
      </c>
      <c r="E9" s="444">
        <v>45</v>
      </c>
      <c r="F9" s="443">
        <v>290</v>
      </c>
      <c r="G9" s="443">
        <v>246</v>
      </c>
      <c r="H9" s="444">
        <v>84.827586206896555</v>
      </c>
      <c r="I9" s="451">
        <f t="shared" si="0"/>
        <v>39.827586206896555</v>
      </c>
    </row>
    <row r="10" spans="1:9" ht="31.5">
      <c r="A10" s="441">
        <v>7</v>
      </c>
      <c r="B10" s="442" t="s">
        <v>376</v>
      </c>
      <c r="C10" s="443">
        <v>689177</v>
      </c>
      <c r="D10" s="443">
        <v>138986</v>
      </c>
      <c r="E10" s="444">
        <v>20.166952756693853</v>
      </c>
      <c r="F10" s="443">
        <v>584752</v>
      </c>
      <c r="G10" s="443">
        <v>87331</v>
      </c>
      <c r="H10" s="444">
        <v>14.93470736312146</v>
      </c>
      <c r="I10" s="451">
        <f t="shared" si="0"/>
        <v>5.2322453935723932</v>
      </c>
    </row>
    <row r="11" spans="1:9" ht="31.5">
      <c r="A11" s="441">
        <v>8</v>
      </c>
      <c r="B11" s="446" t="s">
        <v>139</v>
      </c>
      <c r="C11" s="443">
        <v>16717</v>
      </c>
      <c r="D11" s="443">
        <v>467</v>
      </c>
      <c r="E11" s="444">
        <v>2.7935634384159838</v>
      </c>
      <c r="F11" s="443">
        <v>31750</v>
      </c>
      <c r="G11" s="443">
        <v>726</v>
      </c>
      <c r="H11" s="444">
        <v>2.2866141732283465</v>
      </c>
      <c r="I11" s="451">
        <f t="shared" si="0"/>
        <v>0.50694926518763728</v>
      </c>
    </row>
    <row r="12" spans="1:9" ht="15.75">
      <c r="A12" s="441">
        <v>9</v>
      </c>
      <c r="B12" s="446" t="s">
        <v>384</v>
      </c>
      <c r="C12" s="443">
        <v>4507</v>
      </c>
      <c r="D12" s="443">
        <v>140</v>
      </c>
      <c r="E12" s="444">
        <v>3.1062791213667627</v>
      </c>
      <c r="F12" s="443">
        <v>4746</v>
      </c>
      <c r="G12" s="443">
        <v>104</v>
      </c>
      <c r="H12" s="444">
        <v>2.1913190054782974</v>
      </c>
      <c r="I12" s="451">
        <f t="shared" si="0"/>
        <v>0.91496011588846526</v>
      </c>
    </row>
    <row r="13" spans="1:9" ht="31.5">
      <c r="A13" s="441">
        <v>10</v>
      </c>
      <c r="B13" s="442" t="s">
        <v>145</v>
      </c>
      <c r="C13" s="443">
        <v>123930</v>
      </c>
      <c r="D13" s="443">
        <v>42439</v>
      </c>
      <c r="E13" s="444">
        <v>34.244331477446948</v>
      </c>
      <c r="F13" s="443">
        <v>150020</v>
      </c>
      <c r="G13" s="443">
        <v>54514</v>
      </c>
      <c r="H13" s="444">
        <v>36.337821623783498</v>
      </c>
      <c r="I13" s="451">
        <f t="shared" si="0"/>
        <v>2.0934901463365492</v>
      </c>
    </row>
    <row r="14" spans="1:9" ht="15.75">
      <c r="A14" s="441">
        <v>11</v>
      </c>
      <c r="B14" s="446" t="s">
        <v>377</v>
      </c>
      <c r="C14" s="443">
        <v>37</v>
      </c>
      <c r="D14" s="443" t="s">
        <v>400</v>
      </c>
      <c r="E14" s="444" t="s">
        <v>400</v>
      </c>
      <c r="F14" s="443">
        <v>39</v>
      </c>
      <c r="G14" s="443" t="s">
        <v>400</v>
      </c>
      <c r="H14" s="444" t="s">
        <v>400</v>
      </c>
      <c r="I14" s="451" t="s">
        <v>400</v>
      </c>
    </row>
    <row r="15" spans="1:9" ht="31.5">
      <c r="A15" s="441">
        <v>12</v>
      </c>
      <c r="B15" s="442" t="s">
        <v>378</v>
      </c>
      <c r="C15" s="443">
        <v>497</v>
      </c>
      <c r="D15" s="443">
        <v>88</v>
      </c>
      <c r="E15" s="444">
        <v>17.706237424547282</v>
      </c>
      <c r="F15" s="443">
        <v>286</v>
      </c>
      <c r="G15" s="443">
        <v>69</v>
      </c>
      <c r="H15" s="444">
        <v>24.125874125874127</v>
      </c>
      <c r="I15" s="451">
        <f t="shared" si="0"/>
        <v>6.4196367013268443</v>
      </c>
    </row>
    <row r="16" spans="1:9" ht="31.5">
      <c r="A16" s="441">
        <v>13</v>
      </c>
      <c r="B16" s="445" t="s">
        <v>148</v>
      </c>
      <c r="C16" s="443">
        <v>9388</v>
      </c>
      <c r="D16" s="443">
        <v>4313</v>
      </c>
      <c r="E16" s="444">
        <v>45.94162760971453</v>
      </c>
      <c r="F16" s="443">
        <v>9453</v>
      </c>
      <c r="G16" s="443">
        <v>5727</v>
      </c>
      <c r="H16" s="444">
        <v>60.583941605839414</v>
      </c>
      <c r="I16" s="451">
        <f t="shared" si="0"/>
        <v>14.642313996124884</v>
      </c>
    </row>
    <row r="17" spans="1:9" ht="31.5">
      <c r="A17" s="441">
        <v>14</v>
      </c>
      <c r="B17" s="442" t="s">
        <v>149</v>
      </c>
      <c r="C17" s="443">
        <v>293889</v>
      </c>
      <c r="D17" s="443">
        <v>132842</v>
      </c>
      <c r="E17" s="444">
        <v>45.201419583584276</v>
      </c>
      <c r="F17" s="443">
        <v>243197</v>
      </c>
      <c r="G17" s="443">
        <v>121924</v>
      </c>
      <c r="H17" s="444">
        <v>50.133842111539202</v>
      </c>
      <c r="I17" s="451">
        <f t="shared" si="0"/>
        <v>4.9324225279549267</v>
      </c>
    </row>
    <row r="18" spans="1:9" ht="15.75">
      <c r="A18" s="441">
        <v>15</v>
      </c>
      <c r="B18" s="442" t="s">
        <v>140</v>
      </c>
      <c r="C18" s="443">
        <v>98241</v>
      </c>
      <c r="D18" s="443">
        <v>66998</v>
      </c>
      <c r="E18" s="444">
        <v>68.197595708512736</v>
      </c>
      <c r="F18" s="443">
        <v>95812</v>
      </c>
      <c r="G18" s="443">
        <v>71857</v>
      </c>
      <c r="H18" s="444">
        <v>74.997912578800154</v>
      </c>
      <c r="I18" s="451">
        <f t="shared" si="0"/>
        <v>6.8003168702874177</v>
      </c>
    </row>
    <row r="19" spans="1:9" ht="15.75">
      <c r="A19" s="441">
        <v>16</v>
      </c>
      <c r="B19" s="442" t="s">
        <v>150</v>
      </c>
      <c r="C19" s="443">
        <v>39357</v>
      </c>
      <c r="D19" s="443">
        <v>26303</v>
      </c>
      <c r="E19" s="444">
        <v>66.831821531112638</v>
      </c>
      <c r="F19" s="443">
        <v>39190</v>
      </c>
      <c r="G19" s="443">
        <v>30765</v>
      </c>
      <c r="H19" s="444">
        <v>78.502168920643015</v>
      </c>
      <c r="I19" s="451">
        <f t="shared" si="0"/>
        <v>11.670347389530377</v>
      </c>
    </row>
    <row r="20" spans="1:9" ht="15.75">
      <c r="A20" s="441">
        <v>17</v>
      </c>
      <c r="B20" s="442" t="s">
        <v>151</v>
      </c>
      <c r="C20" s="443">
        <v>89084</v>
      </c>
      <c r="D20" s="443">
        <v>22845</v>
      </c>
      <c r="E20" s="444">
        <v>25.644335683175431</v>
      </c>
      <c r="F20" s="443">
        <v>74993</v>
      </c>
      <c r="G20" s="443">
        <v>22238</v>
      </c>
      <c r="H20" s="444">
        <v>29.653434320536583</v>
      </c>
      <c r="I20" s="451">
        <f t="shared" si="0"/>
        <v>4.0090986373611521</v>
      </c>
    </row>
    <row r="21" spans="1:9" ht="15.75">
      <c r="A21" s="441">
        <v>18</v>
      </c>
      <c r="B21" s="442" t="s">
        <v>152</v>
      </c>
      <c r="C21" s="443">
        <v>135171</v>
      </c>
      <c r="D21" s="443">
        <v>17661</v>
      </c>
      <c r="E21" s="444">
        <v>13.065672370552855</v>
      </c>
      <c r="F21" s="443">
        <v>136065</v>
      </c>
      <c r="G21" s="443">
        <v>15537</v>
      </c>
      <c r="H21" s="444">
        <v>11.418807187741153</v>
      </c>
      <c r="I21" s="451">
        <f t="shared" si="0"/>
        <v>1.6468651828117018</v>
      </c>
    </row>
    <row r="22" spans="1:9" ht="31.5">
      <c r="A22" s="441">
        <v>19</v>
      </c>
      <c r="B22" s="442" t="s">
        <v>153</v>
      </c>
      <c r="C22" s="443">
        <v>324222</v>
      </c>
      <c r="D22" s="443">
        <v>212730</v>
      </c>
      <c r="E22" s="444">
        <v>65.612450728204749</v>
      </c>
      <c r="F22" s="443">
        <v>329846</v>
      </c>
      <c r="G22" s="443">
        <v>254464</v>
      </c>
      <c r="H22" s="444">
        <v>77.146304639134627</v>
      </c>
      <c r="I22" s="451">
        <f t="shared" si="0"/>
        <v>11.533853910929878</v>
      </c>
    </row>
    <row r="23" spans="1:9" ht="31.5">
      <c r="A23" s="441">
        <v>20</v>
      </c>
      <c r="B23" s="442" t="s">
        <v>154</v>
      </c>
      <c r="C23" s="443" t="s">
        <v>400</v>
      </c>
      <c r="D23" s="443" t="s">
        <v>400</v>
      </c>
      <c r="E23" s="443" t="s">
        <v>400</v>
      </c>
      <c r="F23" s="443" t="s">
        <v>400</v>
      </c>
      <c r="G23" s="443" t="s">
        <v>400</v>
      </c>
      <c r="H23" s="443" t="s">
        <v>400</v>
      </c>
      <c r="I23" s="443" t="s">
        <v>400</v>
      </c>
    </row>
    <row r="24" spans="1:9" ht="47.25">
      <c r="A24" s="441">
        <v>21</v>
      </c>
      <c r="B24" s="442" t="s">
        <v>380</v>
      </c>
      <c r="C24" s="443">
        <v>826391</v>
      </c>
      <c r="D24" s="443">
        <v>466008</v>
      </c>
      <c r="E24" s="444">
        <v>56.390739976597033</v>
      </c>
      <c r="F24" s="443">
        <v>707764</v>
      </c>
      <c r="G24" s="443">
        <v>480854</v>
      </c>
      <c r="H24" s="444">
        <v>67.939878264506248</v>
      </c>
      <c r="I24" s="451">
        <f t="shared" si="0"/>
        <v>11.549138287909216</v>
      </c>
    </row>
    <row r="25" spans="1:9" ht="31.5">
      <c r="A25" s="441">
        <v>22</v>
      </c>
      <c r="B25" s="446" t="s">
        <v>381</v>
      </c>
      <c r="C25" s="443">
        <v>359742</v>
      </c>
      <c r="D25" s="443">
        <v>143626</v>
      </c>
      <c r="E25" s="444">
        <v>39.924723829855843</v>
      </c>
      <c r="F25" s="443">
        <v>328478</v>
      </c>
      <c r="G25" s="443">
        <v>143814</v>
      </c>
      <c r="H25" s="444">
        <v>43.781927556792233</v>
      </c>
      <c r="I25" s="451">
        <f t="shared" si="0"/>
        <v>3.8572037269363904</v>
      </c>
    </row>
    <row r="26" spans="1:9" ht="31.5">
      <c r="A26" s="441">
        <v>23</v>
      </c>
      <c r="B26" s="442" t="s">
        <v>141</v>
      </c>
      <c r="C26" s="443">
        <v>15732</v>
      </c>
      <c r="D26" s="443">
        <v>5852</v>
      </c>
      <c r="E26" s="444">
        <v>37.19806763285024</v>
      </c>
      <c r="F26" s="443">
        <v>15091</v>
      </c>
      <c r="G26" s="443">
        <v>5701</v>
      </c>
      <c r="H26" s="444">
        <v>37.777483268173086</v>
      </c>
      <c r="I26" s="451">
        <f t="shared" si="0"/>
        <v>0.5794156353228459</v>
      </c>
    </row>
    <row r="27" spans="1:9" ht="15.75">
      <c r="A27" s="441">
        <v>24</v>
      </c>
      <c r="B27" s="442" t="s">
        <v>158</v>
      </c>
      <c r="C27" s="443">
        <v>12633</v>
      </c>
      <c r="D27" s="443">
        <v>2803</v>
      </c>
      <c r="E27" s="444">
        <v>22.187920525607534</v>
      </c>
      <c r="F27" s="443">
        <v>15811</v>
      </c>
      <c r="G27" s="443">
        <v>3634</v>
      </c>
      <c r="H27" s="444">
        <v>22.983998482069445</v>
      </c>
      <c r="I27" s="451">
        <f t="shared" si="0"/>
        <v>0.79607795646191093</v>
      </c>
    </row>
    <row r="28" spans="1:9" ht="15.75">
      <c r="A28" s="441">
        <v>25</v>
      </c>
      <c r="B28" s="442" t="s">
        <v>159</v>
      </c>
      <c r="C28" s="443">
        <v>6618</v>
      </c>
      <c r="D28" s="443">
        <v>2225</v>
      </c>
      <c r="E28" s="444">
        <v>33.620429132668477</v>
      </c>
      <c r="F28" s="443">
        <v>7223</v>
      </c>
      <c r="G28" s="443">
        <v>2580</v>
      </c>
      <c r="H28" s="444">
        <v>35.719230236743734</v>
      </c>
      <c r="I28" s="451">
        <f t="shared" si="0"/>
        <v>2.0988011040752568</v>
      </c>
    </row>
    <row r="29" spans="1:9" ht="15.75">
      <c r="A29" s="441">
        <v>26</v>
      </c>
      <c r="B29" s="442" t="s">
        <v>160</v>
      </c>
      <c r="C29" s="443">
        <v>6887</v>
      </c>
      <c r="D29" s="443">
        <v>2801</v>
      </c>
      <c r="E29" s="444">
        <v>40.670829098301148</v>
      </c>
      <c r="F29" s="443">
        <v>7448</v>
      </c>
      <c r="G29" s="443">
        <v>3573</v>
      </c>
      <c r="H29" s="444">
        <v>47.972610096670245</v>
      </c>
      <c r="I29" s="451">
        <f t="shared" si="0"/>
        <v>7.3017809983690967</v>
      </c>
    </row>
    <row r="30" spans="1:9" ht="31.5">
      <c r="A30" s="441">
        <v>27</v>
      </c>
      <c r="B30" s="442" t="s">
        <v>142</v>
      </c>
      <c r="C30" s="443">
        <v>214906</v>
      </c>
      <c r="D30" s="443">
        <v>59993</v>
      </c>
      <c r="E30" s="444">
        <v>27.915926032777122</v>
      </c>
      <c r="F30" s="443">
        <v>222404</v>
      </c>
      <c r="G30" s="443">
        <v>64201</v>
      </c>
      <c r="H30" s="444">
        <v>28.866836927393393</v>
      </c>
      <c r="I30" s="451">
        <f t="shared" si="0"/>
        <v>0.95091089461627121</v>
      </c>
    </row>
    <row r="31" spans="1:9" ht="15.75">
      <c r="A31" s="441">
        <v>28</v>
      </c>
      <c r="B31" s="442" t="s">
        <v>162</v>
      </c>
      <c r="C31" s="443">
        <v>142867</v>
      </c>
      <c r="D31" s="443">
        <v>45178</v>
      </c>
      <c r="E31" s="444">
        <v>31.622418053154334</v>
      </c>
      <c r="F31" s="443">
        <v>129994</v>
      </c>
      <c r="G31" s="443">
        <v>67835</v>
      </c>
      <c r="H31" s="444">
        <v>52.18317768512393</v>
      </c>
      <c r="I31" s="451">
        <f t="shared" si="0"/>
        <v>20.560759631969596</v>
      </c>
    </row>
    <row r="32" spans="1:9" ht="31.5">
      <c r="A32" s="441">
        <v>29</v>
      </c>
      <c r="B32" s="442" t="s">
        <v>212</v>
      </c>
      <c r="C32" s="443">
        <v>495339</v>
      </c>
      <c r="D32" s="443">
        <v>170070</v>
      </c>
      <c r="E32" s="444">
        <v>34.334062127149288</v>
      </c>
      <c r="F32" s="443">
        <v>386163</v>
      </c>
      <c r="G32" s="443">
        <v>139041</v>
      </c>
      <c r="H32" s="444">
        <v>36.005779942666699</v>
      </c>
      <c r="I32" s="451">
        <f t="shared" si="0"/>
        <v>1.6717178155174111</v>
      </c>
    </row>
    <row r="33" spans="1:9" ht="31.5">
      <c r="A33" s="441">
        <v>30</v>
      </c>
      <c r="B33" s="442" t="s">
        <v>382</v>
      </c>
      <c r="C33" s="443">
        <v>443592</v>
      </c>
      <c r="D33" s="443">
        <v>252537</v>
      </c>
      <c r="E33" s="444">
        <v>56.930016772169019</v>
      </c>
      <c r="F33" s="443">
        <v>462129</v>
      </c>
      <c r="G33" s="443">
        <v>324905</v>
      </c>
      <c r="H33" s="444">
        <v>70.306126644291965</v>
      </c>
      <c r="I33" s="451">
        <f t="shared" si="0"/>
        <v>13.376109872122946</v>
      </c>
    </row>
    <row r="34" spans="1:9" ht="31.5">
      <c r="A34" s="441">
        <v>31</v>
      </c>
      <c r="B34" s="442" t="s">
        <v>165</v>
      </c>
      <c r="C34" s="443">
        <v>12463</v>
      </c>
      <c r="D34" s="443" t="s">
        <v>400</v>
      </c>
      <c r="E34" s="443" t="s">
        <v>400</v>
      </c>
      <c r="F34" s="443">
        <v>12166</v>
      </c>
      <c r="G34" s="443" t="s">
        <v>400</v>
      </c>
      <c r="H34" s="443" t="s">
        <v>400</v>
      </c>
      <c r="I34" s="443" t="s">
        <v>400</v>
      </c>
    </row>
    <row r="35" spans="1:9" ht="31.5">
      <c r="A35" s="441">
        <v>32</v>
      </c>
      <c r="B35" s="442" t="s">
        <v>383</v>
      </c>
      <c r="C35" s="443">
        <v>1221252</v>
      </c>
      <c r="D35" s="443">
        <v>666497</v>
      </c>
      <c r="E35" s="444">
        <v>54.574895271409993</v>
      </c>
      <c r="F35" s="443">
        <v>1055269</v>
      </c>
      <c r="G35" s="443">
        <v>665025</v>
      </c>
      <c r="H35" s="444">
        <v>63.019476550528822</v>
      </c>
      <c r="I35" s="451">
        <f t="shared" si="0"/>
        <v>8.4445812791188288</v>
      </c>
    </row>
    <row r="36" spans="1:9" ht="31.5">
      <c r="A36" s="441">
        <v>33</v>
      </c>
      <c r="B36" s="442" t="s">
        <v>169</v>
      </c>
      <c r="C36" s="443">
        <v>49698</v>
      </c>
      <c r="D36" s="443">
        <v>15855</v>
      </c>
      <c r="E36" s="444">
        <v>31.902692261257997</v>
      </c>
      <c r="F36" s="443">
        <v>57713</v>
      </c>
      <c r="G36" s="443">
        <v>21924</v>
      </c>
      <c r="H36" s="444">
        <v>37.987974979640633</v>
      </c>
      <c r="I36" s="451">
        <f t="shared" si="0"/>
        <v>6.0852827183826363</v>
      </c>
    </row>
    <row r="37" spans="1:9" ht="31.5">
      <c r="A37" s="441">
        <v>34</v>
      </c>
      <c r="B37" s="442" t="s">
        <v>314</v>
      </c>
      <c r="C37" s="443">
        <v>415913</v>
      </c>
      <c r="D37" s="443">
        <v>63597</v>
      </c>
      <c r="E37" s="444">
        <v>15.290938249104981</v>
      </c>
      <c r="F37" s="443">
        <v>473423</v>
      </c>
      <c r="G37" s="443">
        <v>54933</v>
      </c>
      <c r="H37" s="444">
        <v>11.603365277986072</v>
      </c>
      <c r="I37" s="451">
        <f t="shared" si="0"/>
        <v>3.6875729711189091</v>
      </c>
    </row>
    <row r="38" spans="1:9" ht="31.5">
      <c r="A38" s="441">
        <v>35</v>
      </c>
      <c r="B38" s="442" t="s">
        <v>171</v>
      </c>
      <c r="C38" s="443">
        <v>13946</v>
      </c>
      <c r="D38" s="443">
        <v>1518</v>
      </c>
      <c r="E38" s="444">
        <v>10.884841531621971</v>
      </c>
      <c r="F38" s="443">
        <v>28698</v>
      </c>
      <c r="G38" s="443">
        <v>2013</v>
      </c>
      <c r="H38" s="444">
        <v>7.0144260924106208</v>
      </c>
      <c r="I38" s="451">
        <f t="shared" si="0"/>
        <v>3.8704154392113503</v>
      </c>
    </row>
    <row r="39" spans="1:9" ht="31.5">
      <c r="A39" s="441">
        <v>36</v>
      </c>
      <c r="B39" s="442" t="s">
        <v>163</v>
      </c>
      <c r="C39" s="443">
        <v>1267</v>
      </c>
      <c r="D39" s="443" t="s">
        <v>400</v>
      </c>
      <c r="E39" s="443" t="s">
        <v>400</v>
      </c>
      <c r="F39" s="443">
        <v>667</v>
      </c>
      <c r="G39" s="443" t="s">
        <v>400</v>
      </c>
      <c r="H39" s="443" t="s">
        <v>400</v>
      </c>
      <c r="I39" s="443" t="s">
        <v>400</v>
      </c>
    </row>
    <row r="40" spans="1:9" ht="31.5">
      <c r="A40" s="441">
        <v>37</v>
      </c>
      <c r="B40" s="442" t="s">
        <v>132</v>
      </c>
      <c r="C40" s="443">
        <v>817</v>
      </c>
      <c r="D40" s="443">
        <v>525</v>
      </c>
      <c r="E40" s="444">
        <v>64.25948592411261</v>
      </c>
      <c r="F40" s="443">
        <v>921</v>
      </c>
      <c r="G40" s="443">
        <v>454</v>
      </c>
      <c r="H40" s="444">
        <v>49.294245385450594</v>
      </c>
      <c r="I40" s="451">
        <f t="shared" si="0"/>
        <v>14.965240538662016</v>
      </c>
    </row>
    <row r="41" spans="1:9" ht="31.5">
      <c r="A41" s="441">
        <v>38</v>
      </c>
      <c r="B41" s="442" t="s">
        <v>157</v>
      </c>
      <c r="C41" s="443">
        <v>837</v>
      </c>
      <c r="D41" s="443" t="s">
        <v>400</v>
      </c>
      <c r="E41" s="443" t="s">
        <v>400</v>
      </c>
      <c r="F41" s="443">
        <v>363</v>
      </c>
      <c r="G41" s="443" t="s">
        <v>400</v>
      </c>
      <c r="H41" s="443" t="s">
        <v>400</v>
      </c>
      <c r="I41" s="443" t="s">
        <v>400</v>
      </c>
    </row>
    <row r="42" spans="1:9" ht="31.5">
      <c r="A42" s="441">
        <v>39</v>
      </c>
      <c r="B42" s="442" t="s">
        <v>385</v>
      </c>
      <c r="C42" s="443">
        <v>488</v>
      </c>
      <c r="D42" s="443">
        <v>189</v>
      </c>
      <c r="E42" s="444">
        <v>38.729508196721312</v>
      </c>
      <c r="F42" s="443">
        <v>242</v>
      </c>
      <c r="G42" s="443">
        <v>121</v>
      </c>
      <c r="H42" s="444">
        <v>50</v>
      </c>
      <c r="I42" s="451">
        <f t="shared" si="0"/>
        <v>11.270491803278688</v>
      </c>
    </row>
    <row r="43" spans="1:9" ht="15.75">
      <c r="A43" s="441">
        <v>40</v>
      </c>
      <c r="B43" s="442" t="s">
        <v>166</v>
      </c>
      <c r="C43" s="443">
        <v>109</v>
      </c>
      <c r="D43" s="443">
        <v>85</v>
      </c>
      <c r="E43" s="444">
        <v>77.981651376146786</v>
      </c>
      <c r="F43" s="443">
        <v>107</v>
      </c>
      <c r="G43" s="443">
        <v>96</v>
      </c>
      <c r="H43" s="444">
        <v>89.719626168224295</v>
      </c>
      <c r="I43" s="451">
        <f t="shared" si="0"/>
        <v>11.737974792077509</v>
      </c>
    </row>
    <row r="44" spans="1:9" ht="31.5">
      <c r="A44" s="441">
        <v>41</v>
      </c>
      <c r="B44" s="442" t="s">
        <v>374</v>
      </c>
      <c r="C44" s="443" t="s">
        <v>400</v>
      </c>
      <c r="D44" s="443" t="s">
        <v>400</v>
      </c>
      <c r="E44" s="443" t="s">
        <v>400</v>
      </c>
      <c r="F44" s="443" t="s">
        <v>400</v>
      </c>
      <c r="G44" s="443" t="s">
        <v>400</v>
      </c>
      <c r="H44" s="443" t="s">
        <v>400</v>
      </c>
      <c r="I44" s="440" t="s">
        <v>400</v>
      </c>
    </row>
    <row r="45" spans="1:9" ht="31.5">
      <c r="A45" s="447">
        <v>42</v>
      </c>
      <c r="B45" s="442" t="s">
        <v>214</v>
      </c>
      <c r="C45" s="443">
        <v>739</v>
      </c>
      <c r="D45" s="443">
        <v>180</v>
      </c>
      <c r="E45" s="444">
        <v>24.357239512855209</v>
      </c>
      <c r="F45" s="443">
        <v>54</v>
      </c>
      <c r="G45" s="443">
        <v>7</v>
      </c>
      <c r="H45" s="444">
        <v>12.962962962962964</v>
      </c>
      <c r="I45" s="451">
        <f t="shared" si="0"/>
        <v>11.394276549892245</v>
      </c>
    </row>
    <row r="46" spans="1:9" ht="15.75">
      <c r="A46" s="443"/>
      <c r="B46" s="448" t="s">
        <v>389</v>
      </c>
      <c r="C46" s="449">
        <v>7664507</v>
      </c>
      <c r="D46" s="449">
        <v>3489343</v>
      </c>
      <c r="E46" s="450">
        <v>45.525994039799301</v>
      </c>
      <c r="F46" s="449">
        <v>6929846</v>
      </c>
      <c r="G46" s="449">
        <v>3446239</v>
      </c>
      <c r="H46" s="450">
        <v>49.730383618914473</v>
      </c>
      <c r="I46" s="452">
        <f t="shared" si="0"/>
        <v>4.2043895791151726</v>
      </c>
    </row>
    <row r="47" spans="1:9">
      <c r="A47" s="432"/>
      <c r="F47" s="432"/>
      <c r="G47" s="432"/>
      <c r="H47" s="432"/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L14"/>
  <sheetViews>
    <sheetView workbookViewId="0">
      <selection activeCell="O42" sqref="O42"/>
    </sheetView>
  </sheetViews>
  <sheetFormatPr defaultRowHeight="15"/>
  <cols>
    <col min="2" max="2" width="7" customWidth="1"/>
    <col min="3" max="3" width="25.42578125" customWidth="1"/>
    <col min="4" max="4" width="10.28515625" customWidth="1"/>
    <col min="5" max="5" width="8.85546875" customWidth="1"/>
    <col min="6" max="6" width="9.140625" customWidth="1"/>
    <col min="7" max="7" width="9.28515625" customWidth="1"/>
    <col min="8" max="8" width="9.140625" customWidth="1"/>
    <col min="9" max="9" width="9" customWidth="1"/>
    <col min="10" max="10" width="7.42578125" customWidth="1"/>
    <col min="11" max="11" width="7.5703125" customWidth="1"/>
    <col min="12" max="12" width="7.42578125" customWidth="1"/>
  </cols>
  <sheetData>
    <row r="3" spans="2:12" ht="15.75" customHeight="1">
      <c r="B3" s="453" t="s">
        <v>192</v>
      </c>
      <c r="C3" s="453" t="s">
        <v>42</v>
      </c>
      <c r="D3" s="668" t="s">
        <v>5</v>
      </c>
      <c r="E3" s="668"/>
      <c r="F3" s="668"/>
      <c r="G3" s="668" t="s">
        <v>6</v>
      </c>
      <c r="H3" s="668"/>
      <c r="I3" s="668"/>
      <c r="J3" s="671" t="s">
        <v>401</v>
      </c>
      <c r="K3" s="672"/>
      <c r="L3" s="673"/>
    </row>
    <row r="4" spans="2:12" ht="15.75" customHeight="1">
      <c r="B4" s="454"/>
      <c r="C4" s="454"/>
      <c r="D4" s="455" t="s">
        <v>43</v>
      </c>
      <c r="E4" s="455" t="s">
        <v>44</v>
      </c>
      <c r="F4" s="455" t="s">
        <v>3</v>
      </c>
      <c r="G4" s="455" t="s">
        <v>43</v>
      </c>
      <c r="H4" s="455" t="s">
        <v>44</v>
      </c>
      <c r="I4" s="455" t="s">
        <v>3</v>
      </c>
      <c r="J4" s="455" t="s">
        <v>43</v>
      </c>
      <c r="K4" s="455" t="s">
        <v>44</v>
      </c>
      <c r="L4" s="455" t="s">
        <v>3</v>
      </c>
    </row>
    <row r="5" spans="2:12">
      <c r="B5" s="456">
        <v>1</v>
      </c>
      <c r="C5" s="456">
        <v>2</v>
      </c>
      <c r="D5" s="457">
        <v>3</v>
      </c>
      <c r="E5" s="457">
        <v>4</v>
      </c>
      <c r="F5" s="457">
        <v>5</v>
      </c>
      <c r="G5" s="457">
        <v>6</v>
      </c>
      <c r="H5" s="457">
        <v>7</v>
      </c>
      <c r="I5" s="457">
        <v>8</v>
      </c>
      <c r="J5" s="457"/>
      <c r="K5" s="457"/>
      <c r="L5" s="457"/>
    </row>
    <row r="6" spans="2:12" ht="25.5">
      <c r="B6" s="458">
        <v>1</v>
      </c>
      <c r="C6" s="459" t="s">
        <v>322</v>
      </c>
      <c r="D6" s="460">
        <v>35758</v>
      </c>
      <c r="E6" s="460">
        <v>16159</v>
      </c>
      <c r="F6" s="460">
        <f t="shared" ref="F6:F13" si="0">D6+E6</f>
        <v>51917</v>
      </c>
      <c r="G6" s="460">
        <v>26989</v>
      </c>
      <c r="H6" s="460">
        <v>13283</v>
      </c>
      <c r="I6" s="460">
        <f t="shared" ref="I6:I13" si="1">G6+H6</f>
        <v>40272</v>
      </c>
      <c r="J6" s="460">
        <f>G6*100/D6</f>
        <v>75.476816376754854</v>
      </c>
      <c r="K6" s="460">
        <f t="shared" ref="K6:L6" si="2">H6*100/E6</f>
        <v>82.201868927532644</v>
      </c>
      <c r="L6" s="460">
        <f t="shared" si="2"/>
        <v>77.569967448042064</v>
      </c>
    </row>
    <row r="7" spans="2:12" ht="25.5">
      <c r="B7" s="458">
        <v>2</v>
      </c>
      <c r="C7" s="459" t="s">
        <v>222</v>
      </c>
      <c r="D7" s="460">
        <v>37664</v>
      </c>
      <c r="E7" s="460">
        <v>15433</v>
      </c>
      <c r="F7" s="460">
        <f t="shared" si="0"/>
        <v>53097</v>
      </c>
      <c r="G7" s="460">
        <v>10803</v>
      </c>
      <c r="H7" s="460">
        <v>5718</v>
      </c>
      <c r="I7" s="460">
        <f t="shared" si="1"/>
        <v>16521</v>
      </c>
      <c r="J7" s="460">
        <f t="shared" ref="J7:J14" si="3">G7*100/D7</f>
        <v>28.682561597281225</v>
      </c>
      <c r="K7" s="460">
        <f t="shared" ref="K7:K14" si="4">H7*100/E7</f>
        <v>37.050476252186876</v>
      </c>
      <c r="L7" s="460">
        <f t="shared" ref="L7:L14" si="5">I7*100/F7</f>
        <v>31.114752245889598</v>
      </c>
    </row>
    <row r="8" spans="2:12" ht="25.5">
      <c r="B8" s="458">
        <v>3</v>
      </c>
      <c r="C8" s="459" t="s">
        <v>223</v>
      </c>
      <c r="D8" s="460">
        <v>54484</v>
      </c>
      <c r="E8" s="460">
        <v>43458</v>
      </c>
      <c r="F8" s="460">
        <f t="shared" si="0"/>
        <v>97942</v>
      </c>
      <c r="G8" s="460">
        <v>28229</v>
      </c>
      <c r="H8" s="460">
        <v>24740</v>
      </c>
      <c r="I8" s="460">
        <f t="shared" si="1"/>
        <v>52969</v>
      </c>
      <c r="J8" s="460">
        <f t="shared" si="3"/>
        <v>51.811541002863223</v>
      </c>
      <c r="K8" s="460">
        <f t="shared" si="4"/>
        <v>56.928528694371579</v>
      </c>
      <c r="L8" s="460">
        <f t="shared" si="5"/>
        <v>54.082007718854015</v>
      </c>
    </row>
    <row r="9" spans="2:12">
      <c r="B9" s="458">
        <v>4</v>
      </c>
      <c r="C9" s="459" t="s">
        <v>224</v>
      </c>
      <c r="D9" s="460">
        <v>28933</v>
      </c>
      <c r="E9" s="460">
        <v>25179</v>
      </c>
      <c r="F9" s="460">
        <f t="shared" si="0"/>
        <v>54112</v>
      </c>
      <c r="G9" s="460">
        <v>21644</v>
      </c>
      <c r="H9" s="460">
        <v>21212</v>
      </c>
      <c r="I9" s="460">
        <f t="shared" si="1"/>
        <v>42856</v>
      </c>
      <c r="J9" s="460">
        <f t="shared" si="3"/>
        <v>74.807313448311618</v>
      </c>
      <c r="K9" s="460">
        <f t="shared" si="4"/>
        <v>84.244807180587003</v>
      </c>
      <c r="L9" s="460">
        <f t="shared" si="5"/>
        <v>79.198698994677699</v>
      </c>
    </row>
    <row r="10" spans="2:12" ht="25.5">
      <c r="B10" s="458">
        <v>5</v>
      </c>
      <c r="C10" s="459" t="s">
        <v>225</v>
      </c>
      <c r="D10" s="460">
        <v>62532</v>
      </c>
      <c r="E10" s="460">
        <v>41689</v>
      </c>
      <c r="F10" s="460">
        <f t="shared" si="0"/>
        <v>104221</v>
      </c>
      <c r="G10" s="460">
        <v>65872</v>
      </c>
      <c r="H10" s="460">
        <v>39750</v>
      </c>
      <c r="I10" s="460">
        <f t="shared" si="1"/>
        <v>105622</v>
      </c>
      <c r="J10" s="460">
        <f t="shared" si="3"/>
        <v>105.34126527218065</v>
      </c>
      <c r="K10" s="460">
        <f t="shared" si="4"/>
        <v>95.348892993355562</v>
      </c>
      <c r="L10" s="460">
        <f t="shared" si="5"/>
        <v>101.34425883459188</v>
      </c>
    </row>
    <row r="11" spans="2:12" ht="25.5">
      <c r="B11" s="458">
        <v>6</v>
      </c>
      <c r="C11" s="459" t="s">
        <v>226</v>
      </c>
      <c r="D11" s="460">
        <v>195137</v>
      </c>
      <c r="E11" s="460">
        <v>96353</v>
      </c>
      <c r="F11" s="460">
        <f t="shared" si="0"/>
        <v>291490</v>
      </c>
      <c r="G11" s="460">
        <v>73010</v>
      </c>
      <c r="H11" s="460">
        <v>35590</v>
      </c>
      <c r="I11" s="460">
        <f t="shared" si="1"/>
        <v>108600</v>
      </c>
      <c r="J11" s="460">
        <f t="shared" si="3"/>
        <v>37.414739388224682</v>
      </c>
      <c r="K11" s="460">
        <f t="shared" si="4"/>
        <v>36.937095886998847</v>
      </c>
      <c r="L11" s="460">
        <f t="shared" si="5"/>
        <v>37.256852722220316</v>
      </c>
    </row>
    <row r="12" spans="2:12">
      <c r="B12" s="461">
        <v>7</v>
      </c>
      <c r="C12" s="462" t="s">
        <v>373</v>
      </c>
      <c r="D12" s="463">
        <v>41458</v>
      </c>
      <c r="E12" s="463">
        <v>12694</v>
      </c>
      <c r="F12" s="463">
        <f t="shared" si="0"/>
        <v>54152</v>
      </c>
      <c r="G12" s="463">
        <v>12012</v>
      </c>
      <c r="H12" s="463">
        <v>5366</v>
      </c>
      <c r="I12" s="463">
        <f t="shared" si="1"/>
        <v>17378</v>
      </c>
      <c r="J12" s="460">
        <f t="shared" si="3"/>
        <v>28.973901297698877</v>
      </c>
      <c r="K12" s="460">
        <f t="shared" si="4"/>
        <v>42.271939498975897</v>
      </c>
      <c r="L12" s="460">
        <f t="shared" si="5"/>
        <v>32.091150834687546</v>
      </c>
    </row>
    <row r="13" spans="2:12" ht="25.5">
      <c r="B13" s="458">
        <v>8</v>
      </c>
      <c r="C13" s="459" t="s">
        <v>386</v>
      </c>
      <c r="D13" s="460">
        <v>8634</v>
      </c>
      <c r="E13" s="460">
        <v>9919</v>
      </c>
      <c r="F13" s="460">
        <f t="shared" si="0"/>
        <v>18553</v>
      </c>
      <c r="G13" s="460">
        <v>2363</v>
      </c>
      <c r="H13" s="460">
        <v>3067</v>
      </c>
      <c r="I13" s="460">
        <f t="shared" si="1"/>
        <v>5430</v>
      </c>
      <c r="J13" s="460">
        <f t="shared" si="3"/>
        <v>27.368542969654854</v>
      </c>
      <c r="K13" s="460">
        <f t="shared" si="4"/>
        <v>30.920455691097892</v>
      </c>
      <c r="L13" s="460">
        <f t="shared" si="5"/>
        <v>29.267503907723817</v>
      </c>
    </row>
    <row r="14" spans="2:12">
      <c r="B14" s="669" t="s">
        <v>3</v>
      </c>
      <c r="C14" s="670"/>
      <c r="D14" s="464">
        <f t="shared" ref="D14:I14" si="6">SUM(D6:D13)</f>
        <v>464600</v>
      </c>
      <c r="E14" s="464">
        <f t="shared" si="6"/>
        <v>260884</v>
      </c>
      <c r="F14" s="464">
        <f t="shared" si="6"/>
        <v>725484</v>
      </c>
      <c r="G14" s="464">
        <f t="shared" si="6"/>
        <v>240922</v>
      </c>
      <c r="H14" s="464">
        <f t="shared" si="6"/>
        <v>148726</v>
      </c>
      <c r="I14" s="464">
        <f t="shared" si="6"/>
        <v>389648</v>
      </c>
      <c r="J14" s="464">
        <f t="shared" si="3"/>
        <v>51.855789926818765</v>
      </c>
      <c r="K14" s="464">
        <f t="shared" si="4"/>
        <v>57.008478864169518</v>
      </c>
      <c r="L14" s="464">
        <f t="shared" si="5"/>
        <v>53.70869653913801</v>
      </c>
    </row>
  </sheetData>
  <mergeCells count="4">
    <mergeCell ref="D3:F3"/>
    <mergeCell ref="G3:I3"/>
    <mergeCell ref="B14:C14"/>
    <mergeCell ref="J3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50"/>
  <sheetViews>
    <sheetView workbookViewId="0">
      <pane xSplit="2" ySplit="2" topLeftCell="DH39" activePane="bottomRight" state="frozen"/>
      <selection pane="topRight" activeCell="C1" sqref="C1"/>
      <selection pane="bottomLeft" activeCell="A3" sqref="A3"/>
      <selection pane="bottomRight" activeCell="DU3" sqref="DU3:DW47"/>
    </sheetView>
  </sheetViews>
  <sheetFormatPr defaultRowHeight="15"/>
  <cols>
    <col min="1" max="1" width="9.140625" style="3"/>
    <col min="2" max="2" width="30" style="3" bestFit="1" customWidth="1"/>
    <col min="3" max="3" width="36.5703125" style="3" bestFit="1" customWidth="1"/>
    <col min="4" max="4" width="23.5703125" style="3" customWidth="1"/>
    <col min="5" max="5" width="24.5703125" style="3" customWidth="1"/>
    <col min="6" max="6" width="25.7109375" style="3" customWidth="1"/>
    <col min="7" max="7" width="21.42578125" style="3" customWidth="1"/>
    <col min="8" max="8" width="13.140625" style="3" customWidth="1"/>
    <col min="9" max="15" width="9.140625" style="3"/>
    <col min="16" max="16" width="13.5703125" style="3" customWidth="1"/>
    <col min="17" max="20" width="9.140625" style="3"/>
    <col min="21" max="21" width="9.42578125" style="3" customWidth="1"/>
    <col min="22" max="27" width="9.140625" style="3"/>
    <col min="28" max="28" width="9.140625" style="24"/>
    <col min="29" max="128" width="9.140625" style="3"/>
    <col min="129" max="129" width="10" style="3" bestFit="1" customWidth="1"/>
    <col min="130" max="136" width="9.140625" style="3"/>
    <col min="137" max="138" width="15.140625" style="3" customWidth="1"/>
    <col min="139" max="139" width="9.140625" style="3"/>
    <col min="140" max="141" width="9.140625" style="3" customWidth="1"/>
    <col min="142" max="16384" width="9.140625" style="3"/>
  </cols>
  <sheetData>
    <row r="1" spans="1:142" s="8" customFormat="1">
      <c r="A1" s="7"/>
      <c r="B1" s="7"/>
      <c r="C1" s="25"/>
      <c r="D1" s="547" t="s">
        <v>46</v>
      </c>
      <c r="E1" s="548"/>
      <c r="F1" s="547" t="s">
        <v>47</v>
      </c>
      <c r="G1" s="548"/>
      <c r="H1" s="537" t="s">
        <v>4</v>
      </c>
      <c r="I1" s="537"/>
      <c r="J1" s="537"/>
      <c r="K1" s="537"/>
      <c r="L1" s="537" t="s">
        <v>5</v>
      </c>
      <c r="M1" s="537"/>
      <c r="N1" s="537"/>
      <c r="O1" s="537"/>
      <c r="P1" s="537" t="s">
        <v>6</v>
      </c>
      <c r="Q1" s="537"/>
      <c r="R1" s="537"/>
      <c r="S1" s="537"/>
      <c r="T1" s="537"/>
      <c r="U1" s="537" t="s">
        <v>4</v>
      </c>
      <c r="V1" s="537"/>
      <c r="W1" s="537"/>
      <c r="X1" s="537"/>
      <c r="Y1" s="537"/>
      <c r="Z1" s="537"/>
      <c r="AA1" s="537"/>
      <c r="AB1" s="537"/>
      <c r="AC1" s="537" t="s">
        <v>25</v>
      </c>
      <c r="AD1" s="537"/>
      <c r="AE1" s="537"/>
      <c r="AF1" s="537"/>
      <c r="AG1" s="537"/>
      <c r="AH1" s="537"/>
      <c r="AI1" s="537"/>
      <c r="AJ1" s="537"/>
      <c r="AK1" s="537"/>
      <c r="AL1" s="537" t="s">
        <v>26</v>
      </c>
      <c r="AM1" s="537"/>
      <c r="AN1" s="537"/>
      <c r="AO1" s="537"/>
      <c r="AP1" s="537"/>
      <c r="AQ1" s="537"/>
      <c r="AR1" s="537"/>
      <c r="AS1" s="537"/>
      <c r="AT1" s="537"/>
      <c r="AU1" s="537" t="s">
        <v>27</v>
      </c>
      <c r="AV1" s="537"/>
      <c r="AW1" s="537"/>
      <c r="AX1" s="537"/>
      <c r="AY1" s="537"/>
      <c r="AZ1" s="537"/>
      <c r="BA1" s="537"/>
      <c r="BB1" s="537"/>
      <c r="BC1" s="537"/>
      <c r="BD1" s="537" t="s">
        <v>28</v>
      </c>
      <c r="BE1" s="537"/>
      <c r="BF1" s="537"/>
      <c r="BG1" s="537"/>
      <c r="BH1" s="537"/>
      <c r="BI1" s="537"/>
      <c r="BJ1" s="537"/>
      <c r="BK1" s="537"/>
      <c r="BL1" s="537"/>
      <c r="BM1" s="544" t="s">
        <v>39</v>
      </c>
      <c r="BN1" s="545"/>
      <c r="BO1" s="545"/>
      <c r="BP1" s="545"/>
      <c r="BQ1" s="545"/>
      <c r="BR1" s="545"/>
      <c r="BS1" s="545"/>
      <c r="BT1" s="545"/>
      <c r="BU1" s="546"/>
      <c r="BV1" s="537" t="s">
        <v>29</v>
      </c>
      <c r="BW1" s="537"/>
      <c r="BX1" s="537"/>
      <c r="BY1" s="537"/>
      <c r="BZ1" s="537"/>
      <c r="CA1" s="537"/>
      <c r="CB1" s="537"/>
      <c r="CC1" s="537"/>
      <c r="CD1" s="537"/>
      <c r="CE1" s="537" t="s">
        <v>30</v>
      </c>
      <c r="CF1" s="537"/>
      <c r="CG1" s="537"/>
      <c r="CH1" s="537"/>
      <c r="CI1" s="537"/>
      <c r="CJ1" s="537"/>
      <c r="CK1" s="537"/>
      <c r="CL1" s="537"/>
      <c r="CM1" s="537"/>
      <c r="CN1" s="537" t="s">
        <v>31</v>
      </c>
      <c r="CO1" s="537"/>
      <c r="CP1" s="537"/>
      <c r="CQ1" s="537"/>
      <c r="CR1" s="537"/>
      <c r="CS1" s="537"/>
      <c r="CT1" s="537"/>
      <c r="CU1" s="537"/>
      <c r="CV1" s="537"/>
      <c r="CW1" s="537" t="s">
        <v>32</v>
      </c>
      <c r="CX1" s="537"/>
      <c r="CY1" s="537"/>
      <c r="CZ1" s="537"/>
      <c r="DA1" s="537"/>
      <c r="DB1" s="537"/>
      <c r="DC1" s="537"/>
      <c r="DD1" s="537"/>
      <c r="DE1" s="537"/>
      <c r="DF1" s="539" t="s">
        <v>40</v>
      </c>
      <c r="DG1" s="540"/>
      <c r="DH1" s="540"/>
      <c r="DI1" s="540"/>
      <c r="DJ1" s="540"/>
      <c r="DK1" s="540"/>
      <c r="DL1" s="540"/>
      <c r="DM1" s="540"/>
      <c r="DN1" s="541"/>
      <c r="DO1" s="537" t="s">
        <v>33</v>
      </c>
      <c r="DP1" s="537"/>
      <c r="DQ1" s="537"/>
      <c r="DR1" s="537"/>
      <c r="DS1" s="537"/>
      <c r="DT1" s="537"/>
      <c r="DU1" s="537"/>
      <c r="DV1" s="537"/>
      <c r="DW1" s="537"/>
      <c r="DX1" s="537" t="s">
        <v>34</v>
      </c>
      <c r="DY1" s="537"/>
      <c r="DZ1" s="537"/>
      <c r="EA1" s="537"/>
      <c r="EB1" s="537"/>
      <c r="EC1" s="537"/>
      <c r="ED1" s="537"/>
      <c r="EE1" s="537"/>
      <c r="EF1" s="537"/>
      <c r="EG1" s="542" t="s">
        <v>41</v>
      </c>
      <c r="EH1" s="543"/>
      <c r="EI1" s="538" t="s">
        <v>35</v>
      </c>
      <c r="EJ1" s="538"/>
      <c r="EK1" s="538"/>
    </row>
    <row r="2" spans="1:142" s="13" customFormat="1" ht="45">
      <c r="A2" s="9" t="s">
        <v>15</v>
      </c>
      <c r="B2" s="9" t="s">
        <v>14</v>
      </c>
      <c r="C2" s="26" t="s">
        <v>45</v>
      </c>
      <c r="D2" s="26" t="s">
        <v>48</v>
      </c>
      <c r="E2" s="26" t="s">
        <v>49</v>
      </c>
      <c r="F2" s="26" t="s">
        <v>48</v>
      </c>
      <c r="G2" s="26" t="s">
        <v>49</v>
      </c>
      <c r="H2" s="10" t="s">
        <v>0</v>
      </c>
      <c r="I2" s="10" t="s">
        <v>1</v>
      </c>
      <c r="J2" s="10" t="s">
        <v>2</v>
      </c>
      <c r="K2" s="11" t="s">
        <v>3</v>
      </c>
      <c r="L2" s="10" t="s">
        <v>0</v>
      </c>
      <c r="M2" s="10" t="s">
        <v>1</v>
      </c>
      <c r="N2" s="10" t="s">
        <v>2</v>
      </c>
      <c r="O2" s="11" t="s">
        <v>3</v>
      </c>
      <c r="P2" s="10" t="s">
        <v>0</v>
      </c>
      <c r="Q2" s="10" t="s">
        <v>1</v>
      </c>
      <c r="R2" s="10" t="s">
        <v>2</v>
      </c>
      <c r="S2" s="11" t="s">
        <v>3</v>
      </c>
      <c r="T2" s="14" t="s">
        <v>7</v>
      </c>
      <c r="U2" s="16">
        <v>1</v>
      </c>
      <c r="V2" s="10" t="s">
        <v>8</v>
      </c>
      <c r="W2" s="10" t="s">
        <v>9</v>
      </c>
      <c r="X2" s="10" t="s">
        <v>10</v>
      </c>
      <c r="Y2" s="10" t="s">
        <v>11</v>
      </c>
      <c r="Z2" s="10" t="s">
        <v>12</v>
      </c>
      <c r="AA2" s="16">
        <v>0.5</v>
      </c>
      <c r="AB2" s="17" t="s">
        <v>13</v>
      </c>
      <c r="AC2" s="20" t="s">
        <v>16</v>
      </c>
      <c r="AD2" s="20" t="s">
        <v>17</v>
      </c>
      <c r="AE2" s="11" t="s">
        <v>18</v>
      </c>
      <c r="AF2" s="20" t="s">
        <v>19</v>
      </c>
      <c r="AG2" s="20" t="s">
        <v>20</v>
      </c>
      <c r="AH2" s="11" t="s">
        <v>21</v>
      </c>
      <c r="AI2" s="20" t="s">
        <v>22</v>
      </c>
      <c r="AJ2" s="20" t="s">
        <v>23</v>
      </c>
      <c r="AK2" s="11" t="s">
        <v>24</v>
      </c>
      <c r="AL2" s="20" t="s">
        <v>16</v>
      </c>
      <c r="AM2" s="20" t="s">
        <v>17</v>
      </c>
      <c r="AN2" s="11" t="s">
        <v>18</v>
      </c>
      <c r="AO2" s="20" t="s">
        <v>19</v>
      </c>
      <c r="AP2" s="20" t="s">
        <v>20</v>
      </c>
      <c r="AQ2" s="11" t="s">
        <v>21</v>
      </c>
      <c r="AR2" s="20" t="s">
        <v>22</v>
      </c>
      <c r="AS2" s="20" t="s">
        <v>23</v>
      </c>
      <c r="AT2" s="11" t="s">
        <v>24</v>
      </c>
      <c r="AU2" s="20" t="s">
        <v>16</v>
      </c>
      <c r="AV2" s="20" t="s">
        <v>17</v>
      </c>
      <c r="AW2" s="11" t="s">
        <v>18</v>
      </c>
      <c r="AX2" s="20" t="s">
        <v>19</v>
      </c>
      <c r="AY2" s="20" t="s">
        <v>20</v>
      </c>
      <c r="AZ2" s="11" t="s">
        <v>21</v>
      </c>
      <c r="BA2" s="20" t="s">
        <v>22</v>
      </c>
      <c r="BB2" s="20" t="s">
        <v>23</v>
      </c>
      <c r="BC2" s="11" t="s">
        <v>24</v>
      </c>
      <c r="BD2" s="20" t="s">
        <v>16</v>
      </c>
      <c r="BE2" s="20" t="s">
        <v>17</v>
      </c>
      <c r="BF2" s="11" t="s">
        <v>18</v>
      </c>
      <c r="BG2" s="20" t="s">
        <v>19</v>
      </c>
      <c r="BH2" s="20" t="s">
        <v>20</v>
      </c>
      <c r="BI2" s="11" t="s">
        <v>21</v>
      </c>
      <c r="BJ2" s="20" t="s">
        <v>22</v>
      </c>
      <c r="BK2" s="20" t="s">
        <v>23</v>
      </c>
      <c r="BL2" s="11" t="s">
        <v>24</v>
      </c>
      <c r="BM2" s="14" t="s">
        <v>16</v>
      </c>
      <c r="BN2" s="14" t="s">
        <v>17</v>
      </c>
      <c r="BO2" s="14" t="s">
        <v>18</v>
      </c>
      <c r="BP2" s="14" t="s">
        <v>19</v>
      </c>
      <c r="BQ2" s="14" t="s">
        <v>20</v>
      </c>
      <c r="BR2" s="14" t="s">
        <v>21</v>
      </c>
      <c r="BS2" s="14" t="s">
        <v>22</v>
      </c>
      <c r="BT2" s="14" t="s">
        <v>23</v>
      </c>
      <c r="BU2" s="14" t="s">
        <v>24</v>
      </c>
      <c r="BV2" s="22" t="s">
        <v>174</v>
      </c>
      <c r="BW2" s="22" t="s">
        <v>17</v>
      </c>
      <c r="BX2" s="11" t="s">
        <v>18</v>
      </c>
      <c r="BY2" s="22" t="s">
        <v>19</v>
      </c>
      <c r="BZ2" s="22" t="s">
        <v>20</v>
      </c>
      <c r="CA2" s="11" t="s">
        <v>21</v>
      </c>
      <c r="CB2" s="22" t="s">
        <v>22</v>
      </c>
      <c r="CC2" s="22" t="s">
        <v>23</v>
      </c>
      <c r="CD2" s="11" t="s">
        <v>24</v>
      </c>
      <c r="CE2" s="22" t="s">
        <v>175</v>
      </c>
      <c r="CF2" s="22" t="s">
        <v>17</v>
      </c>
      <c r="CG2" s="11" t="s">
        <v>18</v>
      </c>
      <c r="CH2" s="22" t="s">
        <v>19</v>
      </c>
      <c r="CI2" s="22" t="s">
        <v>20</v>
      </c>
      <c r="CJ2" s="11" t="s">
        <v>21</v>
      </c>
      <c r="CK2" s="22" t="s">
        <v>22</v>
      </c>
      <c r="CL2" s="22" t="s">
        <v>23</v>
      </c>
      <c r="CM2" s="11" t="s">
        <v>24</v>
      </c>
      <c r="CN2" s="22" t="s">
        <v>176</v>
      </c>
      <c r="CO2" s="22" t="s">
        <v>17</v>
      </c>
      <c r="CP2" s="11" t="s">
        <v>18</v>
      </c>
      <c r="CQ2" s="22" t="s">
        <v>19</v>
      </c>
      <c r="CR2" s="22" t="s">
        <v>20</v>
      </c>
      <c r="CS2" s="11" t="s">
        <v>21</v>
      </c>
      <c r="CT2" s="22" t="s">
        <v>22</v>
      </c>
      <c r="CU2" s="22" t="s">
        <v>23</v>
      </c>
      <c r="CV2" s="11" t="s">
        <v>24</v>
      </c>
      <c r="CW2" s="22" t="s">
        <v>16</v>
      </c>
      <c r="CX2" s="22" t="s">
        <v>17</v>
      </c>
      <c r="CY2" s="11" t="s">
        <v>18</v>
      </c>
      <c r="CZ2" s="22" t="s">
        <v>19</v>
      </c>
      <c r="DA2" s="22" t="s">
        <v>20</v>
      </c>
      <c r="DB2" s="11" t="s">
        <v>21</v>
      </c>
      <c r="DC2" s="22" t="s">
        <v>22</v>
      </c>
      <c r="DD2" s="22" t="s">
        <v>23</v>
      </c>
      <c r="DE2" s="11" t="s">
        <v>24</v>
      </c>
      <c r="DF2" s="14" t="s">
        <v>16</v>
      </c>
      <c r="DG2" s="14" t="s">
        <v>17</v>
      </c>
      <c r="DH2" s="14" t="s">
        <v>18</v>
      </c>
      <c r="DI2" s="14" t="s">
        <v>19</v>
      </c>
      <c r="DJ2" s="14" t="s">
        <v>20</v>
      </c>
      <c r="DK2" s="14" t="s">
        <v>21</v>
      </c>
      <c r="DL2" s="14" t="s">
        <v>22</v>
      </c>
      <c r="DM2" s="14" t="s">
        <v>23</v>
      </c>
      <c r="DN2" s="14" t="s">
        <v>24</v>
      </c>
      <c r="DO2" s="19" t="s">
        <v>197</v>
      </c>
      <c r="DP2" s="19" t="s">
        <v>198</v>
      </c>
      <c r="DQ2" s="11" t="s">
        <v>18</v>
      </c>
      <c r="DR2" s="19" t="s">
        <v>19</v>
      </c>
      <c r="DS2" s="19" t="s">
        <v>20</v>
      </c>
      <c r="DT2" s="11" t="s">
        <v>21</v>
      </c>
      <c r="DU2" s="19" t="s">
        <v>22</v>
      </c>
      <c r="DV2" s="19" t="s">
        <v>23</v>
      </c>
      <c r="DW2" s="11" t="s">
        <v>24</v>
      </c>
      <c r="DX2" s="19" t="s">
        <v>16</v>
      </c>
      <c r="DY2" s="19" t="s">
        <v>17</v>
      </c>
      <c r="DZ2" s="11" t="s">
        <v>18</v>
      </c>
      <c r="EA2" s="19" t="s">
        <v>19</v>
      </c>
      <c r="EB2" s="19" t="s">
        <v>20</v>
      </c>
      <c r="EC2" s="11" t="s">
        <v>21</v>
      </c>
      <c r="ED2" s="19" t="s">
        <v>22</v>
      </c>
      <c r="EE2" s="19" t="s">
        <v>23</v>
      </c>
      <c r="EF2" s="11" t="s">
        <v>24</v>
      </c>
      <c r="EG2" s="12" t="s">
        <v>5</v>
      </c>
      <c r="EH2" s="12" t="s">
        <v>6</v>
      </c>
      <c r="EI2" s="12" t="s">
        <v>36</v>
      </c>
      <c r="EJ2" s="12" t="s">
        <v>37</v>
      </c>
      <c r="EK2" s="12" t="s">
        <v>38</v>
      </c>
    </row>
    <row r="3" spans="1:142" customFormat="1" ht="23.25" customHeight="1">
      <c r="A3" s="51">
        <v>36</v>
      </c>
      <c r="B3" s="43" t="s">
        <v>116</v>
      </c>
      <c r="C3" s="48" t="s">
        <v>117</v>
      </c>
      <c r="D3" s="64">
        <v>42803</v>
      </c>
      <c r="E3" s="64">
        <v>42815</v>
      </c>
      <c r="F3" s="64">
        <v>42957</v>
      </c>
      <c r="G3" s="64">
        <v>42959</v>
      </c>
      <c r="H3" s="46">
        <v>13414</v>
      </c>
      <c r="I3" s="46">
        <v>0</v>
      </c>
      <c r="J3" s="46">
        <v>13344</v>
      </c>
      <c r="K3" s="46">
        <f t="shared" ref="K3:K47" si="0">SUM(H3:J3)</f>
        <v>26758</v>
      </c>
      <c r="L3" s="46">
        <v>504107</v>
      </c>
      <c r="M3" s="46">
        <v>0</v>
      </c>
      <c r="N3" s="46">
        <v>550574</v>
      </c>
      <c r="O3" s="46">
        <f t="shared" ref="O3:O47" si="1">SUM(L3:N3)</f>
        <v>1054681</v>
      </c>
      <c r="P3" s="46">
        <v>395078</v>
      </c>
      <c r="Q3" s="46">
        <v>0</v>
      </c>
      <c r="R3" s="46">
        <v>465051</v>
      </c>
      <c r="S3" s="46">
        <f t="shared" ref="S3:S47" si="2">SUM(P3:R3)</f>
        <v>860129</v>
      </c>
      <c r="T3" s="46">
        <f t="shared" ref="T3:T50" si="3">ROUND(S3*100/O3,2)</f>
        <v>81.55</v>
      </c>
      <c r="U3" s="46">
        <v>2647</v>
      </c>
      <c r="V3" s="46">
        <v>5518</v>
      </c>
      <c r="W3" s="46">
        <v>6237</v>
      </c>
      <c r="X3" s="46">
        <v>4518</v>
      </c>
      <c r="Y3" s="46">
        <v>3344</v>
      </c>
      <c r="Z3" s="46">
        <v>2163</v>
      </c>
      <c r="AA3" s="46">
        <v>2197</v>
      </c>
      <c r="AB3" s="47">
        <f t="shared" ref="AB3:AB50" si="4">K3-U3-V3-W3-X3-Y3-Z3-AA3</f>
        <v>134</v>
      </c>
      <c r="AC3" s="46">
        <v>608759</v>
      </c>
      <c r="AD3" s="46">
        <v>458629</v>
      </c>
      <c r="AE3" s="46">
        <f t="shared" ref="AE3:AE50" si="5">AC3+AD3</f>
        <v>1067388</v>
      </c>
      <c r="AF3" s="46">
        <v>113624</v>
      </c>
      <c r="AG3" s="46">
        <v>86029</v>
      </c>
      <c r="AH3" s="46">
        <f t="shared" ref="AH3:AH50" si="6">AF3+AG3</f>
        <v>199653</v>
      </c>
      <c r="AI3" s="46">
        <v>77656</v>
      </c>
      <c r="AJ3" s="46">
        <v>67356</v>
      </c>
      <c r="AK3" s="46">
        <f t="shared" ref="AK3:AK50" si="7">AI3+AJ3</f>
        <v>145012</v>
      </c>
      <c r="AL3" s="46">
        <v>482743</v>
      </c>
      <c r="AM3" s="46">
        <v>363450</v>
      </c>
      <c r="AN3" s="46">
        <f t="shared" ref="AN3:AN50" si="8">AL3+AM3</f>
        <v>846193</v>
      </c>
      <c r="AO3" s="46">
        <v>86356</v>
      </c>
      <c r="AP3" s="46">
        <v>63950</v>
      </c>
      <c r="AQ3" s="46">
        <f t="shared" ref="AQ3:AQ50" si="9">AO3+AP3</f>
        <v>150306</v>
      </c>
      <c r="AR3" s="46">
        <v>56155</v>
      </c>
      <c r="AS3" s="46">
        <v>46530</v>
      </c>
      <c r="AT3" s="46">
        <f t="shared" ref="AT3:AT50" si="10">AR3+AS3</f>
        <v>102685</v>
      </c>
      <c r="AU3" s="46">
        <v>0</v>
      </c>
      <c r="AV3" s="46">
        <v>0</v>
      </c>
      <c r="AW3" s="46">
        <f t="shared" ref="AW3:AW50" si="11">AU3+AV3</f>
        <v>0</v>
      </c>
      <c r="AX3" s="46">
        <v>0</v>
      </c>
      <c r="AY3" s="46">
        <v>0</v>
      </c>
      <c r="AZ3" s="46">
        <f t="shared" ref="AZ3:AZ50" si="12">AX3+AY3</f>
        <v>0</v>
      </c>
      <c r="BA3" s="46">
        <v>0</v>
      </c>
      <c r="BB3" s="46">
        <v>0</v>
      </c>
      <c r="BC3" s="46">
        <f t="shared" ref="BC3:BC50" si="13">BA3+BB3</f>
        <v>0</v>
      </c>
      <c r="BD3" s="46">
        <f t="shared" ref="BD3:BE8" si="14">AL3+AU3</f>
        <v>482743</v>
      </c>
      <c r="BE3" s="46">
        <f t="shared" si="14"/>
        <v>363450</v>
      </c>
      <c r="BF3" s="46">
        <f t="shared" ref="BF3:BF50" si="15">BD3+BE3</f>
        <v>846193</v>
      </c>
      <c r="BG3" s="46">
        <f t="shared" ref="BG3:BH8" si="16">AO3+AX3</f>
        <v>86356</v>
      </c>
      <c r="BH3" s="46">
        <f t="shared" si="16"/>
        <v>63950</v>
      </c>
      <c r="BI3" s="46">
        <f t="shared" ref="BI3:BI50" si="17">BG3+BH3</f>
        <v>150306</v>
      </c>
      <c r="BJ3" s="46">
        <f t="shared" ref="BJ3:BK8" si="18">AR3+BA3</f>
        <v>56155</v>
      </c>
      <c r="BK3" s="46">
        <f t="shared" si="18"/>
        <v>46530</v>
      </c>
      <c r="BL3" s="46">
        <f t="shared" ref="BL3:BL50" si="19">BJ3+BK3</f>
        <v>102685</v>
      </c>
      <c r="BM3" s="46">
        <f t="shared" ref="BM3:BM50" si="20">ROUND(BD3*100/AC3,2)</f>
        <v>79.3</v>
      </c>
      <c r="BN3" s="46">
        <f t="shared" ref="BN3:BN50" si="21">ROUND(BE3*100/AD3,2)</f>
        <v>79.25</v>
      </c>
      <c r="BO3" s="46">
        <f t="shared" ref="BO3:BO50" si="22">ROUND(BF3*100/AE3,2)</f>
        <v>79.28</v>
      </c>
      <c r="BP3" s="46">
        <f t="shared" ref="BP3:BP50" si="23">ROUND(BG3*100/AF3,2)</f>
        <v>76</v>
      </c>
      <c r="BQ3" s="46">
        <f t="shared" ref="BQ3:BQ50" si="24">ROUND(BH3*100/AG3,2)</f>
        <v>74.34</v>
      </c>
      <c r="BR3" s="46">
        <f t="shared" ref="BR3:BR50" si="25">ROUND(BI3*100/AH3,2)</f>
        <v>75.28</v>
      </c>
      <c r="BS3" s="46">
        <f t="shared" ref="BS3:BS50" si="26">ROUND(BJ3*100/AI3,2)</f>
        <v>72.31</v>
      </c>
      <c r="BT3" s="46">
        <f t="shared" ref="BT3:BT50" si="27">ROUND(BK3*100/AJ3,2)</f>
        <v>69.08</v>
      </c>
      <c r="BU3" s="46">
        <f t="shared" ref="BU3:BU50" si="28">ROUND(BL3*100/AK3,2)</f>
        <v>70.81</v>
      </c>
      <c r="BV3" s="46">
        <v>2930</v>
      </c>
      <c r="BW3" s="46">
        <v>2481</v>
      </c>
      <c r="BX3" s="46">
        <f t="shared" ref="BX3:BX50" si="29">BV3+BW3</f>
        <v>5411</v>
      </c>
      <c r="BY3" s="46">
        <v>590</v>
      </c>
      <c r="BZ3" s="46">
        <v>493</v>
      </c>
      <c r="CA3" s="46">
        <f t="shared" ref="CA3:CA11" si="30">BY3+BZ3</f>
        <v>1083</v>
      </c>
      <c r="CB3" s="46">
        <v>158</v>
      </c>
      <c r="CC3" s="46">
        <v>135</v>
      </c>
      <c r="CD3" s="46">
        <f t="shared" ref="CD3:CD50" si="31">CB3+CC3</f>
        <v>293</v>
      </c>
      <c r="CE3" s="46">
        <v>539</v>
      </c>
      <c r="CF3" s="46">
        <v>331</v>
      </c>
      <c r="CG3" s="46">
        <f t="shared" ref="CG3:CG11" si="32">CE3+CF3</f>
        <v>870</v>
      </c>
      <c r="CH3" s="46">
        <v>59</v>
      </c>
      <c r="CI3" s="46">
        <v>34</v>
      </c>
      <c r="CJ3" s="46">
        <f t="shared" ref="CJ3:CJ50" si="33">CH3+CI3</f>
        <v>93</v>
      </c>
      <c r="CK3" s="46">
        <v>8</v>
      </c>
      <c r="CL3" s="46">
        <v>9</v>
      </c>
      <c r="CM3" s="46">
        <f t="shared" ref="CM3:CM50" si="34">CK3+CL3</f>
        <v>17</v>
      </c>
      <c r="CN3" s="46">
        <v>0</v>
      </c>
      <c r="CO3" s="46">
        <v>0</v>
      </c>
      <c r="CP3" s="46">
        <f t="shared" ref="CP3:CP50" si="35">CN3+CO3</f>
        <v>0</v>
      </c>
      <c r="CQ3" s="46">
        <v>0</v>
      </c>
      <c r="CR3" s="46">
        <v>0</v>
      </c>
      <c r="CS3" s="46">
        <f t="shared" ref="CS3:CS50" si="36">CQ3+CR3</f>
        <v>0</v>
      </c>
      <c r="CT3" s="46">
        <v>0</v>
      </c>
      <c r="CU3" s="46">
        <v>0</v>
      </c>
      <c r="CV3" s="46">
        <f t="shared" ref="CV3:CV50" si="37">CT3+CU3</f>
        <v>0</v>
      </c>
      <c r="CW3" s="46">
        <f t="shared" ref="CW3:CX8" si="38">CE3+CN3</f>
        <v>539</v>
      </c>
      <c r="CX3" s="46">
        <f t="shared" si="38"/>
        <v>331</v>
      </c>
      <c r="CY3" s="46">
        <f t="shared" ref="CY3:CY50" si="39">CW3+CX3</f>
        <v>870</v>
      </c>
      <c r="CZ3" s="46">
        <f t="shared" ref="CZ3:DA8" si="40">CH3+CQ3</f>
        <v>59</v>
      </c>
      <c r="DA3" s="46">
        <f t="shared" si="40"/>
        <v>34</v>
      </c>
      <c r="DB3" s="46">
        <f t="shared" ref="DB3:DB50" si="41">CZ3+DA3</f>
        <v>93</v>
      </c>
      <c r="DC3" s="46">
        <f t="shared" ref="DC3:DD8" si="42">CK3+CT3</f>
        <v>8</v>
      </c>
      <c r="DD3" s="46">
        <f t="shared" si="42"/>
        <v>9</v>
      </c>
      <c r="DE3" s="46">
        <f t="shared" ref="DE3:DE50" si="43">DC3+DD3</f>
        <v>17</v>
      </c>
      <c r="DF3" s="46">
        <f t="shared" ref="DF3:DF50" si="44">ROUND(CW3*100/BV3,2)</f>
        <v>18.399999999999999</v>
      </c>
      <c r="DG3" s="46">
        <f t="shared" ref="DG3:DG50" si="45">ROUND(CX3*100/BW3,2)</f>
        <v>13.34</v>
      </c>
      <c r="DH3" s="46">
        <f t="shared" ref="DH3:DH50" si="46">ROUND(CY3*100/BX3,2)</f>
        <v>16.079999999999998</v>
      </c>
      <c r="DI3" s="46">
        <f t="shared" ref="DI3:DI50" si="47">ROUND(CZ3*100/BY3,2)</f>
        <v>10</v>
      </c>
      <c r="DJ3" s="46">
        <f t="shared" ref="DJ3:DJ50" si="48">ROUND(DA3*100/BZ3,2)</f>
        <v>6.9</v>
      </c>
      <c r="DK3" s="46">
        <f t="shared" ref="DK3:DK50" si="49">ROUND(DB3*100/CA3,2)</f>
        <v>8.59</v>
      </c>
      <c r="DL3" s="46">
        <f t="shared" ref="DL3:DL50" si="50">ROUND(DC3*100/CB3,2)</f>
        <v>5.0599999999999996</v>
      </c>
      <c r="DM3" s="46">
        <f t="shared" ref="DM3:DM50" si="51">ROUND(DD3*100/CC3,2)</f>
        <v>6.67</v>
      </c>
      <c r="DN3" s="46">
        <f t="shared" ref="DN3:DN50" si="52">ROUND(DE3*100/CD3,2)</f>
        <v>5.8</v>
      </c>
      <c r="DO3" s="46">
        <v>176070</v>
      </c>
      <c r="DP3" s="46">
        <v>134498</v>
      </c>
      <c r="DQ3" s="46">
        <f t="shared" ref="DQ3:DQ27" si="53">DO3+DP3</f>
        <v>310568</v>
      </c>
      <c r="DR3" s="46">
        <v>25724</v>
      </c>
      <c r="DS3" s="46">
        <v>17687</v>
      </c>
      <c r="DT3" s="46">
        <f t="shared" ref="DT3:DT27" si="54">DR3+DS3</f>
        <v>43411</v>
      </c>
      <c r="DU3" s="46">
        <v>13960</v>
      </c>
      <c r="DV3" s="46">
        <v>9206</v>
      </c>
      <c r="DW3" s="46">
        <f t="shared" ref="DW3:DW27" si="55">DU3+DV3</f>
        <v>23166</v>
      </c>
      <c r="DX3" s="46">
        <v>429055</v>
      </c>
      <c r="DY3" s="46">
        <v>319223</v>
      </c>
      <c r="DZ3" s="46">
        <f t="shared" ref="DZ3:DZ27" si="56">DX3+DY3</f>
        <v>748278</v>
      </c>
      <c r="EA3" s="46">
        <v>86920</v>
      </c>
      <c r="EB3" s="46">
        <v>67160</v>
      </c>
      <c r="EC3" s="46">
        <f t="shared" ref="EC3:EC27" si="57">EA3+EB3</f>
        <v>154080</v>
      </c>
      <c r="ED3" s="46">
        <v>63129</v>
      </c>
      <c r="EE3" s="46">
        <v>57447</v>
      </c>
      <c r="EF3" s="46">
        <f t="shared" ref="EF3:EF27" si="58">ED3+EE3</f>
        <v>120576</v>
      </c>
      <c r="EG3" s="46">
        <f t="shared" ref="EG3:EG50" si="59">O3-AE3-BX3</f>
        <v>-18118</v>
      </c>
      <c r="EH3" s="46">
        <f t="shared" ref="EH3:EH50" si="60">S3-BF3-CY3</f>
        <v>13066</v>
      </c>
      <c r="EI3" s="46">
        <f t="shared" ref="EI3:EI28" si="61">DQ3+DZ3-CY3-BF3</f>
        <v>211783</v>
      </c>
      <c r="EJ3" s="46">
        <f t="shared" ref="EJ3:EJ50" si="62">DT3+EC3-DB3-BI3</f>
        <v>47092</v>
      </c>
      <c r="EK3" s="46">
        <f t="shared" ref="EK3:EK50" si="63">DW3+EF3-DE3-BL3</f>
        <v>41040</v>
      </c>
      <c r="EL3" s="3"/>
    </row>
    <row r="4" spans="1:142" s="34" customFormat="1" ht="34.5" customHeight="1">
      <c r="A4" s="51">
        <v>20</v>
      </c>
      <c r="B4" s="43" t="s">
        <v>88</v>
      </c>
      <c r="C4" s="48" t="s">
        <v>89</v>
      </c>
      <c r="D4" s="64">
        <v>42798</v>
      </c>
      <c r="E4" s="64">
        <v>42823</v>
      </c>
      <c r="F4" s="64">
        <v>42916</v>
      </c>
      <c r="G4" s="64">
        <v>42921</v>
      </c>
      <c r="H4" s="46">
        <v>8</v>
      </c>
      <c r="I4" s="46">
        <v>0</v>
      </c>
      <c r="J4" s="46">
        <v>0</v>
      </c>
      <c r="K4" s="2">
        <f t="shared" si="0"/>
        <v>8</v>
      </c>
      <c r="L4" s="46">
        <v>1638</v>
      </c>
      <c r="M4" s="46">
        <v>0</v>
      </c>
      <c r="N4" s="46">
        <v>0</v>
      </c>
      <c r="O4" s="2">
        <f t="shared" si="1"/>
        <v>1638</v>
      </c>
      <c r="P4" s="46">
        <v>1588</v>
      </c>
      <c r="Q4" s="46">
        <v>0</v>
      </c>
      <c r="R4" s="46">
        <v>0</v>
      </c>
      <c r="S4" s="2">
        <f t="shared" si="2"/>
        <v>1588</v>
      </c>
      <c r="T4" s="15">
        <f t="shared" si="3"/>
        <v>96.95</v>
      </c>
      <c r="U4" s="46">
        <v>0</v>
      </c>
      <c r="V4" s="46">
        <v>326</v>
      </c>
      <c r="W4" s="46">
        <v>405</v>
      </c>
      <c r="X4" s="46">
        <v>348</v>
      </c>
      <c r="Y4" s="46">
        <v>303</v>
      </c>
      <c r="Z4" s="46">
        <v>204</v>
      </c>
      <c r="AA4" s="46">
        <v>52</v>
      </c>
      <c r="AB4" s="47">
        <f t="shared" si="4"/>
        <v>-1630</v>
      </c>
      <c r="AC4" s="46">
        <v>876</v>
      </c>
      <c r="AD4" s="46">
        <v>762</v>
      </c>
      <c r="AE4" s="46">
        <f t="shared" si="5"/>
        <v>1638</v>
      </c>
      <c r="AF4" s="46">
        <v>10</v>
      </c>
      <c r="AG4" s="46">
        <v>7</v>
      </c>
      <c r="AH4" s="46">
        <f t="shared" si="6"/>
        <v>17</v>
      </c>
      <c r="AI4" s="46">
        <v>0</v>
      </c>
      <c r="AJ4" s="46">
        <v>0</v>
      </c>
      <c r="AK4" s="2">
        <f t="shared" si="7"/>
        <v>0</v>
      </c>
      <c r="AL4" s="46">
        <v>854</v>
      </c>
      <c r="AM4" s="46">
        <v>719</v>
      </c>
      <c r="AN4" s="46">
        <f t="shared" si="8"/>
        <v>1573</v>
      </c>
      <c r="AO4" s="46">
        <v>10</v>
      </c>
      <c r="AP4" s="46">
        <v>7</v>
      </c>
      <c r="AQ4" s="46">
        <f t="shared" si="9"/>
        <v>17</v>
      </c>
      <c r="AR4" s="46">
        <v>0</v>
      </c>
      <c r="AS4" s="46">
        <v>0</v>
      </c>
      <c r="AT4" s="46">
        <f t="shared" si="10"/>
        <v>0</v>
      </c>
      <c r="AU4" s="46">
        <v>8</v>
      </c>
      <c r="AV4" s="46">
        <v>7</v>
      </c>
      <c r="AW4" s="46">
        <f t="shared" si="11"/>
        <v>15</v>
      </c>
      <c r="AX4" s="46">
        <v>0</v>
      </c>
      <c r="AY4" s="46">
        <v>0</v>
      </c>
      <c r="AZ4" s="2">
        <f t="shared" si="12"/>
        <v>0</v>
      </c>
      <c r="BA4" s="46">
        <v>0</v>
      </c>
      <c r="BB4" s="46">
        <v>0</v>
      </c>
      <c r="BC4" s="46">
        <f t="shared" si="13"/>
        <v>0</v>
      </c>
      <c r="BD4" s="46">
        <f t="shared" si="14"/>
        <v>862</v>
      </c>
      <c r="BE4" s="46">
        <f t="shared" si="14"/>
        <v>726</v>
      </c>
      <c r="BF4" s="46">
        <f t="shared" si="15"/>
        <v>1588</v>
      </c>
      <c r="BG4" s="46">
        <f t="shared" si="16"/>
        <v>10</v>
      </c>
      <c r="BH4" s="46">
        <f t="shared" si="16"/>
        <v>7</v>
      </c>
      <c r="BI4" s="46">
        <f t="shared" si="17"/>
        <v>17</v>
      </c>
      <c r="BJ4" s="46">
        <f t="shared" si="18"/>
        <v>0</v>
      </c>
      <c r="BK4" s="46">
        <f t="shared" si="18"/>
        <v>0</v>
      </c>
      <c r="BL4" s="46">
        <f t="shared" si="19"/>
        <v>0</v>
      </c>
      <c r="BM4" s="46">
        <f t="shared" si="20"/>
        <v>98.4</v>
      </c>
      <c r="BN4" s="46">
        <f t="shared" si="21"/>
        <v>95.28</v>
      </c>
      <c r="BO4" s="46">
        <f t="shared" si="22"/>
        <v>96.95</v>
      </c>
      <c r="BP4" s="46">
        <f t="shared" si="23"/>
        <v>100</v>
      </c>
      <c r="BQ4" s="46">
        <f t="shared" si="24"/>
        <v>100</v>
      </c>
      <c r="BR4" s="46">
        <f t="shared" si="25"/>
        <v>100</v>
      </c>
      <c r="BS4" s="46" t="e">
        <f t="shared" si="26"/>
        <v>#DIV/0!</v>
      </c>
      <c r="BT4" s="46" t="e">
        <f t="shared" si="27"/>
        <v>#DIV/0!</v>
      </c>
      <c r="BU4" s="46" t="e">
        <f t="shared" si="28"/>
        <v>#DIV/0!</v>
      </c>
      <c r="BV4" s="46">
        <v>0</v>
      </c>
      <c r="BW4" s="46">
        <v>400</v>
      </c>
      <c r="BX4" s="46">
        <f t="shared" si="29"/>
        <v>400</v>
      </c>
      <c r="BY4" s="46">
        <v>0</v>
      </c>
      <c r="BZ4" s="46">
        <v>0</v>
      </c>
      <c r="CA4" s="2">
        <f t="shared" si="30"/>
        <v>0</v>
      </c>
      <c r="CB4" s="46">
        <v>0</v>
      </c>
      <c r="CC4" s="46">
        <v>0</v>
      </c>
      <c r="CD4" s="2">
        <f t="shared" si="31"/>
        <v>0</v>
      </c>
      <c r="CE4" s="46">
        <v>0</v>
      </c>
      <c r="CF4" s="46">
        <v>150</v>
      </c>
      <c r="CG4" s="46">
        <f t="shared" si="32"/>
        <v>150</v>
      </c>
      <c r="CH4" s="46">
        <v>0</v>
      </c>
      <c r="CI4" s="46">
        <v>0</v>
      </c>
      <c r="CJ4" s="2">
        <f t="shared" si="33"/>
        <v>0</v>
      </c>
      <c r="CK4" s="46">
        <v>0</v>
      </c>
      <c r="CL4" s="46">
        <v>0</v>
      </c>
      <c r="CM4" s="2">
        <f t="shared" si="34"/>
        <v>0</v>
      </c>
      <c r="CN4" s="46">
        <v>0</v>
      </c>
      <c r="CO4" s="46">
        <f>250+74</f>
        <v>324</v>
      </c>
      <c r="CP4" s="2">
        <f t="shared" si="35"/>
        <v>324</v>
      </c>
      <c r="CQ4" s="46">
        <v>0</v>
      </c>
      <c r="CR4" s="46">
        <v>0</v>
      </c>
      <c r="CS4" s="2">
        <f t="shared" si="36"/>
        <v>0</v>
      </c>
      <c r="CT4" s="46">
        <v>0</v>
      </c>
      <c r="CU4" s="46">
        <v>0</v>
      </c>
      <c r="CV4" s="2">
        <f t="shared" si="37"/>
        <v>0</v>
      </c>
      <c r="CW4" s="46">
        <f t="shared" si="38"/>
        <v>0</v>
      </c>
      <c r="CX4" s="46">
        <f t="shared" si="38"/>
        <v>474</v>
      </c>
      <c r="CY4" s="46">
        <f t="shared" si="39"/>
        <v>474</v>
      </c>
      <c r="CZ4" s="28">
        <f t="shared" si="40"/>
        <v>0</v>
      </c>
      <c r="DA4" s="28">
        <f t="shared" si="40"/>
        <v>0</v>
      </c>
      <c r="DB4" s="2">
        <f t="shared" si="41"/>
        <v>0</v>
      </c>
      <c r="DC4" s="28">
        <f t="shared" si="42"/>
        <v>0</v>
      </c>
      <c r="DD4" s="28">
        <f t="shared" si="42"/>
        <v>0</v>
      </c>
      <c r="DE4" s="2">
        <f t="shared" si="43"/>
        <v>0</v>
      </c>
      <c r="DF4" s="46" t="e">
        <f t="shared" si="44"/>
        <v>#DIV/0!</v>
      </c>
      <c r="DG4" s="46">
        <f t="shared" si="45"/>
        <v>118.5</v>
      </c>
      <c r="DH4" s="46">
        <f t="shared" si="46"/>
        <v>118.5</v>
      </c>
      <c r="DI4" s="28" t="e">
        <f t="shared" si="47"/>
        <v>#DIV/0!</v>
      </c>
      <c r="DJ4" s="28" t="e">
        <f t="shared" si="48"/>
        <v>#DIV/0!</v>
      </c>
      <c r="DK4" s="28" t="e">
        <f t="shared" si="49"/>
        <v>#DIV/0!</v>
      </c>
      <c r="DL4" s="28" t="e">
        <f t="shared" si="50"/>
        <v>#DIV/0!</v>
      </c>
      <c r="DM4" s="28" t="e">
        <f t="shared" si="51"/>
        <v>#DIV/0!</v>
      </c>
      <c r="DN4" s="28" t="e">
        <f t="shared" si="52"/>
        <v>#DIV/0!</v>
      </c>
      <c r="DO4" s="46">
        <v>853</v>
      </c>
      <c r="DP4" s="46">
        <v>733</v>
      </c>
      <c r="DQ4" s="46">
        <f t="shared" si="53"/>
        <v>1586</v>
      </c>
      <c r="DR4" s="46">
        <v>10</v>
      </c>
      <c r="DS4" s="46">
        <v>7</v>
      </c>
      <c r="DT4" s="46">
        <f t="shared" si="54"/>
        <v>17</v>
      </c>
      <c r="DU4" s="46">
        <v>0</v>
      </c>
      <c r="DV4" s="46">
        <v>0</v>
      </c>
      <c r="DW4" s="46">
        <f t="shared" si="55"/>
        <v>0</v>
      </c>
      <c r="DX4" s="46">
        <v>23</v>
      </c>
      <c r="DY4" s="46">
        <v>29</v>
      </c>
      <c r="DZ4" s="2">
        <f t="shared" si="56"/>
        <v>52</v>
      </c>
      <c r="EA4" s="46">
        <v>0</v>
      </c>
      <c r="EB4" s="46">
        <v>0</v>
      </c>
      <c r="EC4" s="2">
        <f t="shared" si="57"/>
        <v>0</v>
      </c>
      <c r="ED4" s="46">
        <v>0</v>
      </c>
      <c r="EE4" s="46">
        <v>0</v>
      </c>
      <c r="EF4" s="2">
        <f t="shared" si="58"/>
        <v>0</v>
      </c>
      <c r="EG4" s="46">
        <f t="shared" si="59"/>
        <v>-400</v>
      </c>
      <c r="EH4" s="46">
        <f t="shared" si="60"/>
        <v>-474</v>
      </c>
      <c r="EI4" s="46">
        <f t="shared" si="61"/>
        <v>-424</v>
      </c>
      <c r="EJ4" s="46">
        <f t="shared" si="62"/>
        <v>0</v>
      </c>
      <c r="EK4" s="46">
        <f t="shared" si="63"/>
        <v>0</v>
      </c>
      <c r="EL4" s="3"/>
    </row>
    <row r="5" spans="1:142" s="34" customFormat="1" ht="40.5" customHeight="1">
      <c r="A5" s="51">
        <v>29</v>
      </c>
      <c r="B5" s="68" t="s">
        <v>108</v>
      </c>
      <c r="C5" s="48" t="s">
        <v>105</v>
      </c>
      <c r="D5" s="64">
        <v>42811</v>
      </c>
      <c r="E5" s="64">
        <v>42739</v>
      </c>
      <c r="F5" s="64">
        <v>42900</v>
      </c>
      <c r="G5" s="64">
        <v>42914</v>
      </c>
      <c r="H5" s="46">
        <v>5991</v>
      </c>
      <c r="I5" s="46">
        <v>416</v>
      </c>
      <c r="J5" s="46">
        <v>4736</v>
      </c>
      <c r="K5" s="46">
        <f t="shared" si="0"/>
        <v>11143</v>
      </c>
      <c r="L5" s="46">
        <v>356314</v>
      </c>
      <c r="M5" s="46">
        <v>21689</v>
      </c>
      <c r="N5" s="46">
        <v>231499</v>
      </c>
      <c r="O5" s="46">
        <f t="shared" si="1"/>
        <v>609502</v>
      </c>
      <c r="P5" s="46">
        <v>316337</v>
      </c>
      <c r="Q5" s="46">
        <v>18763</v>
      </c>
      <c r="R5" s="46">
        <v>225153</v>
      </c>
      <c r="S5" s="46">
        <f t="shared" si="2"/>
        <v>560253</v>
      </c>
      <c r="T5" s="46">
        <f t="shared" si="3"/>
        <v>91.92</v>
      </c>
      <c r="U5" s="46">
        <v>4102</v>
      </c>
      <c r="V5" s="46">
        <v>8188</v>
      </c>
      <c r="W5" s="46">
        <v>1555</v>
      </c>
      <c r="X5" s="46">
        <v>686</v>
      </c>
      <c r="Y5" s="46">
        <v>370</v>
      </c>
      <c r="Z5" s="46">
        <v>251</v>
      </c>
      <c r="AA5" s="46">
        <v>268</v>
      </c>
      <c r="AB5" s="47">
        <f t="shared" si="4"/>
        <v>-4277</v>
      </c>
      <c r="AC5" s="46">
        <v>314471</v>
      </c>
      <c r="AD5" s="46">
        <v>295031</v>
      </c>
      <c r="AE5" s="46">
        <f t="shared" si="5"/>
        <v>609502</v>
      </c>
      <c r="AF5" s="46">
        <v>58595</v>
      </c>
      <c r="AG5" s="46">
        <v>57980</v>
      </c>
      <c r="AH5" s="46">
        <f t="shared" si="6"/>
        <v>116575</v>
      </c>
      <c r="AI5" s="46">
        <v>14898</v>
      </c>
      <c r="AJ5" s="46">
        <v>14787</v>
      </c>
      <c r="AK5" s="46">
        <f t="shared" si="7"/>
        <v>29685</v>
      </c>
      <c r="AL5" s="46">
        <v>288909</v>
      </c>
      <c r="AM5" s="46">
        <v>271344</v>
      </c>
      <c r="AN5" s="46">
        <f t="shared" si="8"/>
        <v>560253</v>
      </c>
      <c r="AO5" s="46">
        <v>51610</v>
      </c>
      <c r="AP5" s="46">
        <v>51191</v>
      </c>
      <c r="AQ5" s="46">
        <f t="shared" si="9"/>
        <v>102801</v>
      </c>
      <c r="AR5" s="46">
        <v>12543</v>
      </c>
      <c r="AS5" s="46">
        <v>12328</v>
      </c>
      <c r="AT5" s="46">
        <f t="shared" si="10"/>
        <v>24871</v>
      </c>
      <c r="AU5" s="46">
        <v>0</v>
      </c>
      <c r="AV5" s="46">
        <v>0</v>
      </c>
      <c r="AW5" s="46">
        <f t="shared" si="11"/>
        <v>0</v>
      </c>
      <c r="AX5" s="46">
        <v>0</v>
      </c>
      <c r="AY5" s="46">
        <v>0</v>
      </c>
      <c r="AZ5" s="46">
        <f t="shared" si="12"/>
        <v>0</v>
      </c>
      <c r="BA5" s="46">
        <v>0</v>
      </c>
      <c r="BB5" s="46">
        <v>0</v>
      </c>
      <c r="BC5" s="46">
        <f t="shared" si="13"/>
        <v>0</v>
      </c>
      <c r="BD5" s="46">
        <f t="shared" si="14"/>
        <v>288909</v>
      </c>
      <c r="BE5" s="46">
        <f t="shared" si="14"/>
        <v>271344</v>
      </c>
      <c r="BF5" s="46">
        <f t="shared" si="15"/>
        <v>560253</v>
      </c>
      <c r="BG5" s="46">
        <f t="shared" si="16"/>
        <v>51610</v>
      </c>
      <c r="BH5" s="46">
        <f t="shared" si="16"/>
        <v>51191</v>
      </c>
      <c r="BI5" s="46">
        <f t="shared" si="17"/>
        <v>102801</v>
      </c>
      <c r="BJ5" s="46">
        <f t="shared" si="18"/>
        <v>12543</v>
      </c>
      <c r="BK5" s="46">
        <f t="shared" si="18"/>
        <v>12328</v>
      </c>
      <c r="BL5" s="46">
        <f t="shared" si="19"/>
        <v>24871</v>
      </c>
      <c r="BM5" s="46">
        <f t="shared" si="20"/>
        <v>91.87</v>
      </c>
      <c r="BN5" s="46">
        <f t="shared" si="21"/>
        <v>91.97</v>
      </c>
      <c r="BO5" s="46">
        <f t="shared" si="22"/>
        <v>91.92</v>
      </c>
      <c r="BP5" s="46">
        <f t="shared" si="23"/>
        <v>88.08</v>
      </c>
      <c r="BQ5" s="46">
        <f t="shared" si="24"/>
        <v>88.29</v>
      </c>
      <c r="BR5" s="46">
        <f t="shared" si="25"/>
        <v>88.18</v>
      </c>
      <c r="BS5" s="46">
        <f t="shared" si="26"/>
        <v>84.19</v>
      </c>
      <c r="BT5" s="46">
        <f t="shared" si="27"/>
        <v>83.37</v>
      </c>
      <c r="BU5" s="46">
        <f t="shared" si="28"/>
        <v>83.78</v>
      </c>
      <c r="BV5" s="46">
        <v>8340</v>
      </c>
      <c r="BW5" s="46">
        <v>4696</v>
      </c>
      <c r="BX5" s="46">
        <f t="shared" si="29"/>
        <v>13036</v>
      </c>
      <c r="BY5" s="46">
        <v>2425</v>
      </c>
      <c r="BZ5" s="46">
        <v>1517</v>
      </c>
      <c r="CA5" s="46">
        <f t="shared" si="30"/>
        <v>3942</v>
      </c>
      <c r="CB5" s="46">
        <v>441</v>
      </c>
      <c r="CC5" s="46">
        <v>336</v>
      </c>
      <c r="CD5" s="46">
        <f t="shared" si="31"/>
        <v>777</v>
      </c>
      <c r="CE5" s="46">
        <v>5095</v>
      </c>
      <c r="CF5" s="46">
        <v>3167</v>
      </c>
      <c r="CG5" s="46">
        <f t="shared" si="32"/>
        <v>8262</v>
      </c>
      <c r="CH5" s="46">
        <v>1379</v>
      </c>
      <c r="CI5" s="46">
        <v>964</v>
      </c>
      <c r="CJ5" s="46">
        <f t="shared" si="33"/>
        <v>2343</v>
      </c>
      <c r="CK5" s="46">
        <v>256</v>
      </c>
      <c r="CL5" s="46">
        <v>209</v>
      </c>
      <c r="CM5" s="46">
        <f t="shared" si="34"/>
        <v>465</v>
      </c>
      <c r="CN5" s="46">
        <v>0</v>
      </c>
      <c r="CO5" s="46">
        <v>0</v>
      </c>
      <c r="CP5" s="46">
        <f t="shared" si="35"/>
        <v>0</v>
      </c>
      <c r="CQ5" s="46">
        <v>0</v>
      </c>
      <c r="CR5" s="46">
        <v>0</v>
      </c>
      <c r="CS5" s="46">
        <f t="shared" si="36"/>
        <v>0</v>
      </c>
      <c r="CT5" s="46">
        <v>0</v>
      </c>
      <c r="CU5" s="46">
        <v>0</v>
      </c>
      <c r="CV5" s="46">
        <f t="shared" si="37"/>
        <v>0</v>
      </c>
      <c r="CW5" s="46">
        <f t="shared" si="38"/>
        <v>5095</v>
      </c>
      <c r="CX5" s="46">
        <f t="shared" si="38"/>
        <v>3167</v>
      </c>
      <c r="CY5" s="46">
        <f t="shared" si="39"/>
        <v>8262</v>
      </c>
      <c r="CZ5" s="28">
        <f t="shared" si="40"/>
        <v>1379</v>
      </c>
      <c r="DA5" s="28">
        <f t="shared" si="40"/>
        <v>964</v>
      </c>
      <c r="DB5" s="2">
        <f t="shared" si="41"/>
        <v>2343</v>
      </c>
      <c r="DC5" s="28">
        <f t="shared" si="42"/>
        <v>256</v>
      </c>
      <c r="DD5" s="28">
        <f t="shared" si="42"/>
        <v>209</v>
      </c>
      <c r="DE5" s="2">
        <f t="shared" si="43"/>
        <v>465</v>
      </c>
      <c r="DF5" s="46">
        <f t="shared" si="44"/>
        <v>61.09</v>
      </c>
      <c r="DG5" s="46">
        <f t="shared" si="45"/>
        <v>67.44</v>
      </c>
      <c r="DH5" s="46">
        <f t="shared" si="46"/>
        <v>63.38</v>
      </c>
      <c r="DI5" s="46">
        <f t="shared" si="47"/>
        <v>56.87</v>
      </c>
      <c r="DJ5" s="46">
        <f t="shared" si="48"/>
        <v>63.55</v>
      </c>
      <c r="DK5" s="46">
        <f t="shared" si="49"/>
        <v>59.44</v>
      </c>
      <c r="DL5" s="46">
        <f t="shared" si="50"/>
        <v>58.05</v>
      </c>
      <c r="DM5" s="46">
        <f t="shared" si="51"/>
        <v>62.2</v>
      </c>
      <c r="DN5" s="46">
        <f t="shared" si="52"/>
        <v>59.85</v>
      </c>
      <c r="DO5" s="46">
        <v>0</v>
      </c>
      <c r="DP5" s="46">
        <v>0</v>
      </c>
      <c r="DQ5" s="46">
        <f t="shared" si="53"/>
        <v>0</v>
      </c>
      <c r="DR5" s="46">
        <v>0</v>
      </c>
      <c r="DS5" s="46">
        <v>0</v>
      </c>
      <c r="DT5" s="46">
        <f t="shared" si="54"/>
        <v>0</v>
      </c>
      <c r="DU5" s="46">
        <v>0</v>
      </c>
      <c r="DV5" s="46">
        <v>0</v>
      </c>
      <c r="DW5" s="46">
        <f t="shared" si="55"/>
        <v>0</v>
      </c>
      <c r="DX5" s="46">
        <v>0</v>
      </c>
      <c r="DY5" s="46">
        <v>0</v>
      </c>
      <c r="DZ5" s="46">
        <f t="shared" si="56"/>
        <v>0</v>
      </c>
      <c r="EA5" s="46">
        <v>0</v>
      </c>
      <c r="EB5" s="46">
        <v>0</v>
      </c>
      <c r="EC5" s="46">
        <f t="shared" si="57"/>
        <v>0</v>
      </c>
      <c r="ED5" s="46">
        <v>0</v>
      </c>
      <c r="EE5" s="46">
        <v>0</v>
      </c>
      <c r="EF5" s="46">
        <f t="shared" si="58"/>
        <v>0</v>
      </c>
      <c r="EG5" s="46">
        <f t="shared" si="59"/>
        <v>-13036</v>
      </c>
      <c r="EH5" s="46">
        <f t="shared" si="60"/>
        <v>-8262</v>
      </c>
      <c r="EI5" s="46">
        <f t="shared" si="61"/>
        <v>-568515</v>
      </c>
      <c r="EJ5" s="46">
        <f t="shared" si="62"/>
        <v>-105144</v>
      </c>
      <c r="EK5" s="46">
        <f t="shared" si="63"/>
        <v>-25336</v>
      </c>
      <c r="EL5" s="3"/>
    </row>
    <row r="6" spans="1:142" s="34" customFormat="1" ht="30">
      <c r="A6" s="51">
        <v>37</v>
      </c>
      <c r="B6" s="43" t="s">
        <v>120</v>
      </c>
      <c r="C6" s="48" t="s">
        <v>119</v>
      </c>
      <c r="D6" s="64">
        <v>42783</v>
      </c>
      <c r="E6" s="69" t="s">
        <v>118</v>
      </c>
      <c r="F6" s="64">
        <v>42943</v>
      </c>
      <c r="G6" s="64">
        <v>42947</v>
      </c>
      <c r="H6" s="46">
        <v>4067</v>
      </c>
      <c r="I6" s="46">
        <v>0</v>
      </c>
      <c r="J6" s="46">
        <v>2531</v>
      </c>
      <c r="K6" s="46">
        <f t="shared" si="0"/>
        <v>6598</v>
      </c>
      <c r="L6" s="46">
        <v>283943</v>
      </c>
      <c r="M6" s="46">
        <v>0</v>
      </c>
      <c r="N6" s="46">
        <v>98813</v>
      </c>
      <c r="O6" s="46">
        <f t="shared" si="1"/>
        <v>382756</v>
      </c>
      <c r="P6" s="46">
        <v>133688</v>
      </c>
      <c r="Q6" s="46">
        <v>0</v>
      </c>
      <c r="R6" s="46">
        <v>50255</v>
      </c>
      <c r="S6" s="46">
        <f t="shared" si="2"/>
        <v>183943</v>
      </c>
      <c r="T6" s="46">
        <f t="shared" si="3"/>
        <v>48.06</v>
      </c>
      <c r="U6" s="46">
        <v>214</v>
      </c>
      <c r="V6" s="46">
        <v>401</v>
      </c>
      <c r="W6" s="46">
        <v>429</v>
      </c>
      <c r="X6" s="46">
        <v>510</v>
      </c>
      <c r="Y6" s="46">
        <v>669</v>
      </c>
      <c r="Z6" s="46">
        <v>846</v>
      </c>
      <c r="AA6" s="46">
        <v>3565</v>
      </c>
      <c r="AB6" s="47">
        <f t="shared" si="4"/>
        <v>-36</v>
      </c>
      <c r="AC6" s="46">
        <v>188722</v>
      </c>
      <c r="AD6" s="46">
        <v>194034</v>
      </c>
      <c r="AE6" s="46">
        <f t="shared" si="5"/>
        <v>382756</v>
      </c>
      <c r="AF6" s="46">
        <v>17883</v>
      </c>
      <c r="AG6" s="46">
        <v>18381</v>
      </c>
      <c r="AH6" s="46">
        <f t="shared" si="6"/>
        <v>36264</v>
      </c>
      <c r="AI6" s="46">
        <v>37511</v>
      </c>
      <c r="AJ6" s="46">
        <v>37893</v>
      </c>
      <c r="AK6" s="46">
        <f t="shared" si="7"/>
        <v>75404</v>
      </c>
      <c r="AL6" s="46">
        <v>93470</v>
      </c>
      <c r="AM6" s="46">
        <v>90464</v>
      </c>
      <c r="AN6" s="46">
        <f t="shared" si="8"/>
        <v>183934</v>
      </c>
      <c r="AO6" s="46">
        <v>7656</v>
      </c>
      <c r="AP6" s="46">
        <v>7191</v>
      </c>
      <c r="AQ6" s="46">
        <f t="shared" si="9"/>
        <v>14847</v>
      </c>
      <c r="AR6" s="46">
        <v>15255</v>
      </c>
      <c r="AS6" s="46">
        <v>14072</v>
      </c>
      <c r="AT6" s="46">
        <f t="shared" si="10"/>
        <v>29327</v>
      </c>
      <c r="AU6" s="46">
        <v>17722</v>
      </c>
      <c r="AV6" s="46">
        <v>16531</v>
      </c>
      <c r="AW6" s="46">
        <f t="shared" si="11"/>
        <v>34253</v>
      </c>
      <c r="AX6" s="46">
        <v>1889</v>
      </c>
      <c r="AY6" s="46">
        <v>1770</v>
      </c>
      <c r="AZ6" s="46">
        <f t="shared" si="12"/>
        <v>3659</v>
      </c>
      <c r="BA6" s="46">
        <v>4510</v>
      </c>
      <c r="BB6" s="46">
        <v>3957</v>
      </c>
      <c r="BC6" s="46">
        <f t="shared" si="13"/>
        <v>8467</v>
      </c>
      <c r="BD6" s="46">
        <f t="shared" si="14"/>
        <v>111192</v>
      </c>
      <c r="BE6" s="46">
        <f t="shared" si="14"/>
        <v>106995</v>
      </c>
      <c r="BF6" s="46">
        <f t="shared" si="15"/>
        <v>218187</v>
      </c>
      <c r="BG6" s="46">
        <f t="shared" si="16"/>
        <v>9545</v>
      </c>
      <c r="BH6" s="46">
        <f t="shared" si="16"/>
        <v>8961</v>
      </c>
      <c r="BI6" s="46">
        <f t="shared" si="17"/>
        <v>18506</v>
      </c>
      <c r="BJ6" s="46">
        <f t="shared" si="18"/>
        <v>19765</v>
      </c>
      <c r="BK6" s="46">
        <f t="shared" si="18"/>
        <v>18029</v>
      </c>
      <c r="BL6" s="46">
        <f t="shared" si="19"/>
        <v>37794</v>
      </c>
      <c r="BM6" s="46">
        <f t="shared" si="20"/>
        <v>58.92</v>
      </c>
      <c r="BN6" s="46">
        <f t="shared" si="21"/>
        <v>55.14</v>
      </c>
      <c r="BO6" s="46">
        <f t="shared" si="22"/>
        <v>57</v>
      </c>
      <c r="BP6" s="46">
        <f t="shared" si="23"/>
        <v>53.37</v>
      </c>
      <c r="BQ6" s="46">
        <f t="shared" si="24"/>
        <v>48.75</v>
      </c>
      <c r="BR6" s="46">
        <f t="shared" si="25"/>
        <v>51.03</v>
      </c>
      <c r="BS6" s="46">
        <f t="shared" si="26"/>
        <v>52.69</v>
      </c>
      <c r="BT6" s="46">
        <f t="shared" si="27"/>
        <v>47.58</v>
      </c>
      <c r="BU6" s="46">
        <f t="shared" si="28"/>
        <v>50.12</v>
      </c>
      <c r="BV6" s="46">
        <v>0</v>
      </c>
      <c r="BW6" s="46">
        <v>0</v>
      </c>
      <c r="BX6" s="46">
        <f t="shared" si="29"/>
        <v>0</v>
      </c>
      <c r="BY6" s="46">
        <v>0</v>
      </c>
      <c r="BZ6" s="46">
        <v>0</v>
      </c>
      <c r="CA6" s="46">
        <f t="shared" si="30"/>
        <v>0</v>
      </c>
      <c r="CB6" s="46">
        <v>0</v>
      </c>
      <c r="CC6" s="46">
        <v>0</v>
      </c>
      <c r="CD6" s="46">
        <f t="shared" si="31"/>
        <v>0</v>
      </c>
      <c r="CE6" s="46">
        <v>0</v>
      </c>
      <c r="CF6" s="46">
        <v>0</v>
      </c>
      <c r="CG6" s="46">
        <f t="shared" si="32"/>
        <v>0</v>
      </c>
      <c r="CH6" s="46">
        <v>0</v>
      </c>
      <c r="CI6" s="46">
        <v>0</v>
      </c>
      <c r="CJ6" s="46">
        <f t="shared" si="33"/>
        <v>0</v>
      </c>
      <c r="CK6" s="46">
        <v>0</v>
      </c>
      <c r="CL6" s="46">
        <v>0</v>
      </c>
      <c r="CM6" s="46">
        <f t="shared" si="34"/>
        <v>0</v>
      </c>
      <c r="CN6" s="46">
        <v>0</v>
      </c>
      <c r="CO6" s="46">
        <v>0</v>
      </c>
      <c r="CP6" s="46">
        <f t="shared" si="35"/>
        <v>0</v>
      </c>
      <c r="CQ6" s="46">
        <v>0</v>
      </c>
      <c r="CR6" s="46">
        <v>0</v>
      </c>
      <c r="CS6" s="46">
        <f t="shared" si="36"/>
        <v>0</v>
      </c>
      <c r="CT6" s="46">
        <v>0</v>
      </c>
      <c r="CU6" s="46">
        <v>0</v>
      </c>
      <c r="CV6" s="46">
        <f t="shared" si="37"/>
        <v>0</v>
      </c>
      <c r="CW6" s="46">
        <f t="shared" si="38"/>
        <v>0</v>
      </c>
      <c r="CX6" s="46">
        <f t="shared" si="38"/>
        <v>0</v>
      </c>
      <c r="CY6" s="46">
        <f t="shared" si="39"/>
        <v>0</v>
      </c>
      <c r="CZ6" s="46">
        <f t="shared" si="40"/>
        <v>0</v>
      </c>
      <c r="DA6" s="46">
        <f t="shared" si="40"/>
        <v>0</v>
      </c>
      <c r="DB6" s="46">
        <f t="shared" si="41"/>
        <v>0</v>
      </c>
      <c r="DC6" s="46">
        <f t="shared" si="42"/>
        <v>0</v>
      </c>
      <c r="DD6" s="46">
        <f t="shared" si="42"/>
        <v>0</v>
      </c>
      <c r="DE6" s="46">
        <f t="shared" si="43"/>
        <v>0</v>
      </c>
      <c r="DF6" s="46" t="e">
        <f t="shared" si="44"/>
        <v>#DIV/0!</v>
      </c>
      <c r="DG6" s="46" t="e">
        <f t="shared" si="45"/>
        <v>#DIV/0!</v>
      </c>
      <c r="DH6" s="46" t="e">
        <f t="shared" si="46"/>
        <v>#DIV/0!</v>
      </c>
      <c r="DI6" s="46" t="e">
        <f t="shared" si="47"/>
        <v>#DIV/0!</v>
      </c>
      <c r="DJ6" s="46" t="e">
        <f t="shared" si="48"/>
        <v>#DIV/0!</v>
      </c>
      <c r="DK6" s="46" t="e">
        <f t="shared" si="49"/>
        <v>#DIV/0!</v>
      </c>
      <c r="DL6" s="46" t="e">
        <f t="shared" si="50"/>
        <v>#DIV/0!</v>
      </c>
      <c r="DM6" s="46" t="e">
        <f t="shared" si="51"/>
        <v>#DIV/0!</v>
      </c>
      <c r="DN6" s="46" t="e">
        <f t="shared" si="52"/>
        <v>#DIV/0!</v>
      </c>
      <c r="DO6" s="46">
        <v>25995</v>
      </c>
      <c r="DP6" s="46">
        <v>30514</v>
      </c>
      <c r="DQ6" s="46">
        <f t="shared" si="53"/>
        <v>56509</v>
      </c>
      <c r="DR6" s="46">
        <v>1922</v>
      </c>
      <c r="DS6" s="46">
        <v>1726</v>
      </c>
      <c r="DT6" s="46">
        <f t="shared" si="54"/>
        <v>3648</v>
      </c>
      <c r="DU6" s="46">
        <v>3797</v>
      </c>
      <c r="DV6" s="46">
        <v>3250</v>
      </c>
      <c r="DW6" s="46">
        <f t="shared" si="55"/>
        <v>7047</v>
      </c>
      <c r="DX6" s="46">
        <v>74372</v>
      </c>
      <c r="DY6" s="46">
        <v>87306</v>
      </c>
      <c r="DZ6" s="46">
        <f t="shared" si="56"/>
        <v>161678</v>
      </c>
      <c r="EA6" s="46">
        <v>7624</v>
      </c>
      <c r="EB6" s="46">
        <v>7235</v>
      </c>
      <c r="EC6" s="46">
        <f t="shared" si="57"/>
        <v>14859</v>
      </c>
      <c r="ED6" s="46">
        <v>15968</v>
      </c>
      <c r="EE6" s="46">
        <v>14779</v>
      </c>
      <c r="EF6" s="46">
        <f t="shared" si="58"/>
        <v>30747</v>
      </c>
      <c r="EG6" s="46">
        <f t="shared" si="59"/>
        <v>0</v>
      </c>
      <c r="EH6" s="46">
        <f t="shared" si="60"/>
        <v>-34244</v>
      </c>
      <c r="EI6" s="46">
        <f t="shared" si="61"/>
        <v>0</v>
      </c>
      <c r="EJ6" s="46">
        <f t="shared" si="62"/>
        <v>1</v>
      </c>
      <c r="EK6" s="46">
        <f t="shared" si="63"/>
        <v>0</v>
      </c>
      <c r="EL6" s="3"/>
    </row>
    <row r="7" spans="1:142" s="34" customFormat="1">
      <c r="A7" s="51"/>
      <c r="B7" s="43" t="s">
        <v>86</v>
      </c>
      <c r="C7" s="48" t="s">
        <v>87</v>
      </c>
      <c r="D7" s="64">
        <v>42803</v>
      </c>
      <c r="E7" s="64">
        <v>42835</v>
      </c>
      <c r="F7" s="64">
        <v>42933</v>
      </c>
      <c r="G7" s="64">
        <v>42940</v>
      </c>
      <c r="H7" s="46">
        <v>1821</v>
      </c>
      <c r="I7" s="46">
        <v>228</v>
      </c>
      <c r="J7" s="46">
        <v>12617</v>
      </c>
      <c r="K7" s="2">
        <f t="shared" si="0"/>
        <v>14666</v>
      </c>
      <c r="L7" s="46">
        <v>274381</v>
      </c>
      <c r="M7" s="46">
        <v>18915</v>
      </c>
      <c r="N7" s="46">
        <v>1222290</v>
      </c>
      <c r="O7" s="2">
        <f t="shared" si="1"/>
        <v>1515586</v>
      </c>
      <c r="P7" s="46">
        <v>207681</v>
      </c>
      <c r="Q7" s="46">
        <v>18112</v>
      </c>
      <c r="R7" s="46">
        <v>1211350</v>
      </c>
      <c r="S7" s="2">
        <f t="shared" si="2"/>
        <v>1437143</v>
      </c>
      <c r="T7" s="15">
        <f t="shared" si="3"/>
        <v>94.82</v>
      </c>
      <c r="U7" s="46">
        <v>11413</v>
      </c>
      <c r="V7" s="46">
        <v>3498</v>
      </c>
      <c r="W7" s="46">
        <v>790</v>
      </c>
      <c r="X7" s="46">
        <v>304</v>
      </c>
      <c r="Y7" s="46">
        <v>131</v>
      </c>
      <c r="Z7" s="46">
        <v>67</v>
      </c>
      <c r="AA7" s="46">
        <v>145</v>
      </c>
      <c r="AB7" s="47">
        <f t="shared" si="4"/>
        <v>-1682</v>
      </c>
      <c r="AC7" s="46">
        <v>979745</v>
      </c>
      <c r="AD7" s="46">
        <v>671844</v>
      </c>
      <c r="AE7" s="46">
        <f t="shared" si="5"/>
        <v>1651589</v>
      </c>
      <c r="AF7" s="46">
        <v>78213</v>
      </c>
      <c r="AG7" s="46">
        <v>57214</v>
      </c>
      <c r="AH7" s="46">
        <f t="shared" si="6"/>
        <v>135427</v>
      </c>
      <c r="AI7" s="46">
        <v>31927</v>
      </c>
      <c r="AJ7" s="46">
        <v>26341</v>
      </c>
      <c r="AK7" s="2">
        <f t="shared" si="7"/>
        <v>58268</v>
      </c>
      <c r="AL7" s="46">
        <v>919505</v>
      </c>
      <c r="AM7" s="46">
        <v>624862</v>
      </c>
      <c r="AN7" s="46">
        <f t="shared" si="8"/>
        <v>1544367</v>
      </c>
      <c r="AO7" s="46">
        <v>68926</v>
      </c>
      <c r="AP7" s="46">
        <v>49190</v>
      </c>
      <c r="AQ7" s="46">
        <f t="shared" si="9"/>
        <v>118116</v>
      </c>
      <c r="AR7" s="46">
        <v>28422</v>
      </c>
      <c r="AS7" s="46">
        <v>23057</v>
      </c>
      <c r="AT7" s="46">
        <f t="shared" si="10"/>
        <v>51479</v>
      </c>
      <c r="AU7" s="46">
        <v>16903</v>
      </c>
      <c r="AV7" s="46">
        <v>11943</v>
      </c>
      <c r="AW7" s="46">
        <f t="shared" si="11"/>
        <v>28846</v>
      </c>
      <c r="AX7" s="46">
        <v>1670</v>
      </c>
      <c r="AY7" s="46">
        <v>1592</v>
      </c>
      <c r="AZ7" s="2">
        <f t="shared" si="12"/>
        <v>3262</v>
      </c>
      <c r="BA7" s="46">
        <v>1714</v>
      </c>
      <c r="BB7" s="46">
        <v>1738</v>
      </c>
      <c r="BC7" s="46">
        <f t="shared" si="13"/>
        <v>3452</v>
      </c>
      <c r="BD7" s="46">
        <f t="shared" si="14"/>
        <v>936408</v>
      </c>
      <c r="BE7" s="46">
        <f t="shared" si="14"/>
        <v>636805</v>
      </c>
      <c r="BF7" s="46">
        <f t="shared" si="15"/>
        <v>1573213</v>
      </c>
      <c r="BG7" s="46">
        <f t="shared" si="16"/>
        <v>70596</v>
      </c>
      <c r="BH7" s="46">
        <f t="shared" si="16"/>
        <v>50782</v>
      </c>
      <c r="BI7" s="46">
        <f t="shared" si="17"/>
        <v>121378</v>
      </c>
      <c r="BJ7" s="46">
        <f t="shared" si="18"/>
        <v>30136</v>
      </c>
      <c r="BK7" s="46">
        <f t="shared" si="18"/>
        <v>24795</v>
      </c>
      <c r="BL7" s="46">
        <f t="shared" si="19"/>
        <v>54931</v>
      </c>
      <c r="BM7" s="46">
        <f t="shared" si="20"/>
        <v>95.58</v>
      </c>
      <c r="BN7" s="46">
        <f t="shared" si="21"/>
        <v>94.78</v>
      </c>
      <c r="BO7" s="46">
        <f t="shared" si="22"/>
        <v>95.25</v>
      </c>
      <c r="BP7" s="46">
        <f t="shared" si="23"/>
        <v>90.26</v>
      </c>
      <c r="BQ7" s="46">
        <f t="shared" si="24"/>
        <v>88.76</v>
      </c>
      <c r="BR7" s="46">
        <f t="shared" si="25"/>
        <v>89.63</v>
      </c>
      <c r="BS7" s="46">
        <f t="shared" si="26"/>
        <v>94.39</v>
      </c>
      <c r="BT7" s="46">
        <f t="shared" si="27"/>
        <v>94.13</v>
      </c>
      <c r="BU7" s="46">
        <f t="shared" si="28"/>
        <v>94.27</v>
      </c>
      <c r="BV7" s="46">
        <v>0</v>
      </c>
      <c r="BW7" s="46">
        <v>0</v>
      </c>
      <c r="BX7" s="46">
        <f t="shared" si="29"/>
        <v>0</v>
      </c>
      <c r="BY7" s="46">
        <v>0</v>
      </c>
      <c r="BZ7" s="46">
        <v>0</v>
      </c>
      <c r="CA7" s="2">
        <f t="shared" si="30"/>
        <v>0</v>
      </c>
      <c r="CB7" s="46">
        <v>0</v>
      </c>
      <c r="CC7" s="46">
        <v>0</v>
      </c>
      <c r="CD7" s="2">
        <f t="shared" si="31"/>
        <v>0</v>
      </c>
      <c r="CE7" s="46">
        <v>0</v>
      </c>
      <c r="CF7" s="46">
        <v>0</v>
      </c>
      <c r="CG7" s="46">
        <f t="shared" si="32"/>
        <v>0</v>
      </c>
      <c r="CH7" s="46">
        <v>0</v>
      </c>
      <c r="CI7" s="46">
        <v>0</v>
      </c>
      <c r="CJ7" s="2">
        <f t="shared" si="33"/>
        <v>0</v>
      </c>
      <c r="CK7" s="46">
        <v>0</v>
      </c>
      <c r="CL7" s="46">
        <v>0</v>
      </c>
      <c r="CM7" s="2">
        <f t="shared" si="34"/>
        <v>0</v>
      </c>
      <c r="CN7" s="46">
        <v>0</v>
      </c>
      <c r="CO7" s="46">
        <v>0</v>
      </c>
      <c r="CP7" s="2">
        <f t="shared" si="35"/>
        <v>0</v>
      </c>
      <c r="CQ7" s="46">
        <v>0</v>
      </c>
      <c r="CR7" s="46">
        <v>0</v>
      </c>
      <c r="CS7" s="2">
        <f t="shared" si="36"/>
        <v>0</v>
      </c>
      <c r="CT7" s="46">
        <v>0</v>
      </c>
      <c r="CU7" s="46">
        <v>0</v>
      </c>
      <c r="CV7" s="2">
        <f t="shared" si="37"/>
        <v>0</v>
      </c>
      <c r="CW7" s="46">
        <f t="shared" si="38"/>
        <v>0</v>
      </c>
      <c r="CX7" s="46">
        <f t="shared" si="38"/>
        <v>0</v>
      </c>
      <c r="CY7" s="46">
        <f t="shared" si="39"/>
        <v>0</v>
      </c>
      <c r="CZ7" s="28">
        <f t="shared" si="40"/>
        <v>0</v>
      </c>
      <c r="DA7" s="28">
        <f t="shared" si="40"/>
        <v>0</v>
      </c>
      <c r="DB7" s="2">
        <f t="shared" si="41"/>
        <v>0</v>
      </c>
      <c r="DC7" s="28">
        <f t="shared" si="42"/>
        <v>0</v>
      </c>
      <c r="DD7" s="28">
        <f t="shared" si="42"/>
        <v>0</v>
      </c>
      <c r="DE7" s="2">
        <f t="shared" si="43"/>
        <v>0</v>
      </c>
      <c r="DF7" s="46" t="e">
        <f t="shared" si="44"/>
        <v>#DIV/0!</v>
      </c>
      <c r="DG7" s="46" t="e">
        <f t="shared" si="45"/>
        <v>#DIV/0!</v>
      </c>
      <c r="DH7" s="46" t="e">
        <f t="shared" si="46"/>
        <v>#DIV/0!</v>
      </c>
      <c r="DI7" s="28" t="e">
        <f t="shared" si="47"/>
        <v>#DIV/0!</v>
      </c>
      <c r="DJ7" s="28" t="e">
        <f t="shared" si="48"/>
        <v>#DIV/0!</v>
      </c>
      <c r="DK7" s="28" t="e">
        <f t="shared" si="49"/>
        <v>#DIV/0!</v>
      </c>
      <c r="DL7" s="28" t="e">
        <f t="shared" si="50"/>
        <v>#DIV/0!</v>
      </c>
      <c r="DM7" s="28" t="e">
        <f t="shared" si="51"/>
        <v>#DIV/0!</v>
      </c>
      <c r="DN7" s="28" t="e">
        <f t="shared" si="52"/>
        <v>#DIV/0!</v>
      </c>
      <c r="DO7" s="46">
        <v>0</v>
      </c>
      <c r="DP7" s="46">
        <v>0</v>
      </c>
      <c r="DQ7" s="46">
        <f t="shared" si="53"/>
        <v>0</v>
      </c>
      <c r="DR7" s="46">
        <v>0</v>
      </c>
      <c r="DS7" s="46">
        <v>0</v>
      </c>
      <c r="DT7" s="46">
        <f t="shared" si="54"/>
        <v>0</v>
      </c>
      <c r="DU7" s="46">
        <v>0</v>
      </c>
      <c r="DV7" s="46">
        <v>0</v>
      </c>
      <c r="DW7" s="46">
        <f t="shared" si="55"/>
        <v>0</v>
      </c>
      <c r="DX7" s="46">
        <v>0</v>
      </c>
      <c r="DY7" s="46">
        <v>0</v>
      </c>
      <c r="DZ7" s="2">
        <f t="shared" si="56"/>
        <v>0</v>
      </c>
      <c r="EA7" s="46">
        <v>0</v>
      </c>
      <c r="EB7" s="46">
        <v>0</v>
      </c>
      <c r="EC7" s="2">
        <f t="shared" si="57"/>
        <v>0</v>
      </c>
      <c r="ED7" s="46">
        <v>0</v>
      </c>
      <c r="EE7" s="46">
        <v>0</v>
      </c>
      <c r="EF7" s="2">
        <f t="shared" si="58"/>
        <v>0</v>
      </c>
      <c r="EG7" s="46">
        <f t="shared" si="59"/>
        <v>-136003</v>
      </c>
      <c r="EH7" s="46">
        <f t="shared" si="60"/>
        <v>-136070</v>
      </c>
      <c r="EI7" s="46">
        <f t="shared" si="61"/>
        <v>-1573213</v>
      </c>
      <c r="EJ7" s="46">
        <f t="shared" si="62"/>
        <v>-121378</v>
      </c>
      <c r="EK7" s="46">
        <f t="shared" si="63"/>
        <v>-54931</v>
      </c>
      <c r="EL7" s="3"/>
    </row>
    <row r="8" spans="1:142" s="34" customFormat="1" ht="28.5">
      <c r="A8" s="76">
        <v>3</v>
      </c>
      <c r="B8" s="27" t="s">
        <v>52</v>
      </c>
      <c r="C8" s="27" t="s">
        <v>53</v>
      </c>
      <c r="D8" s="63">
        <v>42838</v>
      </c>
      <c r="E8" s="63">
        <v>42856</v>
      </c>
      <c r="F8" s="62" t="s">
        <v>101</v>
      </c>
      <c r="G8" s="62" t="s">
        <v>101</v>
      </c>
      <c r="H8" s="6">
        <v>0</v>
      </c>
      <c r="I8" s="6">
        <v>0</v>
      </c>
      <c r="J8" s="6">
        <v>0</v>
      </c>
      <c r="K8" s="2">
        <f t="shared" si="0"/>
        <v>0</v>
      </c>
      <c r="L8" s="6">
        <v>0</v>
      </c>
      <c r="M8" s="6">
        <v>0</v>
      </c>
      <c r="N8" s="6">
        <v>0</v>
      </c>
      <c r="O8" s="2">
        <f t="shared" si="1"/>
        <v>0</v>
      </c>
      <c r="P8" s="6">
        <v>0</v>
      </c>
      <c r="Q8" s="6">
        <v>0</v>
      </c>
      <c r="R8" s="6">
        <v>0</v>
      </c>
      <c r="S8" s="2">
        <f t="shared" si="2"/>
        <v>0</v>
      </c>
      <c r="T8" s="15" t="e">
        <f t="shared" si="3"/>
        <v>#DIV/0!</v>
      </c>
      <c r="U8" s="6"/>
      <c r="V8" s="6"/>
      <c r="W8" s="6"/>
      <c r="X8" s="6"/>
      <c r="Y8" s="6"/>
      <c r="Z8" s="6"/>
      <c r="AA8" s="6"/>
      <c r="AB8" s="29">
        <f t="shared" si="4"/>
        <v>0</v>
      </c>
      <c r="AC8" s="30">
        <v>22</v>
      </c>
      <c r="AD8" s="30">
        <v>232</v>
      </c>
      <c r="AE8" s="2">
        <f t="shared" si="5"/>
        <v>254</v>
      </c>
      <c r="AF8" s="31">
        <v>1</v>
      </c>
      <c r="AG8" s="31">
        <v>4</v>
      </c>
      <c r="AH8" s="2">
        <f t="shared" si="6"/>
        <v>5</v>
      </c>
      <c r="AI8" s="31">
        <v>0</v>
      </c>
      <c r="AJ8" s="31">
        <v>9</v>
      </c>
      <c r="AK8" s="2">
        <f t="shared" si="7"/>
        <v>9</v>
      </c>
      <c r="AL8" s="30">
        <v>22</v>
      </c>
      <c r="AM8" s="30">
        <v>230</v>
      </c>
      <c r="AN8" s="2">
        <f t="shared" si="8"/>
        <v>252</v>
      </c>
      <c r="AO8" s="31">
        <v>1</v>
      </c>
      <c r="AP8" s="31">
        <v>4</v>
      </c>
      <c r="AQ8" s="2">
        <f t="shared" si="9"/>
        <v>5</v>
      </c>
      <c r="AR8" s="31">
        <v>0</v>
      </c>
      <c r="AS8" s="31">
        <v>9</v>
      </c>
      <c r="AT8" s="2">
        <f t="shared" si="10"/>
        <v>9</v>
      </c>
      <c r="AU8" s="31">
        <v>0</v>
      </c>
      <c r="AV8" s="31">
        <v>0</v>
      </c>
      <c r="AW8" s="2">
        <f t="shared" si="11"/>
        <v>0</v>
      </c>
      <c r="AX8" s="31">
        <v>0</v>
      </c>
      <c r="AY8" s="31">
        <v>0</v>
      </c>
      <c r="AZ8" s="2">
        <f t="shared" si="12"/>
        <v>0</v>
      </c>
      <c r="BA8" s="31">
        <v>0</v>
      </c>
      <c r="BB8" s="31">
        <v>0</v>
      </c>
      <c r="BC8" s="2">
        <f t="shared" si="13"/>
        <v>0</v>
      </c>
      <c r="BD8" s="28">
        <f t="shared" si="14"/>
        <v>22</v>
      </c>
      <c r="BE8" s="28">
        <f t="shared" si="14"/>
        <v>230</v>
      </c>
      <c r="BF8" s="2">
        <f t="shared" si="15"/>
        <v>252</v>
      </c>
      <c r="BG8" s="28">
        <f t="shared" si="16"/>
        <v>1</v>
      </c>
      <c r="BH8" s="28">
        <f t="shared" si="16"/>
        <v>4</v>
      </c>
      <c r="BI8" s="2">
        <f t="shared" si="17"/>
        <v>5</v>
      </c>
      <c r="BJ8" s="28">
        <f t="shared" si="18"/>
        <v>0</v>
      </c>
      <c r="BK8" s="28">
        <f t="shared" si="18"/>
        <v>9</v>
      </c>
      <c r="BL8" s="2">
        <f t="shared" si="19"/>
        <v>9</v>
      </c>
      <c r="BM8" s="28">
        <f t="shared" si="20"/>
        <v>100</v>
      </c>
      <c r="BN8" s="28">
        <f t="shared" si="21"/>
        <v>99.14</v>
      </c>
      <c r="BO8" s="28">
        <f t="shared" si="22"/>
        <v>99.21</v>
      </c>
      <c r="BP8" s="28">
        <f t="shared" si="23"/>
        <v>100</v>
      </c>
      <c r="BQ8" s="28">
        <f t="shared" si="24"/>
        <v>100</v>
      </c>
      <c r="BR8" s="28">
        <f t="shared" si="25"/>
        <v>100</v>
      </c>
      <c r="BS8" s="28" t="e">
        <f t="shared" si="26"/>
        <v>#DIV/0!</v>
      </c>
      <c r="BT8" s="28">
        <f t="shared" si="27"/>
        <v>100</v>
      </c>
      <c r="BU8" s="28">
        <f t="shared" si="28"/>
        <v>100</v>
      </c>
      <c r="BV8" s="30"/>
      <c r="BW8" s="30"/>
      <c r="BX8" s="2">
        <f t="shared" si="29"/>
        <v>0</v>
      </c>
      <c r="BY8" s="31">
        <v>0</v>
      </c>
      <c r="BZ8" s="31">
        <v>0</v>
      </c>
      <c r="CA8" s="2">
        <f t="shared" si="30"/>
        <v>0</v>
      </c>
      <c r="CB8" s="31">
        <v>0</v>
      </c>
      <c r="CC8" s="31">
        <v>0</v>
      </c>
      <c r="CD8" s="2">
        <f t="shared" si="31"/>
        <v>0</v>
      </c>
      <c r="CE8" s="30">
        <v>0</v>
      </c>
      <c r="CF8" s="30">
        <v>0</v>
      </c>
      <c r="CG8" s="2">
        <f t="shared" si="32"/>
        <v>0</v>
      </c>
      <c r="CH8" s="31">
        <v>0</v>
      </c>
      <c r="CI8" s="31">
        <v>0</v>
      </c>
      <c r="CJ8" s="2">
        <f t="shared" si="33"/>
        <v>0</v>
      </c>
      <c r="CK8" s="31">
        <v>0</v>
      </c>
      <c r="CL8" s="31">
        <v>0</v>
      </c>
      <c r="CM8" s="2">
        <f t="shared" si="34"/>
        <v>0</v>
      </c>
      <c r="CN8" s="31">
        <v>0</v>
      </c>
      <c r="CO8" s="31">
        <v>0</v>
      </c>
      <c r="CP8" s="2">
        <f t="shared" si="35"/>
        <v>0</v>
      </c>
      <c r="CQ8" s="33">
        <v>0</v>
      </c>
      <c r="CR8" s="33">
        <v>0</v>
      </c>
      <c r="CS8" s="2">
        <f t="shared" si="36"/>
        <v>0</v>
      </c>
      <c r="CT8" s="33">
        <v>0</v>
      </c>
      <c r="CU8" s="33">
        <v>0</v>
      </c>
      <c r="CV8" s="2">
        <f t="shared" si="37"/>
        <v>0</v>
      </c>
      <c r="CW8" s="28">
        <f t="shared" si="38"/>
        <v>0</v>
      </c>
      <c r="CX8" s="28">
        <f t="shared" si="38"/>
        <v>0</v>
      </c>
      <c r="CY8" s="2">
        <f t="shared" si="39"/>
        <v>0</v>
      </c>
      <c r="CZ8" s="28">
        <f t="shared" si="40"/>
        <v>0</v>
      </c>
      <c r="DA8" s="28">
        <f t="shared" si="40"/>
        <v>0</v>
      </c>
      <c r="DB8" s="2">
        <f t="shared" si="41"/>
        <v>0</v>
      </c>
      <c r="DC8" s="28">
        <f t="shared" si="42"/>
        <v>0</v>
      </c>
      <c r="DD8" s="28">
        <f t="shared" si="42"/>
        <v>0</v>
      </c>
      <c r="DE8" s="2">
        <f t="shared" si="43"/>
        <v>0</v>
      </c>
      <c r="DF8" s="28" t="e">
        <f t="shared" si="44"/>
        <v>#DIV/0!</v>
      </c>
      <c r="DG8" s="28" t="e">
        <f t="shared" si="45"/>
        <v>#DIV/0!</v>
      </c>
      <c r="DH8" s="28" t="e">
        <f t="shared" si="46"/>
        <v>#DIV/0!</v>
      </c>
      <c r="DI8" s="28" t="e">
        <f t="shared" si="47"/>
        <v>#DIV/0!</v>
      </c>
      <c r="DJ8" s="28" t="e">
        <f t="shared" si="48"/>
        <v>#DIV/0!</v>
      </c>
      <c r="DK8" s="28" t="e">
        <f t="shared" si="49"/>
        <v>#DIV/0!</v>
      </c>
      <c r="DL8" s="28" t="e">
        <f t="shared" si="50"/>
        <v>#DIV/0!</v>
      </c>
      <c r="DM8" s="28" t="e">
        <f t="shared" si="51"/>
        <v>#DIV/0!</v>
      </c>
      <c r="DN8" s="28" t="e">
        <f t="shared" si="52"/>
        <v>#DIV/0!</v>
      </c>
      <c r="DO8" s="32">
        <v>16</v>
      </c>
      <c r="DP8" s="32">
        <v>189</v>
      </c>
      <c r="DQ8" s="2">
        <f t="shared" si="53"/>
        <v>205</v>
      </c>
      <c r="DR8" s="32">
        <v>1</v>
      </c>
      <c r="DS8" s="32">
        <v>3</v>
      </c>
      <c r="DT8" s="2">
        <f t="shared" si="54"/>
        <v>4</v>
      </c>
      <c r="DU8" s="32">
        <v>0</v>
      </c>
      <c r="DV8" s="32">
        <v>3</v>
      </c>
      <c r="DW8" s="2">
        <f t="shared" si="55"/>
        <v>3</v>
      </c>
      <c r="DX8" s="32">
        <v>6</v>
      </c>
      <c r="DY8" s="32">
        <v>41</v>
      </c>
      <c r="DZ8" s="2">
        <f t="shared" si="56"/>
        <v>47</v>
      </c>
      <c r="EA8" s="32">
        <v>0</v>
      </c>
      <c r="EB8" s="32">
        <v>1</v>
      </c>
      <c r="EC8" s="2">
        <f t="shared" si="57"/>
        <v>1</v>
      </c>
      <c r="ED8" s="32">
        <v>0</v>
      </c>
      <c r="EE8" s="32">
        <v>6</v>
      </c>
      <c r="EF8" s="2">
        <f t="shared" si="58"/>
        <v>6</v>
      </c>
      <c r="EG8" s="4">
        <f t="shared" si="59"/>
        <v>-254</v>
      </c>
      <c r="EH8" s="4">
        <f t="shared" si="60"/>
        <v>-252</v>
      </c>
      <c r="EI8" s="4">
        <f t="shared" si="61"/>
        <v>0</v>
      </c>
      <c r="EJ8" s="4">
        <f t="shared" si="62"/>
        <v>0</v>
      </c>
      <c r="EK8" s="4">
        <f t="shared" si="63"/>
        <v>0</v>
      </c>
    </row>
    <row r="9" spans="1:142" s="34" customFormat="1" ht="30">
      <c r="A9" s="51">
        <v>41</v>
      </c>
      <c r="B9" s="48" t="s">
        <v>126</v>
      </c>
      <c r="C9" s="46" t="s">
        <v>127</v>
      </c>
      <c r="D9" s="64">
        <v>42814</v>
      </c>
      <c r="E9" s="64">
        <v>42824</v>
      </c>
      <c r="F9" s="64">
        <v>42944</v>
      </c>
      <c r="G9" s="64">
        <v>42952</v>
      </c>
      <c r="H9" s="46"/>
      <c r="I9" s="46"/>
      <c r="J9" s="46"/>
      <c r="K9" s="46">
        <f t="shared" si="0"/>
        <v>0</v>
      </c>
      <c r="L9" s="46"/>
      <c r="M9" s="46">
        <v>162</v>
      </c>
      <c r="N9" s="46">
        <v>80</v>
      </c>
      <c r="O9" s="46">
        <f t="shared" si="1"/>
        <v>242</v>
      </c>
      <c r="P9" s="46"/>
      <c r="Q9" s="46">
        <v>159</v>
      </c>
      <c r="R9" s="46">
        <v>77</v>
      </c>
      <c r="S9" s="46">
        <f t="shared" si="2"/>
        <v>236</v>
      </c>
      <c r="T9" s="46">
        <f t="shared" si="3"/>
        <v>97.52</v>
      </c>
      <c r="U9" s="46">
        <v>5059</v>
      </c>
      <c r="V9" s="46">
        <v>4841</v>
      </c>
      <c r="W9" s="46">
        <v>1506</v>
      </c>
      <c r="X9" s="46">
        <v>489</v>
      </c>
      <c r="Y9" s="46">
        <v>182</v>
      </c>
      <c r="Z9" s="46">
        <v>69</v>
      </c>
      <c r="AA9" s="46">
        <v>42</v>
      </c>
      <c r="AB9" s="47">
        <f t="shared" si="4"/>
        <v>-12188</v>
      </c>
      <c r="AC9" s="46">
        <v>125</v>
      </c>
      <c r="AD9" s="46">
        <v>117</v>
      </c>
      <c r="AE9" s="46">
        <f t="shared" si="5"/>
        <v>242</v>
      </c>
      <c r="AF9" s="46">
        <v>20</v>
      </c>
      <c r="AG9" s="46">
        <v>20</v>
      </c>
      <c r="AH9" s="46">
        <f t="shared" si="6"/>
        <v>40</v>
      </c>
      <c r="AI9" s="46">
        <v>13</v>
      </c>
      <c r="AJ9" s="46">
        <v>20</v>
      </c>
      <c r="AK9" s="46">
        <f t="shared" si="7"/>
        <v>33</v>
      </c>
      <c r="AL9" s="46">
        <v>120</v>
      </c>
      <c r="AM9" s="46">
        <v>110</v>
      </c>
      <c r="AN9" s="46">
        <f t="shared" si="8"/>
        <v>230</v>
      </c>
      <c r="AO9" s="46">
        <v>19</v>
      </c>
      <c r="AP9" s="46">
        <v>17</v>
      </c>
      <c r="AQ9" s="46">
        <f t="shared" si="9"/>
        <v>36</v>
      </c>
      <c r="AR9" s="46">
        <v>12</v>
      </c>
      <c r="AS9" s="46">
        <v>19</v>
      </c>
      <c r="AT9" s="46">
        <f t="shared" si="10"/>
        <v>31</v>
      </c>
      <c r="AU9" s="46">
        <v>2</v>
      </c>
      <c r="AV9" s="46">
        <v>4</v>
      </c>
      <c r="AW9" s="46">
        <f t="shared" si="11"/>
        <v>6</v>
      </c>
      <c r="AX9" s="46">
        <v>1</v>
      </c>
      <c r="AY9" s="46">
        <v>1</v>
      </c>
      <c r="AZ9" s="46">
        <f t="shared" si="12"/>
        <v>2</v>
      </c>
      <c r="BA9" s="46"/>
      <c r="BB9" s="46"/>
      <c r="BC9" s="46">
        <f t="shared" si="13"/>
        <v>0</v>
      </c>
      <c r="BD9" s="46">
        <v>122</v>
      </c>
      <c r="BE9" s="46">
        <v>114</v>
      </c>
      <c r="BF9" s="46">
        <f t="shared" si="15"/>
        <v>236</v>
      </c>
      <c r="BG9" s="46">
        <v>20</v>
      </c>
      <c r="BH9" s="46">
        <v>18</v>
      </c>
      <c r="BI9" s="46">
        <f t="shared" si="17"/>
        <v>38</v>
      </c>
      <c r="BJ9" s="46">
        <v>12</v>
      </c>
      <c r="BK9" s="46">
        <v>19</v>
      </c>
      <c r="BL9" s="46">
        <f t="shared" si="19"/>
        <v>31</v>
      </c>
      <c r="BM9" s="46">
        <f t="shared" si="20"/>
        <v>97.6</v>
      </c>
      <c r="BN9" s="46">
        <f t="shared" si="21"/>
        <v>97.44</v>
      </c>
      <c r="BO9" s="46">
        <f t="shared" si="22"/>
        <v>97.52</v>
      </c>
      <c r="BP9" s="46">
        <f t="shared" si="23"/>
        <v>100</v>
      </c>
      <c r="BQ9" s="46">
        <f t="shared" si="24"/>
        <v>90</v>
      </c>
      <c r="BR9" s="46">
        <f t="shared" si="25"/>
        <v>95</v>
      </c>
      <c r="BS9" s="46">
        <f t="shared" si="26"/>
        <v>92.31</v>
      </c>
      <c r="BT9" s="46">
        <f t="shared" si="27"/>
        <v>95</v>
      </c>
      <c r="BU9" s="46">
        <f t="shared" si="28"/>
        <v>93.94</v>
      </c>
      <c r="BV9" s="46">
        <v>0</v>
      </c>
      <c r="BW9" s="46">
        <v>0</v>
      </c>
      <c r="BX9" s="46">
        <f t="shared" si="29"/>
        <v>0</v>
      </c>
      <c r="BY9" s="46">
        <v>0</v>
      </c>
      <c r="BZ9" s="46">
        <v>0</v>
      </c>
      <c r="CA9" s="46">
        <f t="shared" si="30"/>
        <v>0</v>
      </c>
      <c r="CB9" s="46">
        <v>0</v>
      </c>
      <c r="CC9" s="46">
        <v>0</v>
      </c>
      <c r="CD9" s="46">
        <f t="shared" si="31"/>
        <v>0</v>
      </c>
      <c r="CE9" s="46">
        <v>0</v>
      </c>
      <c r="CF9" s="46">
        <v>0</v>
      </c>
      <c r="CG9" s="46">
        <f t="shared" si="32"/>
        <v>0</v>
      </c>
      <c r="CH9" s="46">
        <v>0</v>
      </c>
      <c r="CI9" s="46">
        <v>0</v>
      </c>
      <c r="CJ9" s="46">
        <f t="shared" si="33"/>
        <v>0</v>
      </c>
      <c r="CK9" s="46">
        <v>0</v>
      </c>
      <c r="CL9" s="46">
        <v>0</v>
      </c>
      <c r="CM9" s="46">
        <f t="shared" si="34"/>
        <v>0</v>
      </c>
      <c r="CN9" s="46">
        <v>0</v>
      </c>
      <c r="CO9" s="46">
        <v>0</v>
      </c>
      <c r="CP9" s="46">
        <f t="shared" si="35"/>
        <v>0</v>
      </c>
      <c r="CQ9" s="46">
        <v>0</v>
      </c>
      <c r="CR9" s="46">
        <v>0</v>
      </c>
      <c r="CS9" s="46">
        <f t="shared" si="36"/>
        <v>0</v>
      </c>
      <c r="CT9" s="46">
        <v>0</v>
      </c>
      <c r="CU9" s="46">
        <v>0</v>
      </c>
      <c r="CV9" s="46">
        <f t="shared" si="37"/>
        <v>0</v>
      </c>
      <c r="CW9" s="46">
        <v>0</v>
      </c>
      <c r="CX9" s="46">
        <v>0</v>
      </c>
      <c r="CY9" s="46">
        <f t="shared" si="39"/>
        <v>0</v>
      </c>
      <c r="CZ9" s="46">
        <v>0</v>
      </c>
      <c r="DA9" s="46">
        <v>0</v>
      </c>
      <c r="DB9" s="46">
        <f t="shared" si="41"/>
        <v>0</v>
      </c>
      <c r="DC9" s="46">
        <v>0</v>
      </c>
      <c r="DD9" s="46">
        <v>0</v>
      </c>
      <c r="DE9" s="46">
        <f t="shared" si="43"/>
        <v>0</v>
      </c>
      <c r="DF9" s="46" t="e">
        <f t="shared" si="44"/>
        <v>#DIV/0!</v>
      </c>
      <c r="DG9" s="46" t="e">
        <f t="shared" si="45"/>
        <v>#DIV/0!</v>
      </c>
      <c r="DH9" s="46" t="e">
        <f t="shared" si="46"/>
        <v>#DIV/0!</v>
      </c>
      <c r="DI9" s="46" t="e">
        <f t="shared" si="47"/>
        <v>#DIV/0!</v>
      </c>
      <c r="DJ9" s="46" t="e">
        <f t="shared" si="48"/>
        <v>#DIV/0!</v>
      </c>
      <c r="DK9" s="46" t="e">
        <f t="shared" si="49"/>
        <v>#DIV/0!</v>
      </c>
      <c r="DL9" s="46" t="e">
        <f t="shared" si="50"/>
        <v>#DIV/0!</v>
      </c>
      <c r="DM9" s="46" t="e">
        <f t="shared" si="51"/>
        <v>#DIV/0!</v>
      </c>
      <c r="DN9" s="46" t="e">
        <f t="shared" si="52"/>
        <v>#DIV/0!</v>
      </c>
      <c r="DO9" s="46">
        <v>93</v>
      </c>
      <c r="DP9" s="46">
        <v>94</v>
      </c>
      <c r="DQ9" s="46">
        <f t="shared" si="53"/>
        <v>187</v>
      </c>
      <c r="DR9" s="46">
        <v>15</v>
      </c>
      <c r="DS9" s="46">
        <v>12</v>
      </c>
      <c r="DT9" s="46">
        <f t="shared" si="54"/>
        <v>27</v>
      </c>
      <c r="DU9" s="46">
        <v>9</v>
      </c>
      <c r="DV9" s="46">
        <v>13</v>
      </c>
      <c r="DW9" s="46">
        <f t="shared" si="55"/>
        <v>22</v>
      </c>
      <c r="DX9" s="46">
        <v>29</v>
      </c>
      <c r="DY9" s="46">
        <v>20</v>
      </c>
      <c r="DZ9" s="46">
        <f t="shared" si="56"/>
        <v>49</v>
      </c>
      <c r="EA9" s="46">
        <v>5</v>
      </c>
      <c r="EB9" s="46">
        <v>6</v>
      </c>
      <c r="EC9" s="46">
        <f t="shared" si="57"/>
        <v>11</v>
      </c>
      <c r="ED9" s="46">
        <v>3</v>
      </c>
      <c r="EE9" s="46">
        <v>6</v>
      </c>
      <c r="EF9" s="46">
        <f t="shared" si="58"/>
        <v>9</v>
      </c>
      <c r="EG9" s="46">
        <f t="shared" si="59"/>
        <v>0</v>
      </c>
      <c r="EH9" s="46">
        <f t="shared" si="60"/>
        <v>0</v>
      </c>
      <c r="EI9" s="46">
        <f t="shared" si="61"/>
        <v>0</v>
      </c>
      <c r="EJ9" s="46">
        <f t="shared" si="62"/>
        <v>0</v>
      </c>
      <c r="EK9" s="46">
        <f t="shared" si="63"/>
        <v>0</v>
      </c>
      <c r="EL9" s="3"/>
    </row>
    <row r="10" spans="1:142" s="34" customFormat="1" ht="28.5">
      <c r="A10" s="50">
        <v>4</v>
      </c>
      <c r="B10" s="35" t="s">
        <v>54</v>
      </c>
      <c r="C10" s="27" t="s">
        <v>55</v>
      </c>
      <c r="D10" s="63">
        <v>42795</v>
      </c>
      <c r="E10" s="62" t="s">
        <v>101</v>
      </c>
      <c r="F10" s="62" t="s">
        <v>101</v>
      </c>
      <c r="G10" s="62" t="s">
        <v>101</v>
      </c>
      <c r="H10" s="6">
        <v>0</v>
      </c>
      <c r="I10" s="6">
        <v>0</v>
      </c>
      <c r="J10" s="6">
        <v>0</v>
      </c>
      <c r="K10" s="2">
        <f t="shared" si="0"/>
        <v>0</v>
      </c>
      <c r="L10" s="6">
        <v>0</v>
      </c>
      <c r="M10" s="6">
        <v>0</v>
      </c>
      <c r="N10" s="6">
        <v>0</v>
      </c>
      <c r="O10" s="2">
        <f t="shared" si="1"/>
        <v>0</v>
      </c>
      <c r="P10" s="6">
        <v>0</v>
      </c>
      <c r="Q10" s="6">
        <v>0</v>
      </c>
      <c r="R10" s="6">
        <v>0</v>
      </c>
      <c r="S10" s="2">
        <f t="shared" si="2"/>
        <v>0</v>
      </c>
      <c r="T10" s="15" t="e">
        <f t="shared" si="3"/>
        <v>#DIV/0!</v>
      </c>
      <c r="U10" s="6"/>
      <c r="V10" s="6"/>
      <c r="W10" s="6"/>
      <c r="X10" s="6"/>
      <c r="Y10" s="6"/>
      <c r="Z10" s="6"/>
      <c r="AA10" s="6"/>
      <c r="AB10" s="29">
        <f t="shared" si="4"/>
        <v>0</v>
      </c>
      <c r="AC10" s="30">
        <v>675292</v>
      </c>
      <c r="AD10" s="30">
        <v>658651</v>
      </c>
      <c r="AE10" s="2">
        <f t="shared" si="5"/>
        <v>1333943</v>
      </c>
      <c r="AF10" s="31">
        <v>115027</v>
      </c>
      <c r="AG10" s="31">
        <v>100291</v>
      </c>
      <c r="AH10" s="2">
        <f t="shared" si="6"/>
        <v>215318</v>
      </c>
      <c r="AI10" s="31">
        <v>10011</v>
      </c>
      <c r="AJ10" s="31">
        <v>9832</v>
      </c>
      <c r="AK10" s="2">
        <f t="shared" si="7"/>
        <v>19843</v>
      </c>
      <c r="AL10" s="30">
        <v>398246</v>
      </c>
      <c r="AM10" s="30">
        <v>292604</v>
      </c>
      <c r="AN10" s="2">
        <f t="shared" si="8"/>
        <v>690850</v>
      </c>
      <c r="AO10" s="31">
        <v>58012</v>
      </c>
      <c r="AP10" s="31">
        <v>30198</v>
      </c>
      <c r="AQ10" s="2">
        <f t="shared" si="9"/>
        <v>88210</v>
      </c>
      <c r="AR10" s="31">
        <v>5591</v>
      </c>
      <c r="AS10" s="31">
        <v>4157</v>
      </c>
      <c r="AT10" s="2">
        <f t="shared" si="10"/>
        <v>9748</v>
      </c>
      <c r="AU10" s="31">
        <v>0</v>
      </c>
      <c r="AV10" s="31">
        <v>0</v>
      </c>
      <c r="AW10" s="2">
        <f t="shared" si="11"/>
        <v>0</v>
      </c>
      <c r="AX10" s="31">
        <v>0</v>
      </c>
      <c r="AY10" s="31">
        <v>0</v>
      </c>
      <c r="AZ10" s="2">
        <f t="shared" si="12"/>
        <v>0</v>
      </c>
      <c r="BA10" s="31">
        <v>0</v>
      </c>
      <c r="BB10" s="31">
        <v>0</v>
      </c>
      <c r="BC10" s="2">
        <f t="shared" si="13"/>
        <v>0</v>
      </c>
      <c r="BD10" s="28">
        <f>AL10+AU10</f>
        <v>398246</v>
      </c>
      <c r="BE10" s="28">
        <f>AM10+AV10</f>
        <v>292604</v>
      </c>
      <c r="BF10" s="2">
        <f t="shared" si="15"/>
        <v>690850</v>
      </c>
      <c r="BG10" s="28">
        <f t="shared" ref="BG10:BG31" si="64">AO10+AX10</f>
        <v>58012</v>
      </c>
      <c r="BH10" s="28">
        <f t="shared" ref="BH10:BH31" si="65">AP10+AY10</f>
        <v>30198</v>
      </c>
      <c r="BI10" s="2">
        <f t="shared" si="17"/>
        <v>88210</v>
      </c>
      <c r="BJ10" s="28">
        <f t="shared" ref="BJ10:BJ31" si="66">AR10+BA10</f>
        <v>5591</v>
      </c>
      <c r="BK10" s="28">
        <f t="shared" ref="BK10:BK31" si="67">AS10+BB10</f>
        <v>4157</v>
      </c>
      <c r="BL10" s="2">
        <f t="shared" si="19"/>
        <v>9748</v>
      </c>
      <c r="BM10" s="28">
        <f t="shared" si="20"/>
        <v>58.97</v>
      </c>
      <c r="BN10" s="28">
        <f t="shared" si="21"/>
        <v>44.42</v>
      </c>
      <c r="BO10" s="28">
        <f t="shared" si="22"/>
        <v>51.79</v>
      </c>
      <c r="BP10" s="28">
        <f t="shared" si="23"/>
        <v>50.43</v>
      </c>
      <c r="BQ10" s="28">
        <f t="shared" si="24"/>
        <v>30.11</v>
      </c>
      <c r="BR10" s="28">
        <f t="shared" si="25"/>
        <v>40.97</v>
      </c>
      <c r="BS10" s="28">
        <f t="shared" si="26"/>
        <v>55.85</v>
      </c>
      <c r="BT10" s="28">
        <f t="shared" si="27"/>
        <v>42.28</v>
      </c>
      <c r="BU10" s="28">
        <f t="shared" si="28"/>
        <v>49.13</v>
      </c>
      <c r="BV10" s="30">
        <v>8515</v>
      </c>
      <c r="BW10" s="30">
        <v>2224</v>
      </c>
      <c r="BX10" s="2">
        <f t="shared" si="29"/>
        <v>10739</v>
      </c>
      <c r="BY10" s="31">
        <v>1274</v>
      </c>
      <c r="BZ10" s="31">
        <v>336</v>
      </c>
      <c r="CA10" s="2">
        <f t="shared" si="30"/>
        <v>1610</v>
      </c>
      <c r="CB10" s="31">
        <v>118</v>
      </c>
      <c r="CC10" s="31">
        <v>44</v>
      </c>
      <c r="CD10" s="2">
        <f t="shared" si="31"/>
        <v>162</v>
      </c>
      <c r="CE10" s="30">
        <v>5136</v>
      </c>
      <c r="CF10" s="30">
        <v>959</v>
      </c>
      <c r="CG10" s="2">
        <f t="shared" si="32"/>
        <v>6095</v>
      </c>
      <c r="CH10" s="31">
        <v>701</v>
      </c>
      <c r="CI10" s="31">
        <v>131</v>
      </c>
      <c r="CJ10" s="2">
        <f t="shared" si="33"/>
        <v>832</v>
      </c>
      <c r="CK10" s="31">
        <v>71</v>
      </c>
      <c r="CL10" s="31">
        <v>17</v>
      </c>
      <c r="CM10" s="2">
        <f t="shared" si="34"/>
        <v>88</v>
      </c>
      <c r="CN10" s="31">
        <v>0</v>
      </c>
      <c r="CO10" s="31">
        <v>0</v>
      </c>
      <c r="CP10" s="2">
        <f t="shared" si="35"/>
        <v>0</v>
      </c>
      <c r="CQ10" s="33">
        <v>0</v>
      </c>
      <c r="CR10" s="33">
        <v>0</v>
      </c>
      <c r="CS10" s="2">
        <f t="shared" si="36"/>
        <v>0</v>
      </c>
      <c r="CT10" s="33">
        <v>0</v>
      </c>
      <c r="CU10" s="33">
        <v>0</v>
      </c>
      <c r="CV10" s="2">
        <f t="shared" si="37"/>
        <v>0</v>
      </c>
      <c r="CW10" s="28">
        <f t="shared" ref="CW10:CW31" si="68">CE10+CN10</f>
        <v>5136</v>
      </c>
      <c r="CX10" s="28">
        <f t="shared" ref="CX10:CX31" si="69">CF10+CO10</f>
        <v>959</v>
      </c>
      <c r="CY10" s="2">
        <f t="shared" si="39"/>
        <v>6095</v>
      </c>
      <c r="CZ10" s="28">
        <f t="shared" ref="CZ10:CZ31" si="70">CH10+CQ10</f>
        <v>701</v>
      </c>
      <c r="DA10" s="28">
        <f t="shared" ref="DA10:DA31" si="71">CI10+CR10</f>
        <v>131</v>
      </c>
      <c r="DB10" s="2">
        <f t="shared" si="41"/>
        <v>832</v>
      </c>
      <c r="DC10" s="28">
        <f t="shared" ref="DC10:DC31" si="72">CK10+CT10</f>
        <v>71</v>
      </c>
      <c r="DD10" s="28">
        <f t="shared" ref="DD10:DD31" si="73">CL10+CU10</f>
        <v>17</v>
      </c>
      <c r="DE10" s="2">
        <f t="shared" si="43"/>
        <v>88</v>
      </c>
      <c r="DF10" s="28">
        <f t="shared" si="44"/>
        <v>60.32</v>
      </c>
      <c r="DG10" s="28">
        <f t="shared" si="45"/>
        <v>43.12</v>
      </c>
      <c r="DH10" s="28">
        <f t="shared" si="46"/>
        <v>56.76</v>
      </c>
      <c r="DI10" s="28">
        <f t="shared" si="47"/>
        <v>55.02</v>
      </c>
      <c r="DJ10" s="28">
        <f t="shared" si="48"/>
        <v>38.99</v>
      </c>
      <c r="DK10" s="28">
        <f t="shared" si="49"/>
        <v>51.68</v>
      </c>
      <c r="DL10" s="28">
        <f t="shared" si="50"/>
        <v>60.17</v>
      </c>
      <c r="DM10" s="28">
        <f t="shared" si="51"/>
        <v>38.64</v>
      </c>
      <c r="DN10" s="28">
        <f t="shared" si="52"/>
        <v>54.32</v>
      </c>
      <c r="DO10" s="32">
        <v>0</v>
      </c>
      <c r="DP10" s="32">
        <v>0</v>
      </c>
      <c r="DQ10" s="2">
        <f t="shared" si="53"/>
        <v>0</v>
      </c>
      <c r="DR10" s="32">
        <v>0</v>
      </c>
      <c r="DS10" s="32">
        <v>0</v>
      </c>
      <c r="DT10" s="2">
        <f t="shared" si="54"/>
        <v>0</v>
      </c>
      <c r="DU10" s="32">
        <v>0</v>
      </c>
      <c r="DV10" s="32">
        <v>0</v>
      </c>
      <c r="DW10" s="2">
        <f t="shared" si="55"/>
        <v>0</v>
      </c>
      <c r="DX10" s="32">
        <v>0</v>
      </c>
      <c r="DY10" s="32">
        <v>0</v>
      </c>
      <c r="DZ10" s="2">
        <f t="shared" si="56"/>
        <v>0</v>
      </c>
      <c r="EA10" s="32">
        <v>0</v>
      </c>
      <c r="EB10" s="32">
        <v>0</v>
      </c>
      <c r="EC10" s="2">
        <f t="shared" si="57"/>
        <v>0</v>
      </c>
      <c r="ED10" s="32">
        <v>0</v>
      </c>
      <c r="EE10" s="32">
        <v>0</v>
      </c>
      <c r="EF10" s="2">
        <f t="shared" si="58"/>
        <v>0</v>
      </c>
      <c r="EG10" s="4">
        <f t="shared" si="59"/>
        <v>-1344682</v>
      </c>
      <c r="EH10" s="4">
        <f t="shared" si="60"/>
        <v>-696945</v>
      </c>
      <c r="EI10" s="4">
        <f t="shared" si="61"/>
        <v>-696945</v>
      </c>
      <c r="EJ10" s="4">
        <f t="shared" si="62"/>
        <v>-89042</v>
      </c>
      <c r="EK10" s="4">
        <f t="shared" si="63"/>
        <v>-9836</v>
      </c>
    </row>
    <row r="11" spans="1:142" s="34" customFormat="1" ht="36.75" customHeight="1">
      <c r="A11" s="51">
        <v>34</v>
      </c>
      <c r="B11" s="48" t="s">
        <v>115</v>
      </c>
      <c r="C11" s="46" t="s">
        <v>75</v>
      </c>
      <c r="D11" s="65" t="s">
        <v>75</v>
      </c>
      <c r="E11" s="65" t="s">
        <v>75</v>
      </c>
      <c r="F11" s="65" t="s">
        <v>75</v>
      </c>
      <c r="G11" s="65" t="s">
        <v>75</v>
      </c>
      <c r="H11" s="46">
        <v>0</v>
      </c>
      <c r="I11" s="46">
        <v>0</v>
      </c>
      <c r="J11" s="46">
        <v>0</v>
      </c>
      <c r="K11" s="46">
        <f t="shared" si="0"/>
        <v>0</v>
      </c>
      <c r="L11" s="46">
        <v>0</v>
      </c>
      <c r="M11" s="46">
        <v>0</v>
      </c>
      <c r="N11" s="46">
        <v>0</v>
      </c>
      <c r="O11" s="46">
        <f t="shared" si="1"/>
        <v>0</v>
      </c>
      <c r="P11" s="46">
        <v>0</v>
      </c>
      <c r="Q11" s="46">
        <v>0</v>
      </c>
      <c r="R11" s="46">
        <v>0</v>
      </c>
      <c r="S11" s="46">
        <f t="shared" si="2"/>
        <v>0</v>
      </c>
      <c r="T11" s="46" t="e">
        <f t="shared" si="3"/>
        <v>#DIV/0!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7">
        <f t="shared" si="4"/>
        <v>0</v>
      </c>
      <c r="AC11" s="46">
        <v>0</v>
      </c>
      <c r="AD11" s="46">
        <v>0</v>
      </c>
      <c r="AE11" s="46">
        <f t="shared" si="5"/>
        <v>0</v>
      </c>
      <c r="AF11" s="46">
        <v>0</v>
      </c>
      <c r="AG11" s="46">
        <v>0</v>
      </c>
      <c r="AH11" s="46">
        <f t="shared" si="6"/>
        <v>0</v>
      </c>
      <c r="AI11" s="46">
        <v>0</v>
      </c>
      <c r="AJ11" s="46">
        <v>0</v>
      </c>
      <c r="AK11" s="46">
        <f t="shared" si="7"/>
        <v>0</v>
      </c>
      <c r="AL11" s="46">
        <v>0</v>
      </c>
      <c r="AM11" s="46">
        <v>0</v>
      </c>
      <c r="AN11" s="46">
        <f t="shared" si="8"/>
        <v>0</v>
      </c>
      <c r="AO11" s="46">
        <v>0</v>
      </c>
      <c r="AP11" s="46">
        <v>0</v>
      </c>
      <c r="AQ11" s="46">
        <f t="shared" si="9"/>
        <v>0</v>
      </c>
      <c r="AR11" s="46">
        <v>0</v>
      </c>
      <c r="AS11" s="46">
        <v>0</v>
      </c>
      <c r="AT11" s="46">
        <f t="shared" si="10"/>
        <v>0</v>
      </c>
      <c r="AU11" s="46">
        <v>0</v>
      </c>
      <c r="AV11" s="46">
        <v>0</v>
      </c>
      <c r="AW11" s="46">
        <f t="shared" si="11"/>
        <v>0</v>
      </c>
      <c r="AX11" s="46">
        <v>0</v>
      </c>
      <c r="AY11" s="46">
        <v>0</v>
      </c>
      <c r="AZ11" s="46">
        <f t="shared" si="12"/>
        <v>0</v>
      </c>
      <c r="BA11" s="46">
        <v>0</v>
      </c>
      <c r="BB11" s="46">
        <v>0</v>
      </c>
      <c r="BC11" s="46">
        <f t="shared" si="13"/>
        <v>0</v>
      </c>
      <c r="BD11" s="46">
        <f>AL11+AU11</f>
        <v>0</v>
      </c>
      <c r="BE11" s="46">
        <f>AM11+AV11</f>
        <v>0</v>
      </c>
      <c r="BF11" s="46">
        <f t="shared" si="15"/>
        <v>0</v>
      </c>
      <c r="BG11" s="46">
        <f t="shared" si="64"/>
        <v>0</v>
      </c>
      <c r="BH11" s="46">
        <f t="shared" si="65"/>
        <v>0</v>
      </c>
      <c r="BI11" s="46">
        <f t="shared" si="17"/>
        <v>0</v>
      </c>
      <c r="BJ11" s="46">
        <f t="shared" si="66"/>
        <v>0</v>
      </c>
      <c r="BK11" s="46">
        <f t="shared" si="67"/>
        <v>0</v>
      </c>
      <c r="BL11" s="46">
        <f t="shared" si="19"/>
        <v>0</v>
      </c>
      <c r="BM11" s="46" t="e">
        <f t="shared" si="20"/>
        <v>#DIV/0!</v>
      </c>
      <c r="BN11" s="46" t="e">
        <f t="shared" si="21"/>
        <v>#DIV/0!</v>
      </c>
      <c r="BO11" s="46" t="e">
        <f t="shared" si="22"/>
        <v>#DIV/0!</v>
      </c>
      <c r="BP11" s="46" t="e">
        <f t="shared" si="23"/>
        <v>#DIV/0!</v>
      </c>
      <c r="BQ11" s="46" t="e">
        <f t="shared" si="24"/>
        <v>#DIV/0!</v>
      </c>
      <c r="BR11" s="46" t="e">
        <f t="shared" si="25"/>
        <v>#DIV/0!</v>
      </c>
      <c r="BS11" s="46" t="e">
        <f t="shared" si="26"/>
        <v>#DIV/0!</v>
      </c>
      <c r="BT11" s="46" t="e">
        <f t="shared" si="27"/>
        <v>#DIV/0!</v>
      </c>
      <c r="BU11" s="46" t="e">
        <f t="shared" si="28"/>
        <v>#DIV/0!</v>
      </c>
      <c r="BV11" s="46">
        <v>30550</v>
      </c>
      <c r="BW11" s="46">
        <v>5038</v>
      </c>
      <c r="BX11" s="46">
        <f t="shared" si="29"/>
        <v>35588</v>
      </c>
      <c r="BY11" s="46">
        <v>18878</v>
      </c>
      <c r="BZ11" s="46">
        <v>30511</v>
      </c>
      <c r="CA11" s="46">
        <f t="shared" si="30"/>
        <v>49389</v>
      </c>
      <c r="CB11" s="46">
        <v>0</v>
      </c>
      <c r="CC11" s="46">
        <v>0</v>
      </c>
      <c r="CD11" s="46">
        <f t="shared" si="31"/>
        <v>0</v>
      </c>
      <c r="CE11" s="46">
        <v>0</v>
      </c>
      <c r="CF11" s="46">
        <v>0</v>
      </c>
      <c r="CG11" s="46">
        <f t="shared" si="32"/>
        <v>0</v>
      </c>
      <c r="CH11" s="46">
        <v>0</v>
      </c>
      <c r="CI11" s="46">
        <v>0</v>
      </c>
      <c r="CJ11" s="46">
        <f t="shared" si="33"/>
        <v>0</v>
      </c>
      <c r="CK11" s="46">
        <v>0</v>
      </c>
      <c r="CL11" s="46">
        <v>0</v>
      </c>
      <c r="CM11" s="46">
        <f t="shared" si="34"/>
        <v>0</v>
      </c>
      <c r="CN11" s="46">
        <v>0</v>
      </c>
      <c r="CO11" s="46">
        <v>0</v>
      </c>
      <c r="CP11" s="46">
        <f t="shared" si="35"/>
        <v>0</v>
      </c>
      <c r="CQ11" s="46">
        <v>0</v>
      </c>
      <c r="CR11" s="46">
        <v>0</v>
      </c>
      <c r="CS11" s="46">
        <f t="shared" si="36"/>
        <v>0</v>
      </c>
      <c r="CT11" s="46">
        <v>0</v>
      </c>
      <c r="CU11" s="46">
        <v>0</v>
      </c>
      <c r="CV11" s="46">
        <f t="shared" si="37"/>
        <v>0</v>
      </c>
      <c r="CW11" s="46">
        <f t="shared" si="68"/>
        <v>0</v>
      </c>
      <c r="CX11" s="46">
        <f t="shared" si="69"/>
        <v>0</v>
      </c>
      <c r="CY11" s="46">
        <f t="shared" si="39"/>
        <v>0</v>
      </c>
      <c r="CZ11" s="46">
        <f t="shared" si="70"/>
        <v>0</v>
      </c>
      <c r="DA11" s="46">
        <f t="shared" si="71"/>
        <v>0</v>
      </c>
      <c r="DB11" s="46">
        <f t="shared" si="41"/>
        <v>0</v>
      </c>
      <c r="DC11" s="46">
        <f t="shared" si="72"/>
        <v>0</v>
      </c>
      <c r="DD11" s="46">
        <f t="shared" si="73"/>
        <v>0</v>
      </c>
      <c r="DE11" s="46">
        <f t="shared" si="43"/>
        <v>0</v>
      </c>
      <c r="DF11" s="46">
        <f t="shared" si="44"/>
        <v>0</v>
      </c>
      <c r="DG11" s="46">
        <f t="shared" si="45"/>
        <v>0</v>
      </c>
      <c r="DH11" s="46">
        <f t="shared" si="46"/>
        <v>0</v>
      </c>
      <c r="DI11" s="46">
        <f t="shared" si="47"/>
        <v>0</v>
      </c>
      <c r="DJ11" s="46">
        <f t="shared" si="48"/>
        <v>0</v>
      </c>
      <c r="DK11" s="46">
        <f t="shared" si="49"/>
        <v>0</v>
      </c>
      <c r="DL11" s="46" t="e">
        <f t="shared" si="50"/>
        <v>#DIV/0!</v>
      </c>
      <c r="DM11" s="46" t="e">
        <f t="shared" si="51"/>
        <v>#DIV/0!</v>
      </c>
      <c r="DN11" s="46" t="e">
        <f t="shared" si="52"/>
        <v>#DIV/0!</v>
      </c>
      <c r="DO11" s="46">
        <v>3</v>
      </c>
      <c r="DP11" s="46">
        <v>1</v>
      </c>
      <c r="DQ11" s="46">
        <f t="shared" si="53"/>
        <v>4</v>
      </c>
      <c r="DR11" s="46">
        <v>0</v>
      </c>
      <c r="DS11" s="46">
        <v>0</v>
      </c>
      <c r="DT11" s="46">
        <f t="shared" si="54"/>
        <v>0</v>
      </c>
      <c r="DU11" s="46">
        <v>0</v>
      </c>
      <c r="DV11" s="46">
        <v>0</v>
      </c>
      <c r="DW11" s="46">
        <f t="shared" si="55"/>
        <v>0</v>
      </c>
      <c r="DX11" s="46">
        <v>18875</v>
      </c>
      <c r="DY11" s="46">
        <v>30510</v>
      </c>
      <c r="DZ11" s="46">
        <f t="shared" si="56"/>
        <v>49385</v>
      </c>
      <c r="EA11" s="46">
        <v>0</v>
      </c>
      <c r="EB11" s="46">
        <v>0</v>
      </c>
      <c r="EC11" s="46">
        <f t="shared" si="57"/>
        <v>0</v>
      </c>
      <c r="ED11" s="46">
        <v>0</v>
      </c>
      <c r="EE11" s="46">
        <v>0</v>
      </c>
      <c r="EF11" s="46">
        <f t="shared" si="58"/>
        <v>0</v>
      </c>
      <c r="EG11" s="46">
        <f t="shared" si="59"/>
        <v>-35588</v>
      </c>
      <c r="EH11" s="46">
        <f t="shared" si="60"/>
        <v>0</v>
      </c>
      <c r="EI11" s="46">
        <f t="shared" si="61"/>
        <v>49389</v>
      </c>
      <c r="EJ11" s="46">
        <f t="shared" si="62"/>
        <v>0</v>
      </c>
      <c r="EK11" s="46">
        <f t="shared" si="63"/>
        <v>0</v>
      </c>
      <c r="EL11" s="3"/>
    </row>
    <row r="12" spans="1:142" s="34" customFormat="1" ht="30" customHeight="1">
      <c r="A12" s="76">
        <v>9</v>
      </c>
      <c r="B12" s="27" t="s">
        <v>64</v>
      </c>
      <c r="C12" s="53" t="s">
        <v>123</v>
      </c>
      <c r="D12" s="63">
        <v>42800</v>
      </c>
      <c r="E12" s="63">
        <v>42829</v>
      </c>
      <c r="F12" s="63">
        <v>42943</v>
      </c>
      <c r="G12" s="63">
        <v>42944</v>
      </c>
      <c r="H12" s="6">
        <v>3272</v>
      </c>
      <c r="I12" s="6">
        <v>190</v>
      </c>
      <c r="J12" s="6">
        <v>3260</v>
      </c>
      <c r="K12" s="2">
        <f t="shared" si="0"/>
        <v>6722</v>
      </c>
      <c r="L12" s="6">
        <v>160378</v>
      </c>
      <c r="M12" s="6">
        <v>13645</v>
      </c>
      <c r="N12" s="6">
        <v>145139</v>
      </c>
      <c r="O12" s="2">
        <f t="shared" si="1"/>
        <v>319162</v>
      </c>
      <c r="P12" s="6">
        <v>72130</v>
      </c>
      <c r="Q12" s="6">
        <v>7240</v>
      </c>
      <c r="R12" s="6">
        <v>87116</v>
      </c>
      <c r="S12" s="2">
        <f t="shared" si="2"/>
        <v>166486</v>
      </c>
      <c r="T12" s="15">
        <f t="shared" si="3"/>
        <v>52.16</v>
      </c>
      <c r="U12" s="6">
        <v>102</v>
      </c>
      <c r="V12" s="6">
        <v>359</v>
      </c>
      <c r="W12" s="6">
        <v>582</v>
      </c>
      <c r="X12" s="6">
        <v>730</v>
      </c>
      <c r="Y12" s="6">
        <v>785</v>
      </c>
      <c r="Z12" s="6">
        <v>898</v>
      </c>
      <c r="AA12" s="6">
        <v>2961</v>
      </c>
      <c r="AB12" s="29">
        <f t="shared" si="4"/>
        <v>305</v>
      </c>
      <c r="AC12" s="30">
        <v>175393</v>
      </c>
      <c r="AD12" s="39">
        <v>143769</v>
      </c>
      <c r="AE12" s="2">
        <f t="shared" si="5"/>
        <v>319162</v>
      </c>
      <c r="AF12" s="31">
        <v>44283</v>
      </c>
      <c r="AG12" s="31">
        <v>41715</v>
      </c>
      <c r="AH12" s="2">
        <f t="shared" si="6"/>
        <v>85998</v>
      </c>
      <c r="AI12" s="31">
        <v>60</v>
      </c>
      <c r="AJ12" s="31">
        <v>41</v>
      </c>
      <c r="AK12" s="2">
        <f t="shared" si="7"/>
        <v>101</v>
      </c>
      <c r="AL12" s="30">
        <v>81368</v>
      </c>
      <c r="AM12" s="30">
        <v>79615</v>
      </c>
      <c r="AN12" s="2">
        <f t="shared" si="8"/>
        <v>160983</v>
      </c>
      <c r="AO12" s="31">
        <v>16456</v>
      </c>
      <c r="AP12" s="31">
        <v>16895</v>
      </c>
      <c r="AQ12" s="2">
        <f t="shared" si="9"/>
        <v>33351</v>
      </c>
      <c r="AR12" s="31">
        <v>30</v>
      </c>
      <c r="AS12" s="31">
        <v>29</v>
      </c>
      <c r="AT12" s="2">
        <f t="shared" si="10"/>
        <v>59</v>
      </c>
      <c r="AU12" s="40">
        <v>3155</v>
      </c>
      <c r="AV12" s="40">
        <v>2348</v>
      </c>
      <c r="AW12" s="2">
        <f t="shared" si="11"/>
        <v>5503</v>
      </c>
      <c r="AX12" s="33">
        <v>743</v>
      </c>
      <c r="AY12" s="33">
        <v>673</v>
      </c>
      <c r="AZ12" s="2">
        <f t="shared" si="12"/>
        <v>1416</v>
      </c>
      <c r="BA12" s="33">
        <v>1</v>
      </c>
      <c r="BB12" s="33">
        <v>0</v>
      </c>
      <c r="BC12" s="2">
        <f t="shared" si="13"/>
        <v>1</v>
      </c>
      <c r="BD12" s="28">
        <v>84523</v>
      </c>
      <c r="BE12" s="28">
        <f t="shared" ref="BE12:BE31" si="74">AM12+AV12</f>
        <v>81963</v>
      </c>
      <c r="BF12" s="2">
        <f t="shared" si="15"/>
        <v>166486</v>
      </c>
      <c r="BG12" s="28">
        <f t="shared" si="64"/>
        <v>17199</v>
      </c>
      <c r="BH12" s="28">
        <f t="shared" si="65"/>
        <v>17568</v>
      </c>
      <c r="BI12" s="2">
        <f t="shared" si="17"/>
        <v>34767</v>
      </c>
      <c r="BJ12" s="28">
        <f t="shared" si="66"/>
        <v>31</v>
      </c>
      <c r="BK12" s="28">
        <f t="shared" si="67"/>
        <v>29</v>
      </c>
      <c r="BL12" s="2">
        <f t="shared" si="19"/>
        <v>60</v>
      </c>
      <c r="BM12" s="28">
        <f t="shared" si="20"/>
        <v>48.19</v>
      </c>
      <c r="BN12" s="28">
        <f t="shared" si="21"/>
        <v>57.01</v>
      </c>
      <c r="BO12" s="28">
        <f t="shared" si="22"/>
        <v>52.16</v>
      </c>
      <c r="BP12" s="28">
        <f t="shared" si="23"/>
        <v>38.840000000000003</v>
      </c>
      <c r="BQ12" s="28">
        <f t="shared" si="24"/>
        <v>42.11</v>
      </c>
      <c r="BR12" s="28">
        <f t="shared" si="25"/>
        <v>40.43</v>
      </c>
      <c r="BS12" s="28">
        <f t="shared" si="26"/>
        <v>51.67</v>
      </c>
      <c r="BT12" s="28">
        <f t="shared" si="27"/>
        <v>70.73</v>
      </c>
      <c r="BU12" s="28">
        <f t="shared" si="28"/>
        <v>59.41</v>
      </c>
      <c r="BV12" s="41">
        <v>0</v>
      </c>
      <c r="BW12" s="41">
        <v>0</v>
      </c>
      <c r="BX12" s="2">
        <f t="shared" si="29"/>
        <v>0</v>
      </c>
      <c r="BY12" s="33">
        <v>0</v>
      </c>
      <c r="BZ12" s="33">
        <v>0</v>
      </c>
      <c r="CA12" s="2">
        <v>0</v>
      </c>
      <c r="CB12" s="31">
        <v>0</v>
      </c>
      <c r="CC12" s="31">
        <v>0</v>
      </c>
      <c r="CD12" s="2">
        <f t="shared" si="31"/>
        <v>0</v>
      </c>
      <c r="CE12" s="41">
        <v>0</v>
      </c>
      <c r="CF12" s="41">
        <v>0</v>
      </c>
      <c r="CG12" s="2">
        <v>0</v>
      </c>
      <c r="CH12" s="33">
        <v>0</v>
      </c>
      <c r="CI12" s="33">
        <v>0</v>
      </c>
      <c r="CJ12" s="2">
        <f t="shared" si="33"/>
        <v>0</v>
      </c>
      <c r="CK12" s="31">
        <v>0</v>
      </c>
      <c r="CL12" s="31">
        <v>0</v>
      </c>
      <c r="CM12" s="2">
        <f t="shared" si="34"/>
        <v>0</v>
      </c>
      <c r="CN12" s="33">
        <v>0</v>
      </c>
      <c r="CO12" s="33">
        <v>0</v>
      </c>
      <c r="CP12" s="2">
        <f t="shared" si="35"/>
        <v>0</v>
      </c>
      <c r="CQ12" s="31">
        <v>0</v>
      </c>
      <c r="CR12" s="31">
        <v>0</v>
      </c>
      <c r="CS12" s="2">
        <f t="shared" si="36"/>
        <v>0</v>
      </c>
      <c r="CT12" s="31">
        <v>0</v>
      </c>
      <c r="CU12" s="31">
        <v>0</v>
      </c>
      <c r="CV12" s="2">
        <f t="shared" si="37"/>
        <v>0</v>
      </c>
      <c r="CW12" s="28">
        <f t="shared" si="68"/>
        <v>0</v>
      </c>
      <c r="CX12" s="28">
        <f t="shared" si="69"/>
        <v>0</v>
      </c>
      <c r="CY12" s="2">
        <f t="shared" si="39"/>
        <v>0</v>
      </c>
      <c r="CZ12" s="28">
        <f t="shared" si="70"/>
        <v>0</v>
      </c>
      <c r="DA12" s="28">
        <f t="shared" si="71"/>
        <v>0</v>
      </c>
      <c r="DB12" s="2">
        <f t="shared" si="41"/>
        <v>0</v>
      </c>
      <c r="DC12" s="28">
        <f t="shared" si="72"/>
        <v>0</v>
      </c>
      <c r="DD12" s="28">
        <f t="shared" si="73"/>
        <v>0</v>
      </c>
      <c r="DE12" s="2">
        <f t="shared" si="43"/>
        <v>0</v>
      </c>
      <c r="DF12" s="28" t="e">
        <f t="shared" si="44"/>
        <v>#DIV/0!</v>
      </c>
      <c r="DG12" s="28" t="e">
        <f t="shared" si="45"/>
        <v>#DIV/0!</v>
      </c>
      <c r="DH12" s="28" t="e">
        <f t="shared" si="46"/>
        <v>#DIV/0!</v>
      </c>
      <c r="DI12" s="28" t="e">
        <f t="shared" si="47"/>
        <v>#DIV/0!</v>
      </c>
      <c r="DJ12" s="28" t="e">
        <f t="shared" si="48"/>
        <v>#DIV/0!</v>
      </c>
      <c r="DK12" s="28" t="e">
        <f t="shared" si="49"/>
        <v>#DIV/0!</v>
      </c>
      <c r="DL12" s="28" t="e">
        <f t="shared" si="50"/>
        <v>#DIV/0!</v>
      </c>
      <c r="DM12" s="28" t="e">
        <f t="shared" si="51"/>
        <v>#DIV/0!</v>
      </c>
      <c r="DN12" s="28" t="e">
        <f t="shared" si="52"/>
        <v>#DIV/0!</v>
      </c>
      <c r="DO12" s="32">
        <v>61969</v>
      </c>
      <c r="DP12" s="32">
        <v>65106</v>
      </c>
      <c r="DQ12" s="2">
        <f t="shared" si="53"/>
        <v>127075</v>
      </c>
      <c r="DR12" s="32">
        <v>10210</v>
      </c>
      <c r="DS12" s="32">
        <v>11276</v>
      </c>
      <c r="DT12" s="2">
        <f t="shared" si="54"/>
        <v>21486</v>
      </c>
      <c r="DU12" s="32">
        <v>26</v>
      </c>
      <c r="DV12" s="32">
        <v>25</v>
      </c>
      <c r="DW12" s="2">
        <f t="shared" si="55"/>
        <v>51</v>
      </c>
      <c r="DX12" s="32">
        <v>22554</v>
      </c>
      <c r="DY12" s="32">
        <v>16857</v>
      </c>
      <c r="DZ12" s="2">
        <f t="shared" si="56"/>
        <v>39411</v>
      </c>
      <c r="EA12" s="32">
        <v>6989</v>
      </c>
      <c r="EB12" s="32">
        <v>6292</v>
      </c>
      <c r="EC12" s="2">
        <f t="shared" si="57"/>
        <v>13281</v>
      </c>
      <c r="ED12" s="32">
        <v>5</v>
      </c>
      <c r="EE12" s="32">
        <v>4</v>
      </c>
      <c r="EF12" s="2">
        <f t="shared" si="58"/>
        <v>9</v>
      </c>
      <c r="EG12" s="4">
        <f t="shared" si="59"/>
        <v>0</v>
      </c>
      <c r="EH12" s="4">
        <f t="shared" si="60"/>
        <v>0</v>
      </c>
      <c r="EI12" s="4">
        <f t="shared" si="61"/>
        <v>0</v>
      </c>
      <c r="EJ12" s="4">
        <f t="shared" si="62"/>
        <v>0</v>
      </c>
      <c r="EK12" s="4">
        <f t="shared" si="63"/>
        <v>0</v>
      </c>
    </row>
    <row r="13" spans="1:142" s="34" customFormat="1" ht="37.5" customHeight="1">
      <c r="A13" s="51">
        <v>38</v>
      </c>
      <c r="B13" s="43" t="s">
        <v>121</v>
      </c>
      <c r="C13" s="46" t="s">
        <v>75</v>
      </c>
      <c r="D13" s="65" t="s">
        <v>75</v>
      </c>
      <c r="E13" s="65" t="s">
        <v>75</v>
      </c>
      <c r="F13" s="65" t="s">
        <v>75</v>
      </c>
      <c r="G13" s="65" t="s">
        <v>75</v>
      </c>
      <c r="H13" s="46">
        <v>0</v>
      </c>
      <c r="I13" s="46">
        <v>0</v>
      </c>
      <c r="J13" s="46">
        <v>0</v>
      </c>
      <c r="K13" s="46">
        <f t="shared" si="0"/>
        <v>0</v>
      </c>
      <c r="L13" s="46">
        <v>0</v>
      </c>
      <c r="M13" s="46">
        <v>0</v>
      </c>
      <c r="N13" s="46">
        <v>0</v>
      </c>
      <c r="O13" s="46">
        <f t="shared" si="1"/>
        <v>0</v>
      </c>
      <c r="P13" s="46">
        <v>0</v>
      </c>
      <c r="Q13" s="46">
        <v>0</v>
      </c>
      <c r="R13" s="46">
        <v>0</v>
      </c>
      <c r="S13" s="46">
        <f t="shared" si="2"/>
        <v>0</v>
      </c>
      <c r="T13" s="46" t="e">
        <f t="shared" si="3"/>
        <v>#DIV/0!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7">
        <f t="shared" si="4"/>
        <v>0</v>
      </c>
      <c r="AC13" s="46">
        <v>17374</v>
      </c>
      <c r="AD13" s="46">
        <v>17774</v>
      </c>
      <c r="AE13" s="46">
        <f t="shared" si="5"/>
        <v>35148</v>
      </c>
      <c r="AF13" s="46">
        <v>625</v>
      </c>
      <c r="AG13" s="46">
        <v>729</v>
      </c>
      <c r="AH13" s="46">
        <f t="shared" si="6"/>
        <v>1354</v>
      </c>
      <c r="AI13" s="46">
        <v>6771</v>
      </c>
      <c r="AJ13" s="46">
        <v>7070</v>
      </c>
      <c r="AK13" s="46">
        <f t="shared" si="7"/>
        <v>13841</v>
      </c>
      <c r="AL13" s="46">
        <v>11931</v>
      </c>
      <c r="AM13" s="46">
        <v>11313</v>
      </c>
      <c r="AN13" s="46">
        <f t="shared" si="8"/>
        <v>23244</v>
      </c>
      <c r="AO13" s="46">
        <v>449</v>
      </c>
      <c r="AP13" s="46">
        <v>513</v>
      </c>
      <c r="AQ13" s="46">
        <f t="shared" si="9"/>
        <v>962</v>
      </c>
      <c r="AR13" s="46">
        <v>4549</v>
      </c>
      <c r="AS13" s="46">
        <v>4327</v>
      </c>
      <c r="AT13" s="46">
        <f t="shared" si="10"/>
        <v>8876</v>
      </c>
      <c r="AU13" s="46">
        <v>2057</v>
      </c>
      <c r="AV13" s="46">
        <v>2319</v>
      </c>
      <c r="AW13" s="46">
        <f t="shared" si="11"/>
        <v>4376</v>
      </c>
      <c r="AX13" s="46">
        <v>67</v>
      </c>
      <c r="AY13" s="46">
        <v>67</v>
      </c>
      <c r="AZ13" s="46">
        <f t="shared" si="12"/>
        <v>134</v>
      </c>
      <c r="BA13" s="46">
        <v>922</v>
      </c>
      <c r="BB13" s="46">
        <v>1058</v>
      </c>
      <c r="BC13" s="46">
        <f t="shared" si="13"/>
        <v>1980</v>
      </c>
      <c r="BD13" s="46">
        <f t="shared" ref="BD13:BD31" si="75">AL13+AU13</f>
        <v>13988</v>
      </c>
      <c r="BE13" s="46">
        <f t="shared" si="74"/>
        <v>13632</v>
      </c>
      <c r="BF13" s="46">
        <f t="shared" si="15"/>
        <v>27620</v>
      </c>
      <c r="BG13" s="46">
        <f t="shared" si="64"/>
        <v>516</v>
      </c>
      <c r="BH13" s="46">
        <f t="shared" si="65"/>
        <v>580</v>
      </c>
      <c r="BI13" s="46">
        <f t="shared" si="17"/>
        <v>1096</v>
      </c>
      <c r="BJ13" s="46">
        <f t="shared" si="66"/>
        <v>5471</v>
      </c>
      <c r="BK13" s="46">
        <f t="shared" si="67"/>
        <v>5385</v>
      </c>
      <c r="BL13" s="46">
        <f t="shared" si="19"/>
        <v>10856</v>
      </c>
      <c r="BM13" s="46">
        <f t="shared" si="20"/>
        <v>80.510000000000005</v>
      </c>
      <c r="BN13" s="46">
        <f t="shared" si="21"/>
        <v>76.7</v>
      </c>
      <c r="BO13" s="46">
        <f t="shared" si="22"/>
        <v>78.58</v>
      </c>
      <c r="BP13" s="46">
        <f t="shared" si="23"/>
        <v>82.56</v>
      </c>
      <c r="BQ13" s="46">
        <f t="shared" si="24"/>
        <v>79.56</v>
      </c>
      <c r="BR13" s="46">
        <f t="shared" si="25"/>
        <v>80.95</v>
      </c>
      <c r="BS13" s="46">
        <f t="shared" si="26"/>
        <v>80.8</v>
      </c>
      <c r="BT13" s="46">
        <f t="shared" si="27"/>
        <v>76.17</v>
      </c>
      <c r="BU13" s="46">
        <f t="shared" si="28"/>
        <v>78.430000000000007</v>
      </c>
      <c r="BV13" s="46">
        <v>25</v>
      </c>
      <c r="BW13" s="46">
        <v>13</v>
      </c>
      <c r="BX13" s="46">
        <f t="shared" si="29"/>
        <v>38</v>
      </c>
      <c r="BY13" s="46">
        <v>1</v>
      </c>
      <c r="BZ13" s="46">
        <v>0</v>
      </c>
      <c r="CA13" s="46">
        <f t="shared" ref="CA13:CA50" si="76">BY13+BZ13</f>
        <v>1</v>
      </c>
      <c r="CB13" s="46">
        <v>5</v>
      </c>
      <c r="CC13" s="46">
        <v>3</v>
      </c>
      <c r="CD13" s="46">
        <f t="shared" si="31"/>
        <v>8</v>
      </c>
      <c r="CE13" s="46">
        <v>7</v>
      </c>
      <c r="CF13" s="46">
        <v>4</v>
      </c>
      <c r="CG13" s="46">
        <f t="shared" ref="CG13:CG50" si="77">CE13+CF13</f>
        <v>11</v>
      </c>
      <c r="CH13" s="46">
        <v>0</v>
      </c>
      <c r="CI13" s="46">
        <v>0</v>
      </c>
      <c r="CJ13" s="46">
        <f t="shared" si="33"/>
        <v>0</v>
      </c>
      <c r="CK13" s="46">
        <v>1</v>
      </c>
      <c r="CL13" s="46">
        <v>1</v>
      </c>
      <c r="CM13" s="46">
        <f t="shared" si="34"/>
        <v>2</v>
      </c>
      <c r="CN13" s="46">
        <v>1</v>
      </c>
      <c r="CO13" s="46">
        <v>0</v>
      </c>
      <c r="CP13" s="46">
        <f t="shared" si="35"/>
        <v>1</v>
      </c>
      <c r="CQ13" s="46">
        <v>0</v>
      </c>
      <c r="CR13" s="46">
        <v>0</v>
      </c>
      <c r="CS13" s="46">
        <f t="shared" si="36"/>
        <v>0</v>
      </c>
      <c r="CT13" s="46">
        <v>0</v>
      </c>
      <c r="CU13" s="46">
        <v>0</v>
      </c>
      <c r="CV13" s="46">
        <f t="shared" si="37"/>
        <v>0</v>
      </c>
      <c r="CW13" s="46">
        <f t="shared" si="68"/>
        <v>8</v>
      </c>
      <c r="CX13" s="46">
        <f t="shared" si="69"/>
        <v>4</v>
      </c>
      <c r="CY13" s="46">
        <f t="shared" si="39"/>
        <v>12</v>
      </c>
      <c r="CZ13" s="46">
        <f t="shared" si="70"/>
        <v>0</v>
      </c>
      <c r="DA13" s="46">
        <f t="shared" si="71"/>
        <v>0</v>
      </c>
      <c r="DB13" s="46">
        <f t="shared" si="41"/>
        <v>0</v>
      </c>
      <c r="DC13" s="46">
        <f t="shared" si="72"/>
        <v>1</v>
      </c>
      <c r="DD13" s="46">
        <f t="shared" si="73"/>
        <v>1</v>
      </c>
      <c r="DE13" s="46">
        <f t="shared" si="43"/>
        <v>2</v>
      </c>
      <c r="DF13" s="46">
        <f t="shared" si="44"/>
        <v>32</v>
      </c>
      <c r="DG13" s="46">
        <f t="shared" si="45"/>
        <v>30.77</v>
      </c>
      <c r="DH13" s="46">
        <f t="shared" si="46"/>
        <v>31.58</v>
      </c>
      <c r="DI13" s="46">
        <f t="shared" si="47"/>
        <v>0</v>
      </c>
      <c r="DJ13" s="46" t="e">
        <f t="shared" si="48"/>
        <v>#DIV/0!</v>
      </c>
      <c r="DK13" s="46">
        <f t="shared" si="49"/>
        <v>0</v>
      </c>
      <c r="DL13" s="46">
        <f t="shared" si="50"/>
        <v>20</v>
      </c>
      <c r="DM13" s="46">
        <f t="shared" si="51"/>
        <v>33.33</v>
      </c>
      <c r="DN13" s="46">
        <f t="shared" si="52"/>
        <v>25</v>
      </c>
      <c r="DO13" s="46">
        <v>486</v>
      </c>
      <c r="DP13" s="46">
        <v>473</v>
      </c>
      <c r="DQ13" s="46">
        <f t="shared" si="53"/>
        <v>959</v>
      </c>
      <c r="DR13" s="46">
        <v>20</v>
      </c>
      <c r="DS13" s="46">
        <v>38</v>
      </c>
      <c r="DT13" s="46">
        <f t="shared" si="54"/>
        <v>58</v>
      </c>
      <c r="DU13" s="46">
        <v>85</v>
      </c>
      <c r="DV13" s="46">
        <v>81</v>
      </c>
      <c r="DW13" s="46">
        <f t="shared" si="55"/>
        <v>166</v>
      </c>
      <c r="DX13" s="46">
        <v>3863</v>
      </c>
      <c r="DY13" s="46">
        <v>3824</v>
      </c>
      <c r="DZ13" s="46">
        <f t="shared" si="56"/>
        <v>7687</v>
      </c>
      <c r="EA13" s="46">
        <v>135</v>
      </c>
      <c r="EB13" s="46">
        <v>184</v>
      </c>
      <c r="EC13" s="46">
        <f t="shared" si="57"/>
        <v>319</v>
      </c>
      <c r="ED13" s="46">
        <v>1321</v>
      </c>
      <c r="EE13" s="46">
        <v>1373</v>
      </c>
      <c r="EF13" s="46">
        <f t="shared" si="58"/>
        <v>2694</v>
      </c>
      <c r="EG13" s="46">
        <f t="shared" si="59"/>
        <v>-35186</v>
      </c>
      <c r="EH13" s="46">
        <f t="shared" si="60"/>
        <v>-27632</v>
      </c>
      <c r="EI13" s="46">
        <f t="shared" si="61"/>
        <v>-18986</v>
      </c>
      <c r="EJ13" s="46">
        <f t="shared" si="62"/>
        <v>-719</v>
      </c>
      <c r="EK13" s="46">
        <f t="shared" si="63"/>
        <v>-7998</v>
      </c>
      <c r="EL13" s="3"/>
    </row>
    <row r="14" spans="1:142" s="34" customFormat="1" ht="28.5">
      <c r="A14" s="50">
        <v>12</v>
      </c>
      <c r="B14" s="27" t="s">
        <v>122</v>
      </c>
      <c r="C14" s="27" t="s">
        <v>69</v>
      </c>
      <c r="D14" s="63">
        <v>42794</v>
      </c>
      <c r="E14" s="63">
        <v>42804</v>
      </c>
      <c r="F14" s="63">
        <v>42887</v>
      </c>
      <c r="G14" s="63">
        <v>42893</v>
      </c>
      <c r="H14" s="6">
        <v>0</v>
      </c>
      <c r="I14" s="6">
        <v>9031</v>
      </c>
      <c r="J14" s="6">
        <v>0</v>
      </c>
      <c r="K14" s="2">
        <f t="shared" si="0"/>
        <v>9031</v>
      </c>
      <c r="L14" s="6">
        <v>0</v>
      </c>
      <c r="M14" s="6">
        <v>601814</v>
      </c>
      <c r="N14" s="6">
        <v>0</v>
      </c>
      <c r="O14" s="2">
        <f t="shared" si="1"/>
        <v>601814</v>
      </c>
      <c r="P14" s="6">
        <v>0</v>
      </c>
      <c r="Q14" s="6">
        <v>508262</v>
      </c>
      <c r="R14" s="6"/>
      <c r="S14" s="2">
        <f t="shared" si="2"/>
        <v>508262</v>
      </c>
      <c r="T14" s="15">
        <f t="shared" si="3"/>
        <v>84.45</v>
      </c>
      <c r="U14" s="6">
        <v>748</v>
      </c>
      <c r="V14" s="6">
        <v>3209</v>
      </c>
      <c r="W14" s="6">
        <v>2056</v>
      </c>
      <c r="X14" s="6">
        <v>1112</v>
      </c>
      <c r="Y14" s="6">
        <v>657</v>
      </c>
      <c r="Z14" s="6">
        <v>462</v>
      </c>
      <c r="AA14" s="6">
        <v>568</v>
      </c>
      <c r="AB14" s="29">
        <f t="shared" si="4"/>
        <v>219</v>
      </c>
      <c r="AC14" s="30">
        <v>280389</v>
      </c>
      <c r="AD14" s="30">
        <v>287799</v>
      </c>
      <c r="AE14" s="2">
        <f t="shared" si="5"/>
        <v>568188</v>
      </c>
      <c r="AF14" s="31">
        <v>53734</v>
      </c>
      <c r="AG14" s="31">
        <v>55747</v>
      </c>
      <c r="AH14" s="2">
        <f t="shared" si="6"/>
        <v>109481</v>
      </c>
      <c r="AI14" s="31">
        <v>56181</v>
      </c>
      <c r="AJ14" s="31">
        <v>62963</v>
      </c>
      <c r="AK14" s="2">
        <f t="shared" si="7"/>
        <v>119144</v>
      </c>
      <c r="AL14" s="30">
        <v>239979</v>
      </c>
      <c r="AM14" s="30">
        <v>248893</v>
      </c>
      <c r="AN14" s="2">
        <f t="shared" si="8"/>
        <v>488872</v>
      </c>
      <c r="AO14" s="31">
        <v>43780</v>
      </c>
      <c r="AP14" s="31">
        <v>45198</v>
      </c>
      <c r="AQ14" s="2">
        <f t="shared" si="9"/>
        <v>88978</v>
      </c>
      <c r="AR14" s="31">
        <v>46282</v>
      </c>
      <c r="AS14" s="31">
        <v>53186</v>
      </c>
      <c r="AT14" s="2">
        <f t="shared" si="10"/>
        <v>99468</v>
      </c>
      <c r="AU14" s="31">
        <v>2324</v>
      </c>
      <c r="AV14" s="31">
        <v>2222</v>
      </c>
      <c r="AW14" s="2">
        <f t="shared" si="11"/>
        <v>4546</v>
      </c>
      <c r="AX14" s="31">
        <v>492</v>
      </c>
      <c r="AY14" s="31">
        <v>472</v>
      </c>
      <c r="AZ14" s="2">
        <f t="shared" si="12"/>
        <v>964</v>
      </c>
      <c r="BA14" s="31">
        <v>592</v>
      </c>
      <c r="BB14" s="31">
        <v>616</v>
      </c>
      <c r="BC14" s="2">
        <f t="shared" si="13"/>
        <v>1208</v>
      </c>
      <c r="BD14" s="28">
        <f t="shared" si="75"/>
        <v>242303</v>
      </c>
      <c r="BE14" s="28">
        <f t="shared" si="74"/>
        <v>251115</v>
      </c>
      <c r="BF14" s="2">
        <f t="shared" si="15"/>
        <v>493418</v>
      </c>
      <c r="BG14" s="28">
        <f t="shared" si="64"/>
        <v>44272</v>
      </c>
      <c r="BH14" s="28">
        <f t="shared" si="65"/>
        <v>45670</v>
      </c>
      <c r="BI14" s="2">
        <f t="shared" si="17"/>
        <v>89942</v>
      </c>
      <c r="BJ14" s="28">
        <f t="shared" si="66"/>
        <v>46874</v>
      </c>
      <c r="BK14" s="28">
        <f t="shared" si="67"/>
        <v>53802</v>
      </c>
      <c r="BL14" s="2">
        <f t="shared" si="19"/>
        <v>100676</v>
      </c>
      <c r="BM14" s="28">
        <f t="shared" si="20"/>
        <v>86.42</v>
      </c>
      <c r="BN14" s="28">
        <f t="shared" si="21"/>
        <v>87.25</v>
      </c>
      <c r="BO14" s="28">
        <f t="shared" si="22"/>
        <v>86.84</v>
      </c>
      <c r="BP14" s="28">
        <f t="shared" si="23"/>
        <v>82.39</v>
      </c>
      <c r="BQ14" s="28">
        <f t="shared" si="24"/>
        <v>81.92</v>
      </c>
      <c r="BR14" s="28">
        <f t="shared" si="25"/>
        <v>82.15</v>
      </c>
      <c r="BS14" s="28">
        <f t="shared" si="26"/>
        <v>83.43</v>
      </c>
      <c r="BT14" s="28">
        <f t="shared" si="27"/>
        <v>85.45</v>
      </c>
      <c r="BU14" s="28">
        <f t="shared" si="28"/>
        <v>84.5</v>
      </c>
      <c r="BV14" s="30">
        <v>12757</v>
      </c>
      <c r="BW14" s="30">
        <v>10037</v>
      </c>
      <c r="BX14" s="2">
        <f t="shared" si="29"/>
        <v>22794</v>
      </c>
      <c r="BY14" s="31">
        <v>3121</v>
      </c>
      <c r="BZ14" s="31">
        <v>2695</v>
      </c>
      <c r="CA14" s="2">
        <f t="shared" si="76"/>
        <v>5816</v>
      </c>
      <c r="CB14" s="31">
        <v>3628</v>
      </c>
      <c r="CC14" s="31">
        <v>3121</v>
      </c>
      <c r="CD14" s="2">
        <f t="shared" si="31"/>
        <v>6749</v>
      </c>
      <c r="CE14" s="30">
        <v>7969</v>
      </c>
      <c r="CF14" s="30">
        <v>6158</v>
      </c>
      <c r="CG14" s="2">
        <f t="shared" si="77"/>
        <v>14127</v>
      </c>
      <c r="CH14" s="31">
        <v>1890</v>
      </c>
      <c r="CI14" s="31">
        <v>1637</v>
      </c>
      <c r="CJ14" s="2">
        <f t="shared" si="33"/>
        <v>3527</v>
      </c>
      <c r="CK14" s="31">
        <v>2237</v>
      </c>
      <c r="CL14" s="31">
        <v>1847</v>
      </c>
      <c r="CM14" s="2">
        <f t="shared" si="34"/>
        <v>4084</v>
      </c>
      <c r="CN14" s="31">
        <v>372</v>
      </c>
      <c r="CO14" s="31">
        <v>332</v>
      </c>
      <c r="CP14" s="2">
        <f t="shared" si="35"/>
        <v>704</v>
      </c>
      <c r="CQ14" s="31">
        <v>85</v>
      </c>
      <c r="CR14" s="31">
        <v>85</v>
      </c>
      <c r="CS14" s="2">
        <f t="shared" si="36"/>
        <v>170</v>
      </c>
      <c r="CT14" s="31">
        <v>102</v>
      </c>
      <c r="CU14" s="31">
        <v>81</v>
      </c>
      <c r="CV14" s="2">
        <f t="shared" si="37"/>
        <v>183</v>
      </c>
      <c r="CW14" s="28">
        <f t="shared" si="68"/>
        <v>8341</v>
      </c>
      <c r="CX14" s="28">
        <f t="shared" si="69"/>
        <v>6490</v>
      </c>
      <c r="CY14" s="2">
        <f t="shared" si="39"/>
        <v>14831</v>
      </c>
      <c r="CZ14" s="28">
        <f t="shared" si="70"/>
        <v>1975</v>
      </c>
      <c r="DA14" s="28">
        <f t="shared" si="71"/>
        <v>1722</v>
      </c>
      <c r="DB14" s="2">
        <f t="shared" si="41"/>
        <v>3697</v>
      </c>
      <c r="DC14" s="28">
        <f t="shared" si="72"/>
        <v>2339</v>
      </c>
      <c r="DD14" s="28">
        <f t="shared" si="73"/>
        <v>1928</v>
      </c>
      <c r="DE14" s="2">
        <f t="shared" si="43"/>
        <v>4267</v>
      </c>
      <c r="DF14" s="28">
        <f t="shared" si="44"/>
        <v>65.38</v>
      </c>
      <c r="DG14" s="28">
        <f t="shared" si="45"/>
        <v>64.66</v>
      </c>
      <c r="DH14" s="28">
        <f t="shared" si="46"/>
        <v>65.069999999999993</v>
      </c>
      <c r="DI14" s="28">
        <f t="shared" si="47"/>
        <v>63.28</v>
      </c>
      <c r="DJ14" s="28">
        <f t="shared" si="48"/>
        <v>63.9</v>
      </c>
      <c r="DK14" s="28">
        <f t="shared" si="49"/>
        <v>63.57</v>
      </c>
      <c r="DL14" s="28">
        <f t="shared" si="50"/>
        <v>64.47</v>
      </c>
      <c r="DM14" s="28">
        <f t="shared" si="51"/>
        <v>61.78</v>
      </c>
      <c r="DN14" s="28">
        <f t="shared" si="52"/>
        <v>63.22</v>
      </c>
      <c r="DO14" s="32">
        <f>90662+447</f>
        <v>91109</v>
      </c>
      <c r="DP14" s="32">
        <f>99095+290</f>
        <v>99385</v>
      </c>
      <c r="DQ14" s="2">
        <f t="shared" si="53"/>
        <v>190494</v>
      </c>
      <c r="DR14" s="32">
        <f>13640+96</f>
        <v>13736</v>
      </c>
      <c r="DS14" s="32">
        <f>14547+74</f>
        <v>14621</v>
      </c>
      <c r="DT14" s="2">
        <f t="shared" si="54"/>
        <v>28357</v>
      </c>
      <c r="DU14" s="32">
        <f>12117+114</f>
        <v>12231</v>
      </c>
      <c r="DV14" s="32">
        <f>15930+68</f>
        <v>15998</v>
      </c>
      <c r="DW14" s="2">
        <f t="shared" si="55"/>
        <v>28229</v>
      </c>
      <c r="DX14" s="42">
        <f>149317+7469</f>
        <v>156786</v>
      </c>
      <c r="DY14" s="42">
        <f>149798+5802</f>
        <v>155600</v>
      </c>
      <c r="DZ14" s="2">
        <f t="shared" si="56"/>
        <v>312386</v>
      </c>
      <c r="EA14" s="32">
        <f>30140+1786</f>
        <v>31926</v>
      </c>
      <c r="EB14" s="32">
        <f>30651+1556</f>
        <v>32207</v>
      </c>
      <c r="EC14" s="2">
        <f t="shared" si="57"/>
        <v>64133</v>
      </c>
      <c r="ED14" s="32">
        <f>34165+2119</f>
        <v>36284</v>
      </c>
      <c r="EE14" s="32">
        <f>37256+1773</f>
        <v>39029</v>
      </c>
      <c r="EF14" s="2">
        <f t="shared" si="58"/>
        <v>75313</v>
      </c>
      <c r="EG14" s="4">
        <f t="shared" si="59"/>
        <v>10832</v>
      </c>
      <c r="EH14" s="4">
        <f t="shared" si="60"/>
        <v>13</v>
      </c>
      <c r="EI14" s="4">
        <f t="shared" si="61"/>
        <v>-5369</v>
      </c>
      <c r="EJ14" s="4">
        <f t="shared" si="62"/>
        <v>-1149</v>
      </c>
      <c r="EK14" s="4">
        <f t="shared" si="63"/>
        <v>-1401</v>
      </c>
    </row>
    <row r="15" spans="1:142" s="34" customFormat="1" ht="33.75" customHeight="1">
      <c r="A15" s="51">
        <v>18</v>
      </c>
      <c r="B15" s="53" t="s">
        <v>90</v>
      </c>
      <c r="C15" s="48" t="s">
        <v>82</v>
      </c>
      <c r="D15" s="64">
        <v>42803</v>
      </c>
      <c r="E15" s="64">
        <v>42835</v>
      </c>
      <c r="F15" s="64">
        <v>42933</v>
      </c>
      <c r="G15" s="64">
        <v>42940</v>
      </c>
      <c r="H15" s="46">
        <v>1821</v>
      </c>
      <c r="I15" s="46">
        <v>228</v>
      </c>
      <c r="J15" s="46">
        <v>12617</v>
      </c>
      <c r="K15" s="46">
        <f t="shared" si="0"/>
        <v>14666</v>
      </c>
      <c r="L15" s="46">
        <v>274381</v>
      </c>
      <c r="M15" s="46">
        <v>18915</v>
      </c>
      <c r="N15" s="46">
        <v>1222290</v>
      </c>
      <c r="O15" s="46">
        <f t="shared" si="1"/>
        <v>1515586</v>
      </c>
      <c r="P15" s="46">
        <v>207681</v>
      </c>
      <c r="Q15" s="46">
        <v>18112</v>
      </c>
      <c r="R15" s="46">
        <v>1211350</v>
      </c>
      <c r="S15" s="46">
        <f t="shared" si="2"/>
        <v>1437143</v>
      </c>
      <c r="T15" s="46">
        <f t="shared" si="3"/>
        <v>94.82</v>
      </c>
      <c r="U15" s="46">
        <v>11413</v>
      </c>
      <c r="V15" s="46">
        <v>3498</v>
      </c>
      <c r="W15" s="46">
        <v>790</v>
      </c>
      <c r="X15" s="46">
        <v>304</v>
      </c>
      <c r="Y15" s="46">
        <v>131</v>
      </c>
      <c r="Z15" s="46">
        <v>67</v>
      </c>
      <c r="AA15" s="46">
        <v>145</v>
      </c>
      <c r="AB15" s="47">
        <f t="shared" si="4"/>
        <v>-1682</v>
      </c>
      <c r="AC15" s="46">
        <v>979745</v>
      </c>
      <c r="AD15" s="46">
        <v>671844</v>
      </c>
      <c r="AE15" s="46">
        <f t="shared" si="5"/>
        <v>1651589</v>
      </c>
      <c r="AF15" s="46">
        <v>78213</v>
      </c>
      <c r="AG15" s="46">
        <v>57214</v>
      </c>
      <c r="AH15" s="46">
        <f t="shared" si="6"/>
        <v>135427</v>
      </c>
      <c r="AI15" s="46">
        <v>31927</v>
      </c>
      <c r="AJ15" s="46">
        <v>26341</v>
      </c>
      <c r="AK15" s="2">
        <f t="shared" si="7"/>
        <v>58268</v>
      </c>
      <c r="AL15" s="46">
        <v>919505</v>
      </c>
      <c r="AM15" s="46">
        <v>624862</v>
      </c>
      <c r="AN15" s="46">
        <f t="shared" si="8"/>
        <v>1544367</v>
      </c>
      <c r="AO15" s="46">
        <v>68926</v>
      </c>
      <c r="AP15" s="46">
        <v>49190</v>
      </c>
      <c r="AQ15" s="46">
        <f t="shared" si="9"/>
        <v>118116</v>
      </c>
      <c r="AR15" s="46">
        <v>28422</v>
      </c>
      <c r="AS15" s="46">
        <v>23057</v>
      </c>
      <c r="AT15" s="46">
        <f t="shared" si="10"/>
        <v>51479</v>
      </c>
      <c r="AU15" s="46">
        <v>16903</v>
      </c>
      <c r="AV15" s="46">
        <v>11943</v>
      </c>
      <c r="AW15" s="46">
        <f t="shared" si="11"/>
        <v>28846</v>
      </c>
      <c r="AX15" s="46">
        <v>1670</v>
      </c>
      <c r="AY15" s="46">
        <v>1592</v>
      </c>
      <c r="AZ15" s="2">
        <f t="shared" si="12"/>
        <v>3262</v>
      </c>
      <c r="BA15" s="46">
        <v>1714</v>
      </c>
      <c r="BB15" s="46">
        <v>1738</v>
      </c>
      <c r="BC15" s="46">
        <f t="shared" si="13"/>
        <v>3452</v>
      </c>
      <c r="BD15" s="46">
        <f t="shared" si="75"/>
        <v>936408</v>
      </c>
      <c r="BE15" s="46">
        <f t="shared" si="74"/>
        <v>636805</v>
      </c>
      <c r="BF15" s="46">
        <f t="shared" si="15"/>
        <v>1573213</v>
      </c>
      <c r="BG15" s="46">
        <f t="shared" si="64"/>
        <v>70596</v>
      </c>
      <c r="BH15" s="46">
        <f t="shared" si="65"/>
        <v>50782</v>
      </c>
      <c r="BI15" s="46">
        <f t="shared" si="17"/>
        <v>121378</v>
      </c>
      <c r="BJ15" s="46">
        <f t="shared" si="66"/>
        <v>30136</v>
      </c>
      <c r="BK15" s="46">
        <f t="shared" si="67"/>
        <v>24795</v>
      </c>
      <c r="BL15" s="46">
        <f t="shared" si="19"/>
        <v>54931</v>
      </c>
      <c r="BM15" s="46">
        <f t="shared" si="20"/>
        <v>95.58</v>
      </c>
      <c r="BN15" s="46">
        <f t="shared" si="21"/>
        <v>94.78</v>
      </c>
      <c r="BO15" s="46">
        <f t="shared" si="22"/>
        <v>95.25</v>
      </c>
      <c r="BP15" s="46">
        <f t="shared" si="23"/>
        <v>90.26</v>
      </c>
      <c r="BQ15" s="46">
        <f t="shared" si="24"/>
        <v>88.76</v>
      </c>
      <c r="BR15" s="46">
        <f t="shared" si="25"/>
        <v>89.63</v>
      </c>
      <c r="BS15" s="46">
        <f t="shared" si="26"/>
        <v>94.39</v>
      </c>
      <c r="BT15" s="46">
        <f t="shared" si="27"/>
        <v>94.13</v>
      </c>
      <c r="BU15" s="46">
        <f t="shared" si="28"/>
        <v>94.27</v>
      </c>
      <c r="BV15" s="46">
        <v>3946</v>
      </c>
      <c r="BW15" s="46">
        <v>3511</v>
      </c>
      <c r="BX15" s="46">
        <f t="shared" si="29"/>
        <v>7457</v>
      </c>
      <c r="BY15" s="46">
        <v>48</v>
      </c>
      <c r="BZ15" s="46">
        <v>90</v>
      </c>
      <c r="CA15" s="2">
        <f t="shared" si="76"/>
        <v>138</v>
      </c>
      <c r="CB15" s="46">
        <v>15</v>
      </c>
      <c r="CC15" s="46">
        <v>5</v>
      </c>
      <c r="CD15" s="2">
        <f t="shared" si="31"/>
        <v>20</v>
      </c>
      <c r="CE15" s="46">
        <v>298</v>
      </c>
      <c r="CF15" s="46">
        <v>201</v>
      </c>
      <c r="CG15" s="46">
        <f t="shared" si="77"/>
        <v>499</v>
      </c>
      <c r="CH15" s="46">
        <v>27</v>
      </c>
      <c r="CI15" s="46">
        <v>9</v>
      </c>
      <c r="CJ15" s="2">
        <f t="shared" si="33"/>
        <v>36</v>
      </c>
      <c r="CK15" s="46">
        <v>4</v>
      </c>
      <c r="CL15" s="46">
        <v>3</v>
      </c>
      <c r="CM15" s="2">
        <f t="shared" si="34"/>
        <v>7</v>
      </c>
      <c r="CN15" s="46">
        <v>341</v>
      </c>
      <c r="CO15" s="46">
        <v>315</v>
      </c>
      <c r="CP15" s="2">
        <f t="shared" si="35"/>
        <v>656</v>
      </c>
      <c r="CQ15" s="46">
        <v>5</v>
      </c>
      <c r="CR15" s="46">
        <v>8</v>
      </c>
      <c r="CS15" s="2">
        <f t="shared" si="36"/>
        <v>13</v>
      </c>
      <c r="CT15" s="46">
        <v>2</v>
      </c>
      <c r="CU15" s="46">
        <v>0</v>
      </c>
      <c r="CV15" s="2">
        <f t="shared" si="37"/>
        <v>2</v>
      </c>
      <c r="CW15" s="46">
        <f t="shared" si="68"/>
        <v>639</v>
      </c>
      <c r="CX15" s="46">
        <f t="shared" si="69"/>
        <v>516</v>
      </c>
      <c r="CY15" s="46">
        <f t="shared" si="39"/>
        <v>1155</v>
      </c>
      <c r="CZ15" s="28">
        <f t="shared" si="70"/>
        <v>32</v>
      </c>
      <c r="DA15" s="28">
        <f t="shared" si="71"/>
        <v>17</v>
      </c>
      <c r="DB15" s="2">
        <f t="shared" si="41"/>
        <v>49</v>
      </c>
      <c r="DC15" s="28">
        <f t="shared" si="72"/>
        <v>6</v>
      </c>
      <c r="DD15" s="28">
        <f t="shared" si="73"/>
        <v>3</v>
      </c>
      <c r="DE15" s="2">
        <f t="shared" si="43"/>
        <v>9</v>
      </c>
      <c r="DF15" s="46">
        <f t="shared" si="44"/>
        <v>16.190000000000001</v>
      </c>
      <c r="DG15" s="46">
        <f t="shared" si="45"/>
        <v>14.7</v>
      </c>
      <c r="DH15" s="46">
        <f t="shared" si="46"/>
        <v>15.49</v>
      </c>
      <c r="DI15" s="28">
        <f t="shared" si="47"/>
        <v>66.67</v>
      </c>
      <c r="DJ15" s="28">
        <f t="shared" si="48"/>
        <v>18.89</v>
      </c>
      <c r="DK15" s="28">
        <f t="shared" si="49"/>
        <v>35.51</v>
      </c>
      <c r="DL15" s="28">
        <f t="shared" si="50"/>
        <v>40</v>
      </c>
      <c r="DM15" s="28">
        <f t="shared" si="51"/>
        <v>60</v>
      </c>
      <c r="DN15" s="28">
        <f t="shared" si="52"/>
        <v>45</v>
      </c>
      <c r="DO15" s="46">
        <v>722065</v>
      </c>
      <c r="DP15" s="46">
        <v>512751</v>
      </c>
      <c r="DQ15" s="46">
        <f t="shared" si="53"/>
        <v>1234816</v>
      </c>
      <c r="DR15" s="46">
        <v>48276</v>
      </c>
      <c r="DS15" s="46">
        <v>33982</v>
      </c>
      <c r="DT15" s="46">
        <f t="shared" si="54"/>
        <v>82258</v>
      </c>
      <c r="DU15" s="46">
        <v>18426</v>
      </c>
      <c r="DV15" s="46">
        <v>15088</v>
      </c>
      <c r="DW15" s="46">
        <f t="shared" si="55"/>
        <v>33514</v>
      </c>
      <c r="DX15" s="46">
        <v>197345</v>
      </c>
      <c r="DY15" s="46">
        <v>112084</v>
      </c>
      <c r="DZ15" s="46">
        <f t="shared" si="56"/>
        <v>309429</v>
      </c>
      <c r="EA15" s="46">
        <v>20642</v>
      </c>
      <c r="EB15" s="46">
        <v>15206</v>
      </c>
      <c r="EC15" s="46">
        <f t="shared" si="57"/>
        <v>35848</v>
      </c>
      <c r="ED15" s="46">
        <v>9996</v>
      </c>
      <c r="EE15" s="46">
        <v>7969</v>
      </c>
      <c r="EF15" s="46">
        <f t="shared" si="58"/>
        <v>17965</v>
      </c>
      <c r="EG15" s="46">
        <f t="shared" si="59"/>
        <v>-143460</v>
      </c>
      <c r="EH15" s="46">
        <f t="shared" si="60"/>
        <v>-137225</v>
      </c>
      <c r="EI15" s="46">
        <f t="shared" si="61"/>
        <v>-30123</v>
      </c>
      <c r="EJ15" s="46">
        <f t="shared" si="62"/>
        <v>-3321</v>
      </c>
      <c r="EK15" s="46">
        <f t="shared" si="63"/>
        <v>-3461</v>
      </c>
      <c r="EL15" s="3"/>
    </row>
    <row r="16" spans="1:142" s="34" customFormat="1" ht="28.5">
      <c r="A16" s="50">
        <v>6</v>
      </c>
      <c r="B16" s="35" t="s">
        <v>58</v>
      </c>
      <c r="C16" s="27" t="s">
        <v>59</v>
      </c>
      <c r="D16" s="63">
        <v>42780</v>
      </c>
      <c r="E16" s="63">
        <v>42795</v>
      </c>
      <c r="F16" s="63">
        <v>42933</v>
      </c>
      <c r="G16" s="63">
        <v>42935</v>
      </c>
      <c r="H16" s="6">
        <v>1</v>
      </c>
      <c r="I16" s="6">
        <v>5</v>
      </c>
      <c r="J16" s="6">
        <v>31</v>
      </c>
      <c r="K16" s="2">
        <f t="shared" si="0"/>
        <v>37</v>
      </c>
      <c r="L16" s="6">
        <v>6</v>
      </c>
      <c r="M16" s="6">
        <v>196</v>
      </c>
      <c r="N16" s="6">
        <v>561</v>
      </c>
      <c r="O16" s="2">
        <f t="shared" si="1"/>
        <v>763</v>
      </c>
      <c r="P16" s="6">
        <v>6</v>
      </c>
      <c r="Q16" s="6">
        <v>196</v>
      </c>
      <c r="R16" s="6">
        <v>517</v>
      </c>
      <c r="S16" s="2">
        <f t="shared" si="2"/>
        <v>719</v>
      </c>
      <c r="T16" s="15">
        <f t="shared" si="3"/>
        <v>94.23</v>
      </c>
      <c r="U16" s="6"/>
      <c r="V16" s="6"/>
      <c r="W16" s="6"/>
      <c r="X16" s="6"/>
      <c r="Y16" s="6"/>
      <c r="Z16" s="6"/>
      <c r="AA16" s="6"/>
      <c r="AB16" s="29">
        <f t="shared" si="4"/>
        <v>37</v>
      </c>
      <c r="AC16" s="30">
        <v>440</v>
      </c>
      <c r="AD16" s="30">
        <v>312</v>
      </c>
      <c r="AE16" s="2">
        <f t="shared" si="5"/>
        <v>752</v>
      </c>
      <c r="AF16" s="36">
        <v>38</v>
      </c>
      <c r="AG16" s="36">
        <v>50</v>
      </c>
      <c r="AH16" s="2">
        <f t="shared" si="6"/>
        <v>88</v>
      </c>
      <c r="AI16" s="31">
        <v>179</v>
      </c>
      <c r="AJ16" s="31">
        <v>106</v>
      </c>
      <c r="AK16" s="2">
        <f t="shared" si="7"/>
        <v>285</v>
      </c>
      <c r="AL16" s="30">
        <v>399</v>
      </c>
      <c r="AM16" s="30">
        <v>297</v>
      </c>
      <c r="AN16" s="2">
        <f t="shared" si="8"/>
        <v>696</v>
      </c>
      <c r="AO16" s="36">
        <v>35</v>
      </c>
      <c r="AP16" s="36">
        <v>46</v>
      </c>
      <c r="AQ16" s="2">
        <f t="shared" si="9"/>
        <v>81</v>
      </c>
      <c r="AR16" s="31">
        <v>174</v>
      </c>
      <c r="AS16" s="31">
        <v>102</v>
      </c>
      <c r="AT16" s="2">
        <f t="shared" si="10"/>
        <v>276</v>
      </c>
      <c r="AU16" s="31">
        <v>10</v>
      </c>
      <c r="AV16" s="31">
        <v>2</v>
      </c>
      <c r="AW16" s="2">
        <f t="shared" si="11"/>
        <v>12</v>
      </c>
      <c r="AX16" s="33">
        <v>1</v>
      </c>
      <c r="AY16" s="33">
        <v>2</v>
      </c>
      <c r="AZ16" s="2">
        <f t="shared" si="12"/>
        <v>3</v>
      </c>
      <c r="BA16" s="31">
        <v>1</v>
      </c>
      <c r="BB16" s="31">
        <v>1</v>
      </c>
      <c r="BC16" s="2">
        <f t="shared" si="13"/>
        <v>2</v>
      </c>
      <c r="BD16" s="28">
        <f t="shared" si="75"/>
        <v>409</v>
      </c>
      <c r="BE16" s="28">
        <f t="shared" si="74"/>
        <v>299</v>
      </c>
      <c r="BF16" s="2">
        <f t="shared" si="15"/>
        <v>708</v>
      </c>
      <c r="BG16" s="28">
        <f t="shared" si="64"/>
        <v>36</v>
      </c>
      <c r="BH16" s="28">
        <f t="shared" si="65"/>
        <v>48</v>
      </c>
      <c r="BI16" s="2">
        <f t="shared" si="17"/>
        <v>84</v>
      </c>
      <c r="BJ16" s="28">
        <f t="shared" si="66"/>
        <v>175</v>
      </c>
      <c r="BK16" s="28">
        <f t="shared" si="67"/>
        <v>103</v>
      </c>
      <c r="BL16" s="2">
        <f t="shared" si="19"/>
        <v>278</v>
      </c>
      <c r="BM16" s="28">
        <f t="shared" si="20"/>
        <v>92.95</v>
      </c>
      <c r="BN16" s="28">
        <f t="shared" si="21"/>
        <v>95.83</v>
      </c>
      <c r="BO16" s="28">
        <f t="shared" si="22"/>
        <v>94.15</v>
      </c>
      <c r="BP16" s="28">
        <f t="shared" si="23"/>
        <v>94.74</v>
      </c>
      <c r="BQ16" s="28">
        <f t="shared" si="24"/>
        <v>96</v>
      </c>
      <c r="BR16" s="28">
        <f t="shared" si="25"/>
        <v>95.45</v>
      </c>
      <c r="BS16" s="28">
        <f t="shared" si="26"/>
        <v>97.77</v>
      </c>
      <c r="BT16" s="28">
        <f t="shared" si="27"/>
        <v>97.17</v>
      </c>
      <c r="BU16" s="28">
        <f t="shared" si="28"/>
        <v>97.54</v>
      </c>
      <c r="BV16" s="30">
        <v>10</v>
      </c>
      <c r="BW16" s="30">
        <v>1</v>
      </c>
      <c r="BX16" s="2">
        <f t="shared" si="29"/>
        <v>11</v>
      </c>
      <c r="BY16" s="31">
        <v>0</v>
      </c>
      <c r="BZ16" s="31">
        <v>1</v>
      </c>
      <c r="CA16" s="2">
        <f t="shared" si="76"/>
        <v>1</v>
      </c>
      <c r="CB16" s="31">
        <v>1</v>
      </c>
      <c r="CC16" s="31">
        <v>0</v>
      </c>
      <c r="CD16" s="2">
        <f t="shared" si="31"/>
        <v>1</v>
      </c>
      <c r="CE16" s="30">
        <v>10</v>
      </c>
      <c r="CF16" s="30">
        <v>1</v>
      </c>
      <c r="CG16" s="2">
        <f t="shared" si="77"/>
        <v>11</v>
      </c>
      <c r="CH16" s="31">
        <v>0</v>
      </c>
      <c r="CI16" s="31">
        <v>1</v>
      </c>
      <c r="CJ16" s="2">
        <f t="shared" si="33"/>
        <v>1</v>
      </c>
      <c r="CK16" s="31">
        <v>1</v>
      </c>
      <c r="CL16" s="31">
        <v>0</v>
      </c>
      <c r="CM16" s="2">
        <f t="shared" si="34"/>
        <v>1</v>
      </c>
      <c r="CN16" s="33">
        <v>0</v>
      </c>
      <c r="CO16" s="31">
        <v>0</v>
      </c>
      <c r="CP16" s="2">
        <f t="shared" si="35"/>
        <v>0</v>
      </c>
      <c r="CQ16" s="31">
        <v>0</v>
      </c>
      <c r="CR16" s="31">
        <v>0</v>
      </c>
      <c r="CS16" s="2">
        <f t="shared" si="36"/>
        <v>0</v>
      </c>
      <c r="CT16" s="31">
        <v>0</v>
      </c>
      <c r="CU16" s="31">
        <v>0</v>
      </c>
      <c r="CV16" s="2">
        <f t="shared" si="37"/>
        <v>0</v>
      </c>
      <c r="CW16" s="28">
        <f t="shared" si="68"/>
        <v>10</v>
      </c>
      <c r="CX16" s="28">
        <f t="shared" si="69"/>
        <v>1</v>
      </c>
      <c r="CY16" s="2">
        <f t="shared" si="39"/>
        <v>11</v>
      </c>
      <c r="CZ16" s="28">
        <f t="shared" si="70"/>
        <v>0</v>
      </c>
      <c r="DA16" s="28">
        <f t="shared" si="71"/>
        <v>1</v>
      </c>
      <c r="DB16" s="2">
        <f t="shared" si="41"/>
        <v>1</v>
      </c>
      <c r="DC16" s="28">
        <f t="shared" si="72"/>
        <v>1</v>
      </c>
      <c r="DD16" s="28">
        <f t="shared" si="73"/>
        <v>0</v>
      </c>
      <c r="DE16" s="2">
        <f t="shared" si="43"/>
        <v>1</v>
      </c>
      <c r="DF16" s="28">
        <f t="shared" si="44"/>
        <v>100</v>
      </c>
      <c r="DG16" s="28">
        <f t="shared" si="45"/>
        <v>100</v>
      </c>
      <c r="DH16" s="28">
        <f t="shared" si="46"/>
        <v>100</v>
      </c>
      <c r="DI16" s="28" t="e">
        <f t="shared" si="47"/>
        <v>#DIV/0!</v>
      </c>
      <c r="DJ16" s="28">
        <f t="shared" si="48"/>
        <v>100</v>
      </c>
      <c r="DK16" s="28">
        <f t="shared" si="49"/>
        <v>100</v>
      </c>
      <c r="DL16" s="28">
        <f t="shared" si="50"/>
        <v>100</v>
      </c>
      <c r="DM16" s="28" t="e">
        <f t="shared" si="51"/>
        <v>#DIV/0!</v>
      </c>
      <c r="DN16" s="28">
        <f t="shared" si="52"/>
        <v>100</v>
      </c>
      <c r="DO16" s="32">
        <v>0</v>
      </c>
      <c r="DP16" s="32">
        <v>0</v>
      </c>
      <c r="DQ16" s="2">
        <f t="shared" si="53"/>
        <v>0</v>
      </c>
      <c r="DR16" s="37">
        <v>0</v>
      </c>
      <c r="DS16" s="37">
        <v>0</v>
      </c>
      <c r="DT16" s="2">
        <f t="shared" si="54"/>
        <v>0</v>
      </c>
      <c r="DU16" s="32">
        <v>0</v>
      </c>
      <c r="DV16" s="32">
        <v>0</v>
      </c>
      <c r="DW16" s="2">
        <f t="shared" si="55"/>
        <v>0</v>
      </c>
      <c r="DX16" s="32">
        <v>10</v>
      </c>
      <c r="DY16" s="32">
        <v>1</v>
      </c>
      <c r="DZ16" s="2">
        <f t="shared" si="56"/>
        <v>11</v>
      </c>
      <c r="EA16" s="38">
        <v>0</v>
      </c>
      <c r="EB16" s="38">
        <v>1</v>
      </c>
      <c r="EC16" s="2">
        <f t="shared" si="57"/>
        <v>1</v>
      </c>
      <c r="ED16" s="32">
        <v>1</v>
      </c>
      <c r="EE16" s="32">
        <v>0</v>
      </c>
      <c r="EF16" s="2">
        <f t="shared" si="58"/>
        <v>1</v>
      </c>
      <c r="EG16" s="4">
        <f t="shared" si="59"/>
        <v>0</v>
      </c>
      <c r="EH16" s="4">
        <f t="shared" si="60"/>
        <v>0</v>
      </c>
      <c r="EI16" s="4">
        <f t="shared" si="61"/>
        <v>-708</v>
      </c>
      <c r="EJ16" s="4">
        <f t="shared" si="62"/>
        <v>-84</v>
      </c>
      <c r="EK16" s="4">
        <f t="shared" si="63"/>
        <v>-278</v>
      </c>
    </row>
    <row r="17" spans="1:142" s="34" customFormat="1" ht="32.25" customHeight="1">
      <c r="A17" s="51">
        <v>35</v>
      </c>
      <c r="B17" s="45" t="s">
        <v>58</v>
      </c>
      <c r="C17" s="46" t="s">
        <v>59</v>
      </c>
      <c r="D17" s="64">
        <v>42780</v>
      </c>
      <c r="E17" s="64">
        <v>42795</v>
      </c>
      <c r="F17" s="64">
        <v>42933</v>
      </c>
      <c r="G17" s="64">
        <v>42935</v>
      </c>
      <c r="H17" s="46">
        <v>1</v>
      </c>
      <c r="I17" s="46">
        <v>5</v>
      </c>
      <c r="J17" s="46">
        <v>31</v>
      </c>
      <c r="K17" s="46">
        <f t="shared" si="0"/>
        <v>37</v>
      </c>
      <c r="L17" s="46">
        <v>6</v>
      </c>
      <c r="M17" s="46">
        <v>196</v>
      </c>
      <c r="N17" s="46">
        <v>561</v>
      </c>
      <c r="O17" s="46">
        <f t="shared" si="1"/>
        <v>763</v>
      </c>
      <c r="P17" s="46">
        <v>6</v>
      </c>
      <c r="Q17" s="46">
        <v>196</v>
      </c>
      <c r="R17" s="46">
        <v>517</v>
      </c>
      <c r="S17" s="46">
        <f t="shared" si="2"/>
        <v>719</v>
      </c>
      <c r="T17" s="46">
        <f t="shared" si="3"/>
        <v>94.23</v>
      </c>
      <c r="U17" s="46">
        <v>0</v>
      </c>
      <c r="V17" s="46">
        <v>0</v>
      </c>
      <c r="W17" s="46">
        <v>0</v>
      </c>
      <c r="X17" s="46">
        <v>1</v>
      </c>
      <c r="Y17" s="46">
        <v>218</v>
      </c>
      <c r="Z17" s="46">
        <v>386</v>
      </c>
      <c r="AA17" s="46">
        <v>114</v>
      </c>
      <c r="AB17" s="47">
        <f t="shared" si="4"/>
        <v>-682</v>
      </c>
      <c r="AC17" s="46">
        <v>440</v>
      </c>
      <c r="AD17" s="46">
        <v>312</v>
      </c>
      <c r="AE17" s="46">
        <f t="shared" si="5"/>
        <v>752</v>
      </c>
      <c r="AF17" s="46">
        <v>38</v>
      </c>
      <c r="AG17" s="46">
        <v>50</v>
      </c>
      <c r="AH17" s="46">
        <f t="shared" si="6"/>
        <v>88</v>
      </c>
      <c r="AI17" s="46">
        <v>179</v>
      </c>
      <c r="AJ17" s="46">
        <v>106</v>
      </c>
      <c r="AK17" s="46">
        <f t="shared" si="7"/>
        <v>285</v>
      </c>
      <c r="AL17" s="46">
        <v>399</v>
      </c>
      <c r="AM17" s="46">
        <v>297</v>
      </c>
      <c r="AN17" s="46">
        <f t="shared" si="8"/>
        <v>696</v>
      </c>
      <c r="AO17" s="46">
        <v>35</v>
      </c>
      <c r="AP17" s="46">
        <v>46</v>
      </c>
      <c r="AQ17" s="46">
        <f t="shared" si="9"/>
        <v>81</v>
      </c>
      <c r="AR17" s="46">
        <v>174</v>
      </c>
      <c r="AS17" s="46">
        <v>102</v>
      </c>
      <c r="AT17" s="46">
        <f t="shared" si="10"/>
        <v>276</v>
      </c>
      <c r="AU17" s="46">
        <v>10</v>
      </c>
      <c r="AV17" s="46">
        <v>2</v>
      </c>
      <c r="AW17" s="46">
        <f t="shared" si="11"/>
        <v>12</v>
      </c>
      <c r="AX17" s="46">
        <v>1</v>
      </c>
      <c r="AY17" s="46">
        <v>2</v>
      </c>
      <c r="AZ17" s="46">
        <f t="shared" si="12"/>
        <v>3</v>
      </c>
      <c r="BA17" s="46">
        <v>1</v>
      </c>
      <c r="BB17" s="46">
        <v>1</v>
      </c>
      <c r="BC17" s="46">
        <f t="shared" si="13"/>
        <v>2</v>
      </c>
      <c r="BD17" s="46">
        <f t="shared" si="75"/>
        <v>409</v>
      </c>
      <c r="BE17" s="46">
        <f t="shared" si="74"/>
        <v>299</v>
      </c>
      <c r="BF17" s="46">
        <f t="shared" si="15"/>
        <v>708</v>
      </c>
      <c r="BG17" s="46">
        <f t="shared" si="64"/>
        <v>36</v>
      </c>
      <c r="BH17" s="46">
        <f t="shared" si="65"/>
        <v>48</v>
      </c>
      <c r="BI17" s="46">
        <f t="shared" si="17"/>
        <v>84</v>
      </c>
      <c r="BJ17" s="46">
        <f t="shared" si="66"/>
        <v>175</v>
      </c>
      <c r="BK17" s="46">
        <f t="shared" si="67"/>
        <v>103</v>
      </c>
      <c r="BL17" s="46">
        <f t="shared" si="19"/>
        <v>278</v>
      </c>
      <c r="BM17" s="46">
        <f t="shared" si="20"/>
        <v>92.95</v>
      </c>
      <c r="BN17" s="46">
        <f t="shared" si="21"/>
        <v>95.83</v>
      </c>
      <c r="BO17" s="46">
        <f t="shared" si="22"/>
        <v>94.15</v>
      </c>
      <c r="BP17" s="46">
        <f t="shared" si="23"/>
        <v>94.74</v>
      </c>
      <c r="BQ17" s="46">
        <f t="shared" si="24"/>
        <v>96</v>
      </c>
      <c r="BR17" s="46">
        <f t="shared" si="25"/>
        <v>95.45</v>
      </c>
      <c r="BS17" s="46">
        <f t="shared" si="26"/>
        <v>97.77</v>
      </c>
      <c r="BT17" s="46">
        <f t="shared" si="27"/>
        <v>97.17</v>
      </c>
      <c r="BU17" s="46">
        <f t="shared" si="28"/>
        <v>97.54</v>
      </c>
      <c r="BV17" s="46">
        <v>10</v>
      </c>
      <c r="BW17" s="46">
        <v>1</v>
      </c>
      <c r="BX17" s="46">
        <f t="shared" si="29"/>
        <v>11</v>
      </c>
      <c r="BY17" s="46">
        <v>0</v>
      </c>
      <c r="BZ17" s="46">
        <v>1</v>
      </c>
      <c r="CA17" s="46">
        <f t="shared" si="76"/>
        <v>1</v>
      </c>
      <c r="CB17" s="46">
        <v>1</v>
      </c>
      <c r="CC17" s="46">
        <v>0</v>
      </c>
      <c r="CD17" s="46">
        <f t="shared" si="31"/>
        <v>1</v>
      </c>
      <c r="CE17" s="46">
        <v>10</v>
      </c>
      <c r="CF17" s="46">
        <v>1</v>
      </c>
      <c r="CG17" s="46">
        <f t="shared" si="77"/>
        <v>11</v>
      </c>
      <c r="CH17" s="46">
        <v>0</v>
      </c>
      <c r="CI17" s="46">
        <v>1</v>
      </c>
      <c r="CJ17" s="46">
        <f t="shared" si="33"/>
        <v>1</v>
      </c>
      <c r="CK17" s="46">
        <v>1</v>
      </c>
      <c r="CL17" s="46">
        <v>0</v>
      </c>
      <c r="CM17" s="46">
        <f t="shared" si="34"/>
        <v>1</v>
      </c>
      <c r="CN17" s="46">
        <v>0</v>
      </c>
      <c r="CO17" s="46">
        <v>0</v>
      </c>
      <c r="CP17" s="46">
        <f t="shared" si="35"/>
        <v>0</v>
      </c>
      <c r="CQ17" s="46">
        <v>0</v>
      </c>
      <c r="CR17" s="46">
        <v>0</v>
      </c>
      <c r="CS17" s="46">
        <f t="shared" si="36"/>
        <v>0</v>
      </c>
      <c r="CT17" s="46">
        <v>0</v>
      </c>
      <c r="CU17" s="46">
        <v>0</v>
      </c>
      <c r="CV17" s="46">
        <f t="shared" si="37"/>
        <v>0</v>
      </c>
      <c r="CW17" s="46">
        <f t="shared" si="68"/>
        <v>10</v>
      </c>
      <c r="CX17" s="46">
        <f t="shared" si="69"/>
        <v>1</v>
      </c>
      <c r="CY17" s="46">
        <f t="shared" si="39"/>
        <v>11</v>
      </c>
      <c r="CZ17" s="46">
        <f t="shared" si="70"/>
        <v>0</v>
      </c>
      <c r="DA17" s="46">
        <f t="shared" si="71"/>
        <v>1</v>
      </c>
      <c r="DB17" s="46">
        <f t="shared" si="41"/>
        <v>1</v>
      </c>
      <c r="DC17" s="46">
        <f t="shared" si="72"/>
        <v>1</v>
      </c>
      <c r="DD17" s="46">
        <f t="shared" si="73"/>
        <v>0</v>
      </c>
      <c r="DE17" s="46">
        <f t="shared" si="43"/>
        <v>1</v>
      </c>
      <c r="DF17" s="46">
        <f t="shared" si="44"/>
        <v>100</v>
      </c>
      <c r="DG17" s="46">
        <f t="shared" si="45"/>
        <v>100</v>
      </c>
      <c r="DH17" s="46">
        <f t="shared" si="46"/>
        <v>100</v>
      </c>
      <c r="DI17" s="46" t="e">
        <f t="shared" si="47"/>
        <v>#DIV/0!</v>
      </c>
      <c r="DJ17" s="46">
        <f t="shared" si="48"/>
        <v>100</v>
      </c>
      <c r="DK17" s="46">
        <f t="shared" si="49"/>
        <v>100</v>
      </c>
      <c r="DL17" s="46">
        <f t="shared" si="50"/>
        <v>100</v>
      </c>
      <c r="DM17" s="46" t="e">
        <f t="shared" si="51"/>
        <v>#DIV/0!</v>
      </c>
      <c r="DN17" s="46">
        <f t="shared" si="52"/>
        <v>100</v>
      </c>
      <c r="DO17" s="46">
        <v>0</v>
      </c>
      <c r="DP17" s="46">
        <v>0</v>
      </c>
      <c r="DQ17" s="46">
        <f t="shared" si="53"/>
        <v>0</v>
      </c>
      <c r="DR17" s="46">
        <v>0</v>
      </c>
      <c r="DS17" s="46">
        <v>0</v>
      </c>
      <c r="DT17" s="46">
        <f t="shared" si="54"/>
        <v>0</v>
      </c>
      <c r="DU17" s="46">
        <v>0</v>
      </c>
      <c r="DV17" s="46">
        <v>0</v>
      </c>
      <c r="DW17" s="46">
        <f t="shared" si="55"/>
        <v>0</v>
      </c>
      <c r="DX17" s="46">
        <v>10</v>
      </c>
      <c r="DY17" s="46">
        <v>1</v>
      </c>
      <c r="DZ17" s="46">
        <f t="shared" si="56"/>
        <v>11</v>
      </c>
      <c r="EA17" s="46">
        <v>0</v>
      </c>
      <c r="EB17" s="46">
        <v>1</v>
      </c>
      <c r="EC17" s="46">
        <f t="shared" si="57"/>
        <v>1</v>
      </c>
      <c r="ED17" s="46">
        <v>1</v>
      </c>
      <c r="EE17" s="46">
        <v>0</v>
      </c>
      <c r="EF17" s="46">
        <f t="shared" si="58"/>
        <v>1</v>
      </c>
      <c r="EG17" s="46">
        <f t="shared" si="59"/>
        <v>0</v>
      </c>
      <c r="EH17" s="46">
        <f t="shared" si="60"/>
        <v>0</v>
      </c>
      <c r="EI17" s="46">
        <f t="shared" si="61"/>
        <v>-708</v>
      </c>
      <c r="EJ17" s="46">
        <f t="shared" si="62"/>
        <v>-84</v>
      </c>
      <c r="EK17" s="46">
        <f t="shared" si="63"/>
        <v>-278</v>
      </c>
      <c r="EL17" s="3"/>
    </row>
    <row r="18" spans="1:142" s="34" customFormat="1" ht="36.75" customHeight="1">
      <c r="A18" s="49">
        <v>5</v>
      </c>
      <c r="B18" s="35" t="s">
        <v>56</v>
      </c>
      <c r="C18" s="27" t="s">
        <v>57</v>
      </c>
      <c r="D18" s="63">
        <v>42776</v>
      </c>
      <c r="E18" s="63">
        <v>42796</v>
      </c>
      <c r="F18" s="63">
        <v>42908</v>
      </c>
      <c r="G18" s="63">
        <v>42921</v>
      </c>
      <c r="H18" s="6">
        <v>4146</v>
      </c>
      <c r="I18" s="6">
        <v>0</v>
      </c>
      <c r="J18" s="6">
        <v>1822</v>
      </c>
      <c r="K18" s="2">
        <f t="shared" si="0"/>
        <v>5968</v>
      </c>
      <c r="L18" s="6">
        <v>305649</v>
      </c>
      <c r="M18" s="6">
        <v>0</v>
      </c>
      <c r="N18" s="6">
        <v>80700</v>
      </c>
      <c r="O18" s="2">
        <f t="shared" si="1"/>
        <v>386349</v>
      </c>
      <c r="P18" s="6">
        <v>180743</v>
      </c>
      <c r="Q18" s="6"/>
      <c r="R18" s="6">
        <v>58955</v>
      </c>
      <c r="S18" s="2">
        <f t="shared" si="2"/>
        <v>239698</v>
      </c>
      <c r="T18" s="15">
        <f t="shared" si="3"/>
        <v>62.04</v>
      </c>
      <c r="U18" s="6">
        <v>133</v>
      </c>
      <c r="V18" s="6">
        <v>364</v>
      </c>
      <c r="W18" s="6">
        <v>735</v>
      </c>
      <c r="X18" s="6">
        <v>954</v>
      </c>
      <c r="Y18" s="6">
        <v>1138</v>
      </c>
      <c r="Z18" s="6">
        <v>1016</v>
      </c>
      <c r="AA18" s="6">
        <v>1582</v>
      </c>
      <c r="AB18" s="29">
        <f t="shared" si="4"/>
        <v>46</v>
      </c>
      <c r="AC18" s="30">
        <v>178996</v>
      </c>
      <c r="AD18" s="30">
        <v>207353</v>
      </c>
      <c r="AE18" s="2">
        <f t="shared" si="5"/>
        <v>386349</v>
      </c>
      <c r="AF18" s="31">
        <v>26952</v>
      </c>
      <c r="AG18" s="31">
        <v>30817</v>
      </c>
      <c r="AH18" s="2">
        <f t="shared" si="6"/>
        <v>57769</v>
      </c>
      <c r="AI18" s="31">
        <v>49726</v>
      </c>
      <c r="AJ18" s="31">
        <v>60802</v>
      </c>
      <c r="AK18" s="2">
        <f t="shared" si="7"/>
        <v>110528</v>
      </c>
      <c r="AL18" s="30">
        <v>107373</v>
      </c>
      <c r="AM18" s="30">
        <v>128962</v>
      </c>
      <c r="AN18" s="2">
        <f t="shared" si="8"/>
        <v>236335</v>
      </c>
      <c r="AO18" s="31">
        <v>15126</v>
      </c>
      <c r="AP18" s="31">
        <v>17842</v>
      </c>
      <c r="AQ18" s="2">
        <f t="shared" si="9"/>
        <v>32968</v>
      </c>
      <c r="AR18" s="31">
        <v>28783</v>
      </c>
      <c r="AS18" s="31">
        <v>35256</v>
      </c>
      <c r="AT18" s="2">
        <f t="shared" si="10"/>
        <v>64039</v>
      </c>
      <c r="AU18" s="32">
        <v>1587</v>
      </c>
      <c r="AV18" s="32">
        <v>1779</v>
      </c>
      <c r="AW18" s="2">
        <f t="shared" si="11"/>
        <v>3366</v>
      </c>
      <c r="AX18" s="31">
        <v>270</v>
      </c>
      <c r="AY18" s="31">
        <v>297</v>
      </c>
      <c r="AZ18" s="2">
        <f t="shared" si="12"/>
        <v>567</v>
      </c>
      <c r="BA18" s="31">
        <v>367</v>
      </c>
      <c r="BB18" s="31">
        <v>442</v>
      </c>
      <c r="BC18" s="2">
        <f t="shared" si="13"/>
        <v>809</v>
      </c>
      <c r="BD18" s="28">
        <f t="shared" si="75"/>
        <v>108960</v>
      </c>
      <c r="BE18" s="28">
        <f t="shared" si="74"/>
        <v>130741</v>
      </c>
      <c r="BF18" s="2">
        <f t="shared" si="15"/>
        <v>239701</v>
      </c>
      <c r="BG18" s="28">
        <f t="shared" si="64"/>
        <v>15396</v>
      </c>
      <c r="BH18" s="28">
        <f t="shared" si="65"/>
        <v>18139</v>
      </c>
      <c r="BI18" s="2">
        <f t="shared" si="17"/>
        <v>33535</v>
      </c>
      <c r="BJ18" s="28">
        <f t="shared" si="66"/>
        <v>29150</v>
      </c>
      <c r="BK18" s="28">
        <f t="shared" si="67"/>
        <v>35698</v>
      </c>
      <c r="BL18" s="2">
        <f t="shared" si="19"/>
        <v>64848</v>
      </c>
      <c r="BM18" s="28">
        <f t="shared" si="20"/>
        <v>60.87</v>
      </c>
      <c r="BN18" s="28">
        <f t="shared" si="21"/>
        <v>63.05</v>
      </c>
      <c r="BO18" s="28">
        <f t="shared" si="22"/>
        <v>62.04</v>
      </c>
      <c r="BP18" s="28">
        <f t="shared" si="23"/>
        <v>57.12</v>
      </c>
      <c r="BQ18" s="28">
        <f t="shared" si="24"/>
        <v>58.86</v>
      </c>
      <c r="BR18" s="28">
        <f t="shared" si="25"/>
        <v>58.05</v>
      </c>
      <c r="BS18" s="28">
        <f t="shared" si="26"/>
        <v>58.62</v>
      </c>
      <c r="BT18" s="28">
        <f t="shared" si="27"/>
        <v>58.71</v>
      </c>
      <c r="BU18" s="28">
        <f t="shared" si="28"/>
        <v>58.67</v>
      </c>
      <c r="BV18" s="30">
        <v>5912</v>
      </c>
      <c r="BW18" s="30">
        <v>4752</v>
      </c>
      <c r="BX18" s="2">
        <f t="shared" si="29"/>
        <v>10664</v>
      </c>
      <c r="BY18" s="31">
        <v>896</v>
      </c>
      <c r="BZ18" s="31">
        <v>693</v>
      </c>
      <c r="CA18" s="2">
        <f t="shared" si="76"/>
        <v>1589</v>
      </c>
      <c r="CB18" s="31">
        <v>1364</v>
      </c>
      <c r="CC18" s="31">
        <v>1315</v>
      </c>
      <c r="CD18" s="2">
        <f t="shared" si="31"/>
        <v>2679</v>
      </c>
      <c r="CE18" s="30">
        <v>2000</v>
      </c>
      <c r="CF18" s="30">
        <v>1945</v>
      </c>
      <c r="CG18" s="2">
        <f t="shared" si="77"/>
        <v>3945</v>
      </c>
      <c r="CH18" s="31">
        <v>295</v>
      </c>
      <c r="CI18" s="31">
        <v>325</v>
      </c>
      <c r="CJ18" s="2">
        <f t="shared" si="33"/>
        <v>620</v>
      </c>
      <c r="CK18" s="31">
        <v>468</v>
      </c>
      <c r="CL18" s="31">
        <v>496</v>
      </c>
      <c r="CM18" s="2">
        <f t="shared" si="34"/>
        <v>964</v>
      </c>
      <c r="CN18" s="31">
        <v>773</v>
      </c>
      <c r="CO18" s="31">
        <v>639</v>
      </c>
      <c r="CP18" s="2">
        <f t="shared" si="35"/>
        <v>1412</v>
      </c>
      <c r="CQ18" s="31">
        <v>121</v>
      </c>
      <c r="CR18" s="31">
        <v>112</v>
      </c>
      <c r="CS18" s="2">
        <f t="shared" si="36"/>
        <v>233</v>
      </c>
      <c r="CT18" s="31">
        <v>169</v>
      </c>
      <c r="CU18" s="31">
        <v>126</v>
      </c>
      <c r="CV18" s="2">
        <f t="shared" si="37"/>
        <v>295</v>
      </c>
      <c r="CW18" s="28">
        <f t="shared" si="68"/>
        <v>2773</v>
      </c>
      <c r="CX18" s="28">
        <f t="shared" si="69"/>
        <v>2584</v>
      </c>
      <c r="CY18" s="2">
        <f t="shared" si="39"/>
        <v>5357</v>
      </c>
      <c r="CZ18" s="28">
        <f t="shared" si="70"/>
        <v>416</v>
      </c>
      <c r="DA18" s="28">
        <f t="shared" si="71"/>
        <v>437</v>
      </c>
      <c r="DB18" s="2">
        <f t="shared" si="41"/>
        <v>853</v>
      </c>
      <c r="DC18" s="28">
        <f t="shared" si="72"/>
        <v>637</v>
      </c>
      <c r="DD18" s="28">
        <f t="shared" si="73"/>
        <v>622</v>
      </c>
      <c r="DE18" s="2">
        <f t="shared" si="43"/>
        <v>1259</v>
      </c>
      <c r="DF18" s="28">
        <f t="shared" si="44"/>
        <v>46.9</v>
      </c>
      <c r="DG18" s="28">
        <f t="shared" si="45"/>
        <v>54.38</v>
      </c>
      <c r="DH18" s="28">
        <f t="shared" si="46"/>
        <v>50.23</v>
      </c>
      <c r="DI18" s="28">
        <f t="shared" si="47"/>
        <v>46.43</v>
      </c>
      <c r="DJ18" s="28">
        <f t="shared" si="48"/>
        <v>63.06</v>
      </c>
      <c r="DK18" s="28">
        <f t="shared" si="49"/>
        <v>53.68</v>
      </c>
      <c r="DL18" s="28">
        <f t="shared" si="50"/>
        <v>46.7</v>
      </c>
      <c r="DM18" s="28">
        <f t="shared" si="51"/>
        <v>47.3</v>
      </c>
      <c r="DN18" s="28">
        <f t="shared" si="52"/>
        <v>47</v>
      </c>
      <c r="DO18" s="32">
        <v>23202</v>
      </c>
      <c r="DP18" s="32">
        <v>25872</v>
      </c>
      <c r="DQ18" s="2">
        <f t="shared" si="53"/>
        <v>49074</v>
      </c>
      <c r="DR18" s="32">
        <v>3074</v>
      </c>
      <c r="DS18" s="32">
        <v>3154</v>
      </c>
      <c r="DT18" s="2">
        <f t="shared" si="54"/>
        <v>6228</v>
      </c>
      <c r="DU18" s="32">
        <v>4162</v>
      </c>
      <c r="DV18" s="32">
        <v>4396</v>
      </c>
      <c r="DW18" s="2">
        <f t="shared" si="55"/>
        <v>8558</v>
      </c>
      <c r="DX18" s="32">
        <v>84171</v>
      </c>
      <c r="DY18" s="32">
        <v>103090</v>
      </c>
      <c r="DZ18" s="2">
        <f t="shared" si="56"/>
        <v>187261</v>
      </c>
      <c r="EA18" s="32">
        <v>12052</v>
      </c>
      <c r="EB18" s="32">
        <v>14688</v>
      </c>
      <c r="EC18" s="2">
        <f t="shared" si="57"/>
        <v>26740</v>
      </c>
      <c r="ED18" s="32">
        <v>24621</v>
      </c>
      <c r="EE18" s="32">
        <v>30860</v>
      </c>
      <c r="EF18" s="2">
        <f t="shared" si="58"/>
        <v>55481</v>
      </c>
      <c r="EG18" s="4">
        <f t="shared" si="59"/>
        <v>-10664</v>
      </c>
      <c r="EH18" s="4">
        <f t="shared" si="60"/>
        <v>-5360</v>
      </c>
      <c r="EI18" s="4">
        <f t="shared" si="61"/>
        <v>-8723</v>
      </c>
      <c r="EJ18" s="4">
        <f t="shared" si="62"/>
        <v>-1420</v>
      </c>
      <c r="EK18" s="4">
        <f t="shared" si="63"/>
        <v>-2068</v>
      </c>
    </row>
    <row r="19" spans="1:142" s="34" customFormat="1" ht="31.5" customHeight="1">
      <c r="A19" s="51">
        <v>22</v>
      </c>
      <c r="B19" s="45" t="s">
        <v>93</v>
      </c>
      <c r="C19" s="48" t="s">
        <v>94</v>
      </c>
      <c r="D19" s="64">
        <v>43013</v>
      </c>
      <c r="E19" s="64">
        <v>43020</v>
      </c>
      <c r="F19" s="65" t="s">
        <v>75</v>
      </c>
      <c r="G19" s="65" t="s">
        <v>75</v>
      </c>
      <c r="H19" s="46">
        <v>0</v>
      </c>
      <c r="I19" s="46">
        <v>0</v>
      </c>
      <c r="J19" s="46">
        <v>0</v>
      </c>
      <c r="K19" s="2">
        <f t="shared" si="0"/>
        <v>0</v>
      </c>
      <c r="L19" s="46">
        <v>0</v>
      </c>
      <c r="M19" s="46">
        <v>0</v>
      </c>
      <c r="N19" s="46">
        <v>0</v>
      </c>
      <c r="O19" s="2">
        <f t="shared" si="1"/>
        <v>0</v>
      </c>
      <c r="P19" s="46">
        <v>0</v>
      </c>
      <c r="Q19" s="46">
        <v>0</v>
      </c>
      <c r="R19" s="46">
        <v>0</v>
      </c>
      <c r="S19" s="2">
        <f t="shared" si="2"/>
        <v>0</v>
      </c>
      <c r="T19" s="15" t="e">
        <f t="shared" si="3"/>
        <v>#DIV/0!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7">
        <f t="shared" si="4"/>
        <v>0</v>
      </c>
      <c r="AC19" s="46">
        <v>0</v>
      </c>
      <c r="AD19" s="46">
        <v>0</v>
      </c>
      <c r="AE19" s="46">
        <f t="shared" si="5"/>
        <v>0</v>
      </c>
      <c r="AF19" s="46">
        <v>0</v>
      </c>
      <c r="AG19" s="46">
        <v>0</v>
      </c>
      <c r="AH19" s="46">
        <f t="shared" si="6"/>
        <v>0</v>
      </c>
      <c r="AI19" s="46">
        <v>0</v>
      </c>
      <c r="AJ19" s="46">
        <v>0</v>
      </c>
      <c r="AK19" s="2">
        <f t="shared" si="7"/>
        <v>0</v>
      </c>
      <c r="AL19" s="46">
        <v>0</v>
      </c>
      <c r="AM19" s="46">
        <v>0</v>
      </c>
      <c r="AN19" s="46">
        <f t="shared" si="8"/>
        <v>0</v>
      </c>
      <c r="AO19" s="46">
        <v>0</v>
      </c>
      <c r="AP19" s="46">
        <v>0</v>
      </c>
      <c r="AQ19" s="46">
        <f t="shared" si="9"/>
        <v>0</v>
      </c>
      <c r="AR19" s="46">
        <v>0</v>
      </c>
      <c r="AS19" s="46">
        <v>0</v>
      </c>
      <c r="AT19" s="46">
        <f t="shared" si="10"/>
        <v>0</v>
      </c>
      <c r="AU19" s="46">
        <v>0</v>
      </c>
      <c r="AV19" s="46">
        <v>0</v>
      </c>
      <c r="AW19" s="46">
        <f t="shared" si="11"/>
        <v>0</v>
      </c>
      <c r="AX19" s="46">
        <v>0</v>
      </c>
      <c r="AY19" s="46">
        <v>0</v>
      </c>
      <c r="AZ19" s="2">
        <f t="shared" si="12"/>
        <v>0</v>
      </c>
      <c r="BA19" s="46">
        <v>0</v>
      </c>
      <c r="BB19" s="46">
        <v>0</v>
      </c>
      <c r="BC19" s="46">
        <f t="shared" si="13"/>
        <v>0</v>
      </c>
      <c r="BD19" s="46">
        <f t="shared" si="75"/>
        <v>0</v>
      </c>
      <c r="BE19" s="46">
        <f t="shared" si="74"/>
        <v>0</v>
      </c>
      <c r="BF19" s="46">
        <f t="shared" si="15"/>
        <v>0</v>
      </c>
      <c r="BG19" s="46">
        <f t="shared" si="64"/>
        <v>0</v>
      </c>
      <c r="BH19" s="46">
        <f t="shared" si="65"/>
        <v>0</v>
      </c>
      <c r="BI19" s="46">
        <f t="shared" si="17"/>
        <v>0</v>
      </c>
      <c r="BJ19" s="46">
        <f t="shared" si="66"/>
        <v>0</v>
      </c>
      <c r="BK19" s="46">
        <f t="shared" si="67"/>
        <v>0</v>
      </c>
      <c r="BL19" s="46">
        <f t="shared" si="19"/>
        <v>0</v>
      </c>
      <c r="BM19" s="46" t="e">
        <f t="shared" si="20"/>
        <v>#DIV/0!</v>
      </c>
      <c r="BN19" s="46" t="e">
        <f t="shared" si="21"/>
        <v>#DIV/0!</v>
      </c>
      <c r="BO19" s="46" t="e">
        <f t="shared" si="22"/>
        <v>#DIV/0!</v>
      </c>
      <c r="BP19" s="46" t="e">
        <f t="shared" si="23"/>
        <v>#DIV/0!</v>
      </c>
      <c r="BQ19" s="46" t="e">
        <f t="shared" si="24"/>
        <v>#DIV/0!</v>
      </c>
      <c r="BR19" s="46" t="e">
        <f t="shared" si="25"/>
        <v>#DIV/0!</v>
      </c>
      <c r="BS19" s="46" t="e">
        <f t="shared" si="26"/>
        <v>#DIV/0!</v>
      </c>
      <c r="BT19" s="46" t="e">
        <f t="shared" si="27"/>
        <v>#DIV/0!</v>
      </c>
      <c r="BU19" s="46" t="e">
        <f t="shared" si="28"/>
        <v>#DIV/0!</v>
      </c>
      <c r="BV19" s="46">
        <v>111</v>
      </c>
      <c r="BW19" s="46">
        <v>69</v>
      </c>
      <c r="BX19" s="46">
        <f t="shared" si="29"/>
        <v>180</v>
      </c>
      <c r="BY19" s="46">
        <v>0</v>
      </c>
      <c r="BZ19" s="46">
        <v>0</v>
      </c>
      <c r="CA19" s="2">
        <f t="shared" si="76"/>
        <v>0</v>
      </c>
      <c r="CB19" s="46">
        <v>0</v>
      </c>
      <c r="CC19" s="46">
        <v>0</v>
      </c>
      <c r="CD19" s="2">
        <f t="shared" si="31"/>
        <v>0</v>
      </c>
      <c r="CE19" s="46">
        <v>63</v>
      </c>
      <c r="CF19" s="46">
        <v>59</v>
      </c>
      <c r="CG19" s="46">
        <f t="shared" si="77"/>
        <v>122</v>
      </c>
      <c r="CH19" s="46">
        <v>0</v>
      </c>
      <c r="CI19" s="46">
        <v>0</v>
      </c>
      <c r="CJ19" s="2">
        <f t="shared" si="33"/>
        <v>0</v>
      </c>
      <c r="CK19" s="46">
        <v>0</v>
      </c>
      <c r="CL19" s="46">
        <v>0</v>
      </c>
      <c r="CM19" s="2">
        <f t="shared" si="34"/>
        <v>0</v>
      </c>
      <c r="CN19" s="46">
        <v>25</v>
      </c>
      <c r="CO19" s="46">
        <v>5</v>
      </c>
      <c r="CP19" s="2">
        <f t="shared" si="35"/>
        <v>30</v>
      </c>
      <c r="CQ19" s="46">
        <v>0</v>
      </c>
      <c r="CR19" s="46">
        <v>0</v>
      </c>
      <c r="CS19" s="2">
        <f t="shared" si="36"/>
        <v>0</v>
      </c>
      <c r="CT19" s="46">
        <v>0</v>
      </c>
      <c r="CU19" s="46">
        <v>0</v>
      </c>
      <c r="CV19" s="2">
        <f t="shared" si="37"/>
        <v>0</v>
      </c>
      <c r="CW19" s="46">
        <f t="shared" si="68"/>
        <v>88</v>
      </c>
      <c r="CX19" s="46">
        <f t="shared" si="69"/>
        <v>64</v>
      </c>
      <c r="CY19" s="46">
        <f t="shared" si="39"/>
        <v>152</v>
      </c>
      <c r="CZ19" s="28">
        <f t="shared" si="70"/>
        <v>0</v>
      </c>
      <c r="DA19" s="28">
        <f t="shared" si="71"/>
        <v>0</v>
      </c>
      <c r="DB19" s="2">
        <f t="shared" si="41"/>
        <v>0</v>
      </c>
      <c r="DC19" s="28">
        <f t="shared" si="72"/>
        <v>0</v>
      </c>
      <c r="DD19" s="28">
        <f t="shared" si="73"/>
        <v>0</v>
      </c>
      <c r="DE19" s="2">
        <f t="shared" si="43"/>
        <v>0</v>
      </c>
      <c r="DF19" s="46">
        <f t="shared" si="44"/>
        <v>79.28</v>
      </c>
      <c r="DG19" s="46">
        <f t="shared" si="45"/>
        <v>92.75</v>
      </c>
      <c r="DH19" s="46">
        <f t="shared" si="46"/>
        <v>84.44</v>
      </c>
      <c r="DI19" s="28" t="e">
        <f t="shared" si="47"/>
        <v>#DIV/0!</v>
      </c>
      <c r="DJ19" s="28" t="e">
        <f t="shared" si="48"/>
        <v>#DIV/0!</v>
      </c>
      <c r="DK19" s="28" t="e">
        <f t="shared" si="49"/>
        <v>#DIV/0!</v>
      </c>
      <c r="DL19" s="28" t="e">
        <f t="shared" si="50"/>
        <v>#DIV/0!</v>
      </c>
      <c r="DM19" s="28" t="e">
        <f t="shared" si="51"/>
        <v>#DIV/0!</v>
      </c>
      <c r="DN19" s="28" t="e">
        <f t="shared" si="52"/>
        <v>#DIV/0!</v>
      </c>
      <c r="DO19" s="46">
        <v>0</v>
      </c>
      <c r="DP19" s="46">
        <v>3</v>
      </c>
      <c r="DQ19" s="46">
        <f t="shared" si="53"/>
        <v>3</v>
      </c>
      <c r="DR19" s="46">
        <v>0</v>
      </c>
      <c r="DS19" s="46">
        <v>0</v>
      </c>
      <c r="DT19" s="46">
        <f t="shared" si="54"/>
        <v>0</v>
      </c>
      <c r="DU19" s="46">
        <v>0</v>
      </c>
      <c r="DV19" s="46">
        <v>0</v>
      </c>
      <c r="DW19" s="46">
        <f t="shared" si="55"/>
        <v>0</v>
      </c>
      <c r="DX19" s="46">
        <v>80</v>
      </c>
      <c r="DY19" s="46">
        <v>60</v>
      </c>
      <c r="DZ19" s="2">
        <f t="shared" si="56"/>
        <v>140</v>
      </c>
      <c r="EA19" s="46">
        <v>0</v>
      </c>
      <c r="EB19" s="46">
        <v>0</v>
      </c>
      <c r="EC19" s="2">
        <f t="shared" si="57"/>
        <v>0</v>
      </c>
      <c r="ED19" s="46">
        <v>0</v>
      </c>
      <c r="EE19" s="46">
        <v>0</v>
      </c>
      <c r="EF19" s="2">
        <f t="shared" si="58"/>
        <v>0</v>
      </c>
      <c r="EG19" s="46">
        <f t="shared" si="59"/>
        <v>-180</v>
      </c>
      <c r="EH19" s="46">
        <f t="shared" si="60"/>
        <v>-152</v>
      </c>
      <c r="EI19" s="46">
        <f t="shared" si="61"/>
        <v>-9</v>
      </c>
      <c r="EJ19" s="46">
        <f t="shared" si="62"/>
        <v>0</v>
      </c>
      <c r="EK19" s="46">
        <f t="shared" si="63"/>
        <v>0</v>
      </c>
      <c r="EL19" s="3"/>
    </row>
    <row r="20" spans="1:142" ht="33.75" customHeight="1">
      <c r="A20" s="51">
        <v>25</v>
      </c>
      <c r="B20" s="43" t="s">
        <v>99</v>
      </c>
      <c r="C20" s="48" t="s">
        <v>100</v>
      </c>
      <c r="D20" s="64">
        <v>42804</v>
      </c>
      <c r="E20" s="64">
        <v>42846</v>
      </c>
      <c r="F20" s="65" t="s">
        <v>75</v>
      </c>
      <c r="G20" s="65" t="s">
        <v>75</v>
      </c>
      <c r="H20" s="46">
        <v>9</v>
      </c>
      <c r="I20" s="46">
        <v>8</v>
      </c>
      <c r="J20" s="46">
        <v>2089</v>
      </c>
      <c r="K20" s="46">
        <f t="shared" si="0"/>
        <v>2106</v>
      </c>
      <c r="L20" s="46">
        <v>343</v>
      </c>
      <c r="M20" s="46">
        <v>993</v>
      </c>
      <c r="N20" s="46">
        <v>173963</v>
      </c>
      <c r="O20" s="46">
        <f t="shared" si="1"/>
        <v>175299</v>
      </c>
      <c r="P20" s="46">
        <v>336</v>
      </c>
      <c r="Q20" s="46">
        <v>975</v>
      </c>
      <c r="R20" s="46">
        <v>171421</v>
      </c>
      <c r="S20" s="46">
        <f t="shared" si="2"/>
        <v>172732</v>
      </c>
      <c r="T20" s="46">
        <f t="shared" si="3"/>
        <v>98.54</v>
      </c>
      <c r="U20" s="46">
        <v>1598</v>
      </c>
      <c r="V20" s="46">
        <v>403</v>
      </c>
      <c r="W20" s="46">
        <v>67</v>
      </c>
      <c r="X20" s="46">
        <v>25</v>
      </c>
      <c r="Y20" s="46">
        <v>7</v>
      </c>
      <c r="Z20" s="46">
        <v>5</v>
      </c>
      <c r="AA20" s="46">
        <v>1</v>
      </c>
      <c r="AB20" s="47">
        <f t="shared" si="4"/>
        <v>0</v>
      </c>
      <c r="AC20" s="46">
        <v>96566</v>
      </c>
      <c r="AD20" s="46">
        <v>78428</v>
      </c>
      <c r="AE20" s="46">
        <f t="shared" si="5"/>
        <v>174994</v>
      </c>
      <c r="AF20" s="46">
        <v>4666</v>
      </c>
      <c r="AG20" s="46">
        <v>3537</v>
      </c>
      <c r="AH20" s="46">
        <f t="shared" si="6"/>
        <v>8203</v>
      </c>
      <c r="AI20" s="46">
        <v>3058</v>
      </c>
      <c r="AJ20" s="46">
        <v>2729</v>
      </c>
      <c r="AK20" s="46">
        <f t="shared" si="7"/>
        <v>5787</v>
      </c>
      <c r="AL20" s="46">
        <v>94841</v>
      </c>
      <c r="AM20" s="46">
        <v>77703</v>
      </c>
      <c r="AN20" s="46">
        <f t="shared" si="8"/>
        <v>172544</v>
      </c>
      <c r="AO20" s="46">
        <v>4541</v>
      </c>
      <c r="AP20" s="46">
        <v>3473</v>
      </c>
      <c r="AQ20" s="46">
        <f t="shared" si="9"/>
        <v>8014</v>
      </c>
      <c r="AR20" s="46">
        <v>2972</v>
      </c>
      <c r="AS20" s="46">
        <v>2661</v>
      </c>
      <c r="AT20" s="46">
        <f t="shared" si="10"/>
        <v>5633</v>
      </c>
      <c r="AU20" s="46">
        <v>0</v>
      </c>
      <c r="AV20" s="46">
        <v>0</v>
      </c>
      <c r="AW20" s="46">
        <f t="shared" si="11"/>
        <v>0</v>
      </c>
      <c r="AX20" s="46">
        <v>0</v>
      </c>
      <c r="AY20" s="46">
        <v>0</v>
      </c>
      <c r="AZ20" s="46">
        <f t="shared" si="12"/>
        <v>0</v>
      </c>
      <c r="BA20" s="46">
        <v>0</v>
      </c>
      <c r="BB20" s="46">
        <v>0</v>
      </c>
      <c r="BC20" s="46">
        <f t="shared" si="13"/>
        <v>0</v>
      </c>
      <c r="BD20" s="46">
        <f t="shared" si="75"/>
        <v>94841</v>
      </c>
      <c r="BE20" s="46">
        <f t="shared" si="74"/>
        <v>77703</v>
      </c>
      <c r="BF20" s="46">
        <f t="shared" si="15"/>
        <v>172544</v>
      </c>
      <c r="BG20" s="46">
        <f t="shared" si="64"/>
        <v>4541</v>
      </c>
      <c r="BH20" s="46">
        <f t="shared" si="65"/>
        <v>3473</v>
      </c>
      <c r="BI20" s="46">
        <f t="shared" si="17"/>
        <v>8014</v>
      </c>
      <c r="BJ20" s="46">
        <f t="shared" si="66"/>
        <v>2972</v>
      </c>
      <c r="BK20" s="46">
        <f t="shared" si="67"/>
        <v>2661</v>
      </c>
      <c r="BL20" s="46">
        <f t="shared" si="19"/>
        <v>5633</v>
      </c>
      <c r="BM20" s="46">
        <f t="shared" si="20"/>
        <v>98.21</v>
      </c>
      <c r="BN20" s="46">
        <f t="shared" si="21"/>
        <v>99.08</v>
      </c>
      <c r="BO20" s="46">
        <f t="shared" si="22"/>
        <v>98.6</v>
      </c>
      <c r="BP20" s="46">
        <f t="shared" si="23"/>
        <v>97.32</v>
      </c>
      <c r="BQ20" s="46">
        <f t="shared" si="24"/>
        <v>98.19</v>
      </c>
      <c r="BR20" s="46">
        <f t="shared" si="25"/>
        <v>97.7</v>
      </c>
      <c r="BS20" s="46">
        <f t="shared" si="26"/>
        <v>97.19</v>
      </c>
      <c r="BT20" s="46">
        <f t="shared" si="27"/>
        <v>97.51</v>
      </c>
      <c r="BU20" s="46">
        <f t="shared" si="28"/>
        <v>97.34</v>
      </c>
      <c r="BV20" s="46">
        <v>203</v>
      </c>
      <c r="BW20" s="46">
        <v>102</v>
      </c>
      <c r="BX20" s="46">
        <f t="shared" si="29"/>
        <v>305</v>
      </c>
      <c r="BY20" s="46">
        <v>18</v>
      </c>
      <c r="BZ20" s="46">
        <v>7</v>
      </c>
      <c r="CA20" s="46">
        <f t="shared" si="76"/>
        <v>25</v>
      </c>
      <c r="CB20" s="46">
        <v>14</v>
      </c>
      <c r="CC20" s="46">
        <v>9</v>
      </c>
      <c r="CD20" s="46">
        <f t="shared" si="31"/>
        <v>23</v>
      </c>
      <c r="CE20" s="46">
        <v>121</v>
      </c>
      <c r="CF20" s="46">
        <v>67</v>
      </c>
      <c r="CG20" s="46">
        <f t="shared" si="77"/>
        <v>188</v>
      </c>
      <c r="CH20" s="46">
        <v>14</v>
      </c>
      <c r="CI20" s="46">
        <v>6</v>
      </c>
      <c r="CJ20" s="46">
        <f t="shared" si="33"/>
        <v>20</v>
      </c>
      <c r="CK20" s="46">
        <v>6</v>
      </c>
      <c r="CL20" s="46">
        <v>7</v>
      </c>
      <c r="CM20" s="46">
        <f t="shared" si="34"/>
        <v>13</v>
      </c>
      <c r="CN20" s="46">
        <v>0</v>
      </c>
      <c r="CO20" s="46">
        <v>0</v>
      </c>
      <c r="CP20" s="46">
        <f t="shared" si="35"/>
        <v>0</v>
      </c>
      <c r="CQ20" s="46">
        <v>0</v>
      </c>
      <c r="CR20" s="46">
        <v>0</v>
      </c>
      <c r="CS20" s="46">
        <f t="shared" si="36"/>
        <v>0</v>
      </c>
      <c r="CT20" s="46">
        <v>0</v>
      </c>
      <c r="CU20" s="46">
        <v>0</v>
      </c>
      <c r="CV20" s="2">
        <f t="shared" si="37"/>
        <v>0</v>
      </c>
      <c r="CW20" s="46">
        <f t="shared" si="68"/>
        <v>121</v>
      </c>
      <c r="CX20" s="46">
        <f t="shared" si="69"/>
        <v>67</v>
      </c>
      <c r="CY20" s="46">
        <f t="shared" si="39"/>
        <v>188</v>
      </c>
      <c r="CZ20" s="28">
        <f t="shared" si="70"/>
        <v>14</v>
      </c>
      <c r="DA20" s="28">
        <f t="shared" si="71"/>
        <v>6</v>
      </c>
      <c r="DB20" s="2">
        <f t="shared" si="41"/>
        <v>20</v>
      </c>
      <c r="DC20" s="28">
        <f t="shared" si="72"/>
        <v>6</v>
      </c>
      <c r="DD20" s="28">
        <f t="shared" si="73"/>
        <v>7</v>
      </c>
      <c r="DE20" s="2">
        <f t="shared" si="43"/>
        <v>13</v>
      </c>
      <c r="DF20" s="46">
        <f t="shared" si="44"/>
        <v>59.61</v>
      </c>
      <c r="DG20" s="46">
        <f t="shared" si="45"/>
        <v>65.69</v>
      </c>
      <c r="DH20" s="46">
        <f t="shared" si="46"/>
        <v>61.64</v>
      </c>
      <c r="DI20" s="46">
        <f t="shared" si="47"/>
        <v>77.78</v>
      </c>
      <c r="DJ20" s="46">
        <f t="shared" si="48"/>
        <v>85.71</v>
      </c>
      <c r="DK20" s="46">
        <f t="shared" si="49"/>
        <v>80</v>
      </c>
      <c r="DL20" s="28">
        <f t="shared" si="50"/>
        <v>42.86</v>
      </c>
      <c r="DM20" s="28">
        <f t="shared" si="51"/>
        <v>77.78</v>
      </c>
      <c r="DN20" s="28">
        <f t="shared" si="52"/>
        <v>56.52</v>
      </c>
      <c r="DO20" s="46">
        <v>83269</v>
      </c>
      <c r="DP20" s="46">
        <v>71783</v>
      </c>
      <c r="DQ20" s="46">
        <f t="shared" si="53"/>
        <v>155052</v>
      </c>
      <c r="DR20" s="46">
        <v>3732</v>
      </c>
      <c r="DS20" s="46">
        <v>2965</v>
      </c>
      <c r="DT20" s="46">
        <f t="shared" si="54"/>
        <v>6697</v>
      </c>
      <c r="DU20" s="46">
        <v>2150</v>
      </c>
      <c r="DV20" s="46">
        <v>2173</v>
      </c>
      <c r="DW20" s="46">
        <f t="shared" si="55"/>
        <v>4323</v>
      </c>
      <c r="DX20" s="46">
        <v>11693</v>
      </c>
      <c r="DY20" s="46">
        <v>5987</v>
      </c>
      <c r="DZ20" s="46">
        <f t="shared" si="56"/>
        <v>17680</v>
      </c>
      <c r="EA20" s="46">
        <v>823</v>
      </c>
      <c r="EB20" s="46">
        <v>514</v>
      </c>
      <c r="EC20" s="46">
        <f t="shared" si="57"/>
        <v>1337</v>
      </c>
      <c r="ED20" s="46">
        <v>828</v>
      </c>
      <c r="EE20" s="46">
        <v>495</v>
      </c>
      <c r="EF20" s="46">
        <f t="shared" si="58"/>
        <v>1323</v>
      </c>
      <c r="EG20" s="46">
        <f t="shared" si="59"/>
        <v>0</v>
      </c>
      <c r="EH20" s="46">
        <f t="shared" si="60"/>
        <v>0</v>
      </c>
      <c r="EI20" s="46">
        <f t="shared" si="61"/>
        <v>0</v>
      </c>
      <c r="EJ20" s="46">
        <f t="shared" si="62"/>
        <v>0</v>
      </c>
      <c r="EK20" s="46">
        <f t="shared" si="63"/>
        <v>0</v>
      </c>
    </row>
    <row r="21" spans="1:142" ht="29.25" customHeight="1">
      <c r="A21" s="52">
        <v>21</v>
      </c>
      <c r="B21" s="45" t="s">
        <v>91</v>
      </c>
      <c r="C21" s="48" t="s">
        <v>92</v>
      </c>
      <c r="D21" s="64">
        <v>42808</v>
      </c>
      <c r="E21" s="64">
        <v>42824</v>
      </c>
      <c r="F21" s="64">
        <v>42891</v>
      </c>
      <c r="G21" s="64">
        <v>42905</v>
      </c>
      <c r="H21" s="46">
        <v>5560</v>
      </c>
      <c r="I21" s="46">
        <v>230</v>
      </c>
      <c r="J21" s="46">
        <v>5420</v>
      </c>
      <c r="K21" s="2">
        <f t="shared" si="0"/>
        <v>11210</v>
      </c>
      <c r="L21" s="46">
        <v>256305</v>
      </c>
      <c r="M21" s="46">
        <v>11357</v>
      </c>
      <c r="N21" s="46">
        <v>240276</v>
      </c>
      <c r="O21" s="2">
        <f t="shared" si="1"/>
        <v>507938</v>
      </c>
      <c r="P21" s="46">
        <v>207122</v>
      </c>
      <c r="Q21" s="46">
        <v>9029</v>
      </c>
      <c r="R21" s="46">
        <v>211263</v>
      </c>
      <c r="S21" s="2">
        <f t="shared" si="2"/>
        <v>427414</v>
      </c>
      <c r="T21" s="15">
        <f t="shared" si="3"/>
        <v>84.15</v>
      </c>
      <c r="U21" s="46">
        <v>2005</v>
      </c>
      <c r="V21" s="46">
        <v>5369</v>
      </c>
      <c r="W21" s="46">
        <v>2282</v>
      </c>
      <c r="X21" s="46">
        <v>1521</v>
      </c>
      <c r="Y21" s="46">
        <v>936</v>
      </c>
      <c r="Z21" s="46">
        <v>709</v>
      </c>
      <c r="AA21" s="46">
        <v>724</v>
      </c>
      <c r="AB21" s="47">
        <f t="shared" si="4"/>
        <v>-2336</v>
      </c>
      <c r="AC21" s="46">
        <v>257095</v>
      </c>
      <c r="AD21" s="46">
        <v>250843</v>
      </c>
      <c r="AE21" s="46">
        <f t="shared" si="5"/>
        <v>507938</v>
      </c>
      <c r="AF21" s="46">
        <v>44539</v>
      </c>
      <c r="AG21" s="46">
        <v>45083</v>
      </c>
      <c r="AH21" s="46">
        <f t="shared" si="6"/>
        <v>89622</v>
      </c>
      <c r="AI21" s="46">
        <v>25213</v>
      </c>
      <c r="AJ21" s="46">
        <v>24041</v>
      </c>
      <c r="AK21" s="2">
        <f t="shared" si="7"/>
        <v>49254</v>
      </c>
      <c r="AL21" s="46">
        <v>213264</v>
      </c>
      <c r="AM21" s="46">
        <v>214150</v>
      </c>
      <c r="AN21" s="46">
        <f t="shared" si="8"/>
        <v>427414</v>
      </c>
      <c r="AO21" s="46">
        <v>35489</v>
      </c>
      <c r="AP21" s="46">
        <v>37046</v>
      </c>
      <c r="AQ21" s="46">
        <f t="shared" si="9"/>
        <v>72535</v>
      </c>
      <c r="AR21" s="46">
        <v>20652</v>
      </c>
      <c r="AS21" s="46">
        <v>19558</v>
      </c>
      <c r="AT21" s="46">
        <f t="shared" si="10"/>
        <v>40210</v>
      </c>
      <c r="AU21" s="46">
        <v>29122</v>
      </c>
      <c r="AV21" s="46">
        <v>24333</v>
      </c>
      <c r="AW21" s="46">
        <f t="shared" si="11"/>
        <v>53455</v>
      </c>
      <c r="AX21" s="46">
        <v>5852</v>
      </c>
      <c r="AY21" s="46">
        <v>5331</v>
      </c>
      <c r="AZ21" s="2">
        <f t="shared" si="12"/>
        <v>11183</v>
      </c>
      <c r="BA21" s="46">
        <v>2692</v>
      </c>
      <c r="BB21" s="46">
        <v>2629</v>
      </c>
      <c r="BC21" s="46">
        <f t="shared" si="13"/>
        <v>5321</v>
      </c>
      <c r="BD21" s="46">
        <f t="shared" si="75"/>
        <v>242386</v>
      </c>
      <c r="BE21" s="46">
        <f t="shared" si="74"/>
        <v>238483</v>
      </c>
      <c r="BF21" s="46">
        <f t="shared" si="15"/>
        <v>480869</v>
      </c>
      <c r="BG21" s="46">
        <f t="shared" si="64"/>
        <v>41341</v>
      </c>
      <c r="BH21" s="46">
        <f t="shared" si="65"/>
        <v>42377</v>
      </c>
      <c r="BI21" s="46">
        <f t="shared" si="17"/>
        <v>83718</v>
      </c>
      <c r="BJ21" s="46">
        <f t="shared" si="66"/>
        <v>23344</v>
      </c>
      <c r="BK21" s="46">
        <f t="shared" si="67"/>
        <v>22187</v>
      </c>
      <c r="BL21" s="46">
        <f t="shared" si="19"/>
        <v>45531</v>
      </c>
      <c r="BM21" s="46">
        <f t="shared" si="20"/>
        <v>94.28</v>
      </c>
      <c r="BN21" s="46">
        <f t="shared" si="21"/>
        <v>95.07</v>
      </c>
      <c r="BO21" s="46">
        <f t="shared" si="22"/>
        <v>94.67</v>
      </c>
      <c r="BP21" s="46">
        <f t="shared" si="23"/>
        <v>92.82</v>
      </c>
      <c r="BQ21" s="46">
        <f t="shared" si="24"/>
        <v>94</v>
      </c>
      <c r="BR21" s="46">
        <f t="shared" si="25"/>
        <v>93.41</v>
      </c>
      <c r="BS21" s="46">
        <f t="shared" si="26"/>
        <v>92.59</v>
      </c>
      <c r="BT21" s="46">
        <f t="shared" si="27"/>
        <v>92.29</v>
      </c>
      <c r="BU21" s="46">
        <f t="shared" si="28"/>
        <v>92.44</v>
      </c>
      <c r="BV21" s="46">
        <v>55114</v>
      </c>
      <c r="BW21" s="46">
        <v>43428</v>
      </c>
      <c r="BX21" s="46">
        <f t="shared" si="29"/>
        <v>98542</v>
      </c>
      <c r="BY21" s="46">
        <v>11243</v>
      </c>
      <c r="BZ21" s="46">
        <v>9427</v>
      </c>
      <c r="CA21" s="2">
        <f t="shared" si="76"/>
        <v>20670</v>
      </c>
      <c r="CB21" s="46">
        <v>5501</v>
      </c>
      <c r="CC21" s="46">
        <v>5197</v>
      </c>
      <c r="CD21" s="2">
        <f t="shared" si="31"/>
        <v>10698</v>
      </c>
      <c r="CE21" s="46">
        <v>29122</v>
      </c>
      <c r="CF21" s="46">
        <v>24333</v>
      </c>
      <c r="CG21" s="46">
        <f t="shared" si="77"/>
        <v>53455</v>
      </c>
      <c r="CH21" s="46">
        <v>5852</v>
      </c>
      <c r="CI21" s="46">
        <v>5331</v>
      </c>
      <c r="CJ21" s="2">
        <f t="shared" si="33"/>
        <v>11183</v>
      </c>
      <c r="CK21" s="46">
        <v>2692</v>
      </c>
      <c r="CL21" s="46">
        <v>2629</v>
      </c>
      <c r="CM21" s="2">
        <f t="shared" si="34"/>
        <v>5321</v>
      </c>
      <c r="CN21" s="46">
        <v>0</v>
      </c>
      <c r="CO21" s="46">
        <v>0</v>
      </c>
      <c r="CP21" s="2">
        <f t="shared" si="35"/>
        <v>0</v>
      </c>
      <c r="CQ21" s="46">
        <v>0</v>
      </c>
      <c r="CR21" s="46">
        <v>0</v>
      </c>
      <c r="CS21" s="2">
        <f t="shared" si="36"/>
        <v>0</v>
      </c>
      <c r="CT21" s="46">
        <v>0</v>
      </c>
      <c r="CU21" s="46">
        <v>0</v>
      </c>
      <c r="CV21" s="2">
        <f t="shared" si="37"/>
        <v>0</v>
      </c>
      <c r="CW21" s="46">
        <f t="shared" si="68"/>
        <v>29122</v>
      </c>
      <c r="CX21" s="46">
        <f t="shared" si="69"/>
        <v>24333</v>
      </c>
      <c r="CY21" s="46">
        <f t="shared" si="39"/>
        <v>53455</v>
      </c>
      <c r="CZ21" s="28">
        <f t="shared" si="70"/>
        <v>5852</v>
      </c>
      <c r="DA21" s="28">
        <f t="shared" si="71"/>
        <v>5331</v>
      </c>
      <c r="DB21" s="2">
        <f t="shared" si="41"/>
        <v>11183</v>
      </c>
      <c r="DC21" s="28">
        <f t="shared" si="72"/>
        <v>2692</v>
      </c>
      <c r="DD21" s="28">
        <f t="shared" si="73"/>
        <v>2629</v>
      </c>
      <c r="DE21" s="2">
        <f t="shared" si="43"/>
        <v>5321</v>
      </c>
      <c r="DF21" s="28">
        <f t="shared" si="44"/>
        <v>52.84</v>
      </c>
      <c r="DG21" s="28">
        <f t="shared" si="45"/>
        <v>56.03</v>
      </c>
      <c r="DH21" s="28">
        <f t="shared" si="46"/>
        <v>54.25</v>
      </c>
      <c r="DI21" s="28">
        <f t="shared" si="47"/>
        <v>52.05</v>
      </c>
      <c r="DJ21" s="28">
        <f t="shared" si="48"/>
        <v>56.55</v>
      </c>
      <c r="DK21" s="28">
        <f t="shared" si="49"/>
        <v>54.1</v>
      </c>
      <c r="DL21" s="28">
        <f t="shared" si="50"/>
        <v>48.94</v>
      </c>
      <c r="DM21" s="28">
        <f t="shared" si="51"/>
        <v>50.59</v>
      </c>
      <c r="DN21" s="28">
        <f t="shared" si="52"/>
        <v>49.74</v>
      </c>
      <c r="DO21" s="46">
        <v>0</v>
      </c>
      <c r="DP21" s="46">
        <v>0</v>
      </c>
      <c r="DQ21" s="46">
        <f t="shared" si="53"/>
        <v>0</v>
      </c>
      <c r="DR21" s="46">
        <v>0</v>
      </c>
      <c r="DS21" s="46">
        <v>0</v>
      </c>
      <c r="DT21" s="46">
        <f t="shared" si="54"/>
        <v>0</v>
      </c>
      <c r="DU21" s="46">
        <v>0</v>
      </c>
      <c r="DV21" s="46">
        <v>0</v>
      </c>
      <c r="DW21" s="46">
        <f t="shared" si="55"/>
        <v>0</v>
      </c>
      <c r="DX21" s="46">
        <v>0</v>
      </c>
      <c r="DY21" s="46">
        <v>0</v>
      </c>
      <c r="DZ21" s="2">
        <f t="shared" si="56"/>
        <v>0</v>
      </c>
      <c r="EA21" s="46">
        <v>0</v>
      </c>
      <c r="EB21" s="46">
        <v>0</v>
      </c>
      <c r="EC21" s="2">
        <f t="shared" si="57"/>
        <v>0</v>
      </c>
      <c r="ED21" s="46">
        <v>0</v>
      </c>
      <c r="EE21" s="46">
        <v>0</v>
      </c>
      <c r="EF21" s="2">
        <f t="shared" si="58"/>
        <v>0</v>
      </c>
      <c r="EG21" s="46">
        <f t="shared" si="59"/>
        <v>-98542</v>
      </c>
      <c r="EH21" s="46">
        <f t="shared" si="60"/>
        <v>-106910</v>
      </c>
      <c r="EI21" s="46">
        <f t="shared" si="61"/>
        <v>-534324</v>
      </c>
      <c r="EJ21" s="46">
        <f t="shared" si="62"/>
        <v>-94901</v>
      </c>
      <c r="EK21" s="46">
        <f t="shared" si="63"/>
        <v>-50852</v>
      </c>
    </row>
    <row r="22" spans="1:142" ht="33" customHeight="1">
      <c r="A22" s="79">
        <v>7</v>
      </c>
      <c r="B22" s="35" t="s">
        <v>60</v>
      </c>
      <c r="C22" s="27" t="s">
        <v>61</v>
      </c>
      <c r="D22" s="63">
        <v>42826</v>
      </c>
      <c r="E22" s="63">
        <v>42846</v>
      </c>
      <c r="F22" s="63">
        <v>42905</v>
      </c>
      <c r="G22" s="63">
        <v>42913</v>
      </c>
      <c r="H22" s="6">
        <v>77</v>
      </c>
      <c r="I22" s="6">
        <v>299</v>
      </c>
      <c r="J22" s="6">
        <v>10</v>
      </c>
      <c r="K22" s="2">
        <f t="shared" si="0"/>
        <v>386</v>
      </c>
      <c r="L22" s="6">
        <v>1918</v>
      </c>
      <c r="M22" s="6">
        <v>16687</v>
      </c>
      <c r="N22" s="6">
        <v>157</v>
      </c>
      <c r="O22" s="2">
        <f t="shared" si="1"/>
        <v>18762</v>
      </c>
      <c r="P22" s="6">
        <v>1730</v>
      </c>
      <c r="Q22" s="6">
        <v>15876</v>
      </c>
      <c r="R22" s="6">
        <v>157</v>
      </c>
      <c r="S22" s="2">
        <f t="shared" si="2"/>
        <v>17763</v>
      </c>
      <c r="T22" s="15">
        <f t="shared" si="3"/>
        <v>94.68</v>
      </c>
      <c r="U22" s="6">
        <v>99</v>
      </c>
      <c r="V22" s="6">
        <v>151</v>
      </c>
      <c r="W22" s="6">
        <v>71</v>
      </c>
      <c r="X22" s="6">
        <v>30</v>
      </c>
      <c r="Y22" s="6">
        <v>17</v>
      </c>
      <c r="Z22" s="6">
        <v>9</v>
      </c>
      <c r="AA22" s="6">
        <v>9</v>
      </c>
      <c r="AB22" s="29">
        <f t="shared" si="4"/>
        <v>0</v>
      </c>
      <c r="AC22" s="30">
        <v>9163</v>
      </c>
      <c r="AD22" s="30">
        <v>9599</v>
      </c>
      <c r="AE22" s="2">
        <f t="shared" si="5"/>
        <v>18762</v>
      </c>
      <c r="AF22" s="31">
        <v>108</v>
      </c>
      <c r="AG22" s="31">
        <v>148</v>
      </c>
      <c r="AH22" s="2">
        <f t="shared" si="6"/>
        <v>256</v>
      </c>
      <c r="AI22" s="31">
        <v>1028</v>
      </c>
      <c r="AJ22" s="31">
        <v>1118</v>
      </c>
      <c r="AK22" s="2">
        <f t="shared" si="7"/>
        <v>2146</v>
      </c>
      <c r="AL22" s="30">
        <v>8381</v>
      </c>
      <c r="AM22" s="30">
        <v>8844</v>
      </c>
      <c r="AN22" s="2">
        <f t="shared" si="8"/>
        <v>17225</v>
      </c>
      <c r="AO22" s="31">
        <v>96</v>
      </c>
      <c r="AP22" s="31">
        <v>128</v>
      </c>
      <c r="AQ22" s="2">
        <f t="shared" si="9"/>
        <v>224</v>
      </c>
      <c r="AR22" s="31">
        <v>937</v>
      </c>
      <c r="AS22" s="31">
        <v>1028</v>
      </c>
      <c r="AT22" s="2">
        <f t="shared" si="10"/>
        <v>1965</v>
      </c>
      <c r="AU22" s="31">
        <v>265</v>
      </c>
      <c r="AV22" s="31">
        <v>273</v>
      </c>
      <c r="AW22" s="2">
        <f t="shared" si="11"/>
        <v>538</v>
      </c>
      <c r="AX22" s="31">
        <v>3</v>
      </c>
      <c r="AY22" s="31">
        <v>8</v>
      </c>
      <c r="AZ22" s="2">
        <f t="shared" si="12"/>
        <v>11</v>
      </c>
      <c r="BA22" s="31">
        <v>29</v>
      </c>
      <c r="BB22" s="31">
        <v>39</v>
      </c>
      <c r="BC22" s="2">
        <f t="shared" si="13"/>
        <v>68</v>
      </c>
      <c r="BD22" s="28">
        <f t="shared" si="75"/>
        <v>8646</v>
      </c>
      <c r="BE22" s="28">
        <f t="shared" si="74"/>
        <v>9117</v>
      </c>
      <c r="BF22" s="2">
        <f t="shared" si="15"/>
        <v>17763</v>
      </c>
      <c r="BG22" s="28">
        <f t="shared" si="64"/>
        <v>99</v>
      </c>
      <c r="BH22" s="28">
        <f t="shared" si="65"/>
        <v>136</v>
      </c>
      <c r="BI22" s="2">
        <f t="shared" si="17"/>
        <v>235</v>
      </c>
      <c r="BJ22" s="28">
        <f t="shared" si="66"/>
        <v>966</v>
      </c>
      <c r="BK22" s="28">
        <f t="shared" si="67"/>
        <v>1067</v>
      </c>
      <c r="BL22" s="2">
        <f t="shared" si="19"/>
        <v>2033</v>
      </c>
      <c r="BM22" s="28">
        <f t="shared" si="20"/>
        <v>94.36</v>
      </c>
      <c r="BN22" s="28">
        <f t="shared" si="21"/>
        <v>94.98</v>
      </c>
      <c r="BO22" s="28">
        <f t="shared" si="22"/>
        <v>94.68</v>
      </c>
      <c r="BP22" s="28">
        <f t="shared" si="23"/>
        <v>91.67</v>
      </c>
      <c r="BQ22" s="28">
        <f t="shared" si="24"/>
        <v>91.89</v>
      </c>
      <c r="BR22" s="28">
        <f t="shared" si="25"/>
        <v>91.8</v>
      </c>
      <c r="BS22" s="28">
        <f t="shared" si="26"/>
        <v>93.97</v>
      </c>
      <c r="BT22" s="28">
        <f t="shared" si="27"/>
        <v>95.44</v>
      </c>
      <c r="BU22" s="28">
        <f t="shared" si="28"/>
        <v>94.73</v>
      </c>
      <c r="BV22" s="30">
        <v>363</v>
      </c>
      <c r="BW22" s="30">
        <v>230</v>
      </c>
      <c r="BX22" s="2">
        <f t="shared" si="29"/>
        <v>593</v>
      </c>
      <c r="BY22" s="31">
        <v>13</v>
      </c>
      <c r="BZ22" s="31">
        <v>7</v>
      </c>
      <c r="CA22" s="2">
        <f t="shared" si="76"/>
        <v>20</v>
      </c>
      <c r="CB22" s="31">
        <v>42</v>
      </c>
      <c r="CC22" s="31">
        <v>30</v>
      </c>
      <c r="CD22" s="2">
        <f t="shared" si="31"/>
        <v>72</v>
      </c>
      <c r="CE22" s="30">
        <v>145</v>
      </c>
      <c r="CF22" s="30">
        <v>98</v>
      </c>
      <c r="CG22" s="2">
        <f t="shared" si="77"/>
        <v>243</v>
      </c>
      <c r="CH22" s="31">
        <v>7</v>
      </c>
      <c r="CI22" s="31">
        <v>3</v>
      </c>
      <c r="CJ22" s="2">
        <f t="shared" si="33"/>
        <v>10</v>
      </c>
      <c r="CK22" s="31">
        <v>19</v>
      </c>
      <c r="CL22" s="31">
        <v>13</v>
      </c>
      <c r="CM22" s="2">
        <f t="shared" si="34"/>
        <v>32</v>
      </c>
      <c r="CN22" s="31">
        <v>35</v>
      </c>
      <c r="CO22" s="33">
        <v>22</v>
      </c>
      <c r="CP22" s="2">
        <f t="shared" si="35"/>
        <v>57</v>
      </c>
      <c r="CQ22" s="31">
        <v>2</v>
      </c>
      <c r="CR22" s="31">
        <v>0</v>
      </c>
      <c r="CS22" s="2">
        <f t="shared" si="36"/>
        <v>2</v>
      </c>
      <c r="CT22" s="33">
        <v>6</v>
      </c>
      <c r="CU22" s="33">
        <v>3</v>
      </c>
      <c r="CV22" s="2">
        <f t="shared" si="37"/>
        <v>9</v>
      </c>
      <c r="CW22" s="28">
        <f t="shared" si="68"/>
        <v>180</v>
      </c>
      <c r="CX22" s="28">
        <f t="shared" si="69"/>
        <v>120</v>
      </c>
      <c r="CY22" s="2">
        <f t="shared" si="39"/>
        <v>300</v>
      </c>
      <c r="CZ22" s="28">
        <f t="shared" si="70"/>
        <v>9</v>
      </c>
      <c r="DA22" s="28">
        <f t="shared" si="71"/>
        <v>3</v>
      </c>
      <c r="DB22" s="2">
        <f t="shared" si="41"/>
        <v>12</v>
      </c>
      <c r="DC22" s="28">
        <f t="shared" si="72"/>
        <v>25</v>
      </c>
      <c r="DD22" s="28">
        <f t="shared" si="73"/>
        <v>16</v>
      </c>
      <c r="DE22" s="2">
        <f t="shared" si="43"/>
        <v>41</v>
      </c>
      <c r="DF22" s="28">
        <f t="shared" si="44"/>
        <v>49.59</v>
      </c>
      <c r="DG22" s="28">
        <f t="shared" si="45"/>
        <v>52.17</v>
      </c>
      <c r="DH22" s="28">
        <f t="shared" si="46"/>
        <v>50.59</v>
      </c>
      <c r="DI22" s="28">
        <f t="shared" si="47"/>
        <v>69.23</v>
      </c>
      <c r="DJ22" s="28">
        <f t="shared" si="48"/>
        <v>42.86</v>
      </c>
      <c r="DK22" s="28">
        <f t="shared" si="49"/>
        <v>60</v>
      </c>
      <c r="DL22" s="28">
        <f t="shared" si="50"/>
        <v>59.52</v>
      </c>
      <c r="DM22" s="28">
        <f t="shared" si="51"/>
        <v>53.33</v>
      </c>
      <c r="DN22" s="28">
        <f t="shared" si="52"/>
        <v>56.94</v>
      </c>
      <c r="DO22" s="32">
        <v>3978</v>
      </c>
      <c r="DP22" s="32">
        <v>5501</v>
      </c>
      <c r="DQ22" s="2">
        <f t="shared" si="53"/>
        <v>9479</v>
      </c>
      <c r="DR22" s="32">
        <v>33</v>
      </c>
      <c r="DS22" s="32">
        <v>59</v>
      </c>
      <c r="DT22" s="2">
        <f t="shared" si="54"/>
        <v>92</v>
      </c>
      <c r="DU22" s="32">
        <v>357</v>
      </c>
      <c r="DV22" s="32">
        <v>524</v>
      </c>
      <c r="DW22" s="2">
        <f t="shared" si="55"/>
        <v>881</v>
      </c>
      <c r="DX22" s="32">
        <v>4849</v>
      </c>
      <c r="DY22" s="32">
        <v>3736</v>
      </c>
      <c r="DZ22" s="2">
        <f t="shared" si="56"/>
        <v>8585</v>
      </c>
      <c r="EA22" s="32">
        <v>75</v>
      </c>
      <c r="EB22" s="32">
        <v>80</v>
      </c>
      <c r="EC22" s="2">
        <f t="shared" si="57"/>
        <v>155</v>
      </c>
      <c r="ED22" s="32">
        <v>634</v>
      </c>
      <c r="EE22" s="32">
        <v>559</v>
      </c>
      <c r="EF22" s="2">
        <f t="shared" si="58"/>
        <v>1193</v>
      </c>
      <c r="EG22" s="4">
        <f t="shared" si="59"/>
        <v>-593</v>
      </c>
      <c r="EH22" s="4">
        <f t="shared" si="60"/>
        <v>-300</v>
      </c>
      <c r="EI22" s="4">
        <f t="shared" si="61"/>
        <v>1</v>
      </c>
      <c r="EJ22" s="4">
        <f t="shared" si="62"/>
        <v>0</v>
      </c>
      <c r="EK22" s="4">
        <f t="shared" si="63"/>
        <v>0</v>
      </c>
      <c r="EL22" s="34"/>
    </row>
    <row r="23" spans="1:142" ht="42.75" customHeight="1">
      <c r="A23" s="50">
        <v>8</v>
      </c>
      <c r="B23" s="35" t="s">
        <v>62</v>
      </c>
      <c r="C23" s="27" t="s">
        <v>63</v>
      </c>
      <c r="D23" s="63">
        <v>42809</v>
      </c>
      <c r="E23" s="63">
        <v>42819</v>
      </c>
      <c r="F23" s="63">
        <v>42924</v>
      </c>
      <c r="G23" s="63">
        <v>42927</v>
      </c>
      <c r="H23" s="6">
        <v>798</v>
      </c>
      <c r="I23" s="6">
        <v>5532</v>
      </c>
      <c r="J23" s="6">
        <v>3666</v>
      </c>
      <c r="K23" s="2">
        <f t="shared" si="0"/>
        <v>9996</v>
      </c>
      <c r="L23" s="6">
        <v>28719</v>
      </c>
      <c r="M23" s="6">
        <v>522918</v>
      </c>
      <c r="N23" s="6">
        <v>217429</v>
      </c>
      <c r="O23" s="2">
        <f t="shared" si="1"/>
        <v>769066</v>
      </c>
      <c r="P23" s="6">
        <v>15386</v>
      </c>
      <c r="Q23" s="6">
        <v>336605</v>
      </c>
      <c r="R23" s="6">
        <v>179250</v>
      </c>
      <c r="S23" s="2">
        <f t="shared" si="2"/>
        <v>531241</v>
      </c>
      <c r="T23" s="15">
        <f t="shared" si="3"/>
        <v>69.08</v>
      </c>
      <c r="U23" s="6">
        <v>440</v>
      </c>
      <c r="V23" s="6">
        <v>1503</v>
      </c>
      <c r="W23" s="6">
        <v>1471</v>
      </c>
      <c r="X23" s="6">
        <v>1332</v>
      </c>
      <c r="Y23" s="6">
        <v>1331</v>
      </c>
      <c r="Z23" s="6">
        <v>1227</v>
      </c>
      <c r="AA23" s="6">
        <v>2692</v>
      </c>
      <c r="AB23" s="29">
        <f t="shared" si="4"/>
        <v>0</v>
      </c>
      <c r="AC23" s="30">
        <v>453666</v>
      </c>
      <c r="AD23" s="30">
        <v>315400</v>
      </c>
      <c r="AE23" s="2">
        <f t="shared" si="5"/>
        <v>769066</v>
      </c>
      <c r="AF23" s="31">
        <v>34439</v>
      </c>
      <c r="AG23" s="31">
        <v>25972</v>
      </c>
      <c r="AH23" s="2">
        <f t="shared" si="6"/>
        <v>60411</v>
      </c>
      <c r="AI23" s="31">
        <v>59051</v>
      </c>
      <c r="AJ23" s="31">
        <v>52052</v>
      </c>
      <c r="AK23" s="2">
        <f t="shared" si="7"/>
        <v>111103</v>
      </c>
      <c r="AL23" s="30">
        <v>293426</v>
      </c>
      <c r="AM23" s="30">
        <v>231483</v>
      </c>
      <c r="AN23" s="2">
        <f t="shared" si="8"/>
        <v>524909</v>
      </c>
      <c r="AO23" s="31">
        <v>20133</v>
      </c>
      <c r="AP23" s="31">
        <v>17126</v>
      </c>
      <c r="AQ23" s="2">
        <f t="shared" si="9"/>
        <v>37259</v>
      </c>
      <c r="AR23" s="31">
        <v>34227</v>
      </c>
      <c r="AS23" s="31">
        <v>34130</v>
      </c>
      <c r="AT23" s="2">
        <f t="shared" si="10"/>
        <v>68357</v>
      </c>
      <c r="AU23" s="31">
        <v>3376</v>
      </c>
      <c r="AV23" s="31">
        <v>2956</v>
      </c>
      <c r="AW23" s="2">
        <f t="shared" si="11"/>
        <v>6332</v>
      </c>
      <c r="AX23" s="33">
        <v>307</v>
      </c>
      <c r="AY23" s="33">
        <v>371</v>
      </c>
      <c r="AZ23" s="2">
        <f t="shared" si="12"/>
        <v>678</v>
      </c>
      <c r="BA23" s="31">
        <v>340</v>
      </c>
      <c r="BB23" s="31">
        <v>461</v>
      </c>
      <c r="BC23" s="2">
        <f t="shared" si="13"/>
        <v>801</v>
      </c>
      <c r="BD23" s="28">
        <f t="shared" si="75"/>
        <v>296802</v>
      </c>
      <c r="BE23" s="28">
        <f t="shared" si="74"/>
        <v>234439</v>
      </c>
      <c r="BF23" s="2">
        <f t="shared" si="15"/>
        <v>531241</v>
      </c>
      <c r="BG23" s="28">
        <f t="shared" si="64"/>
        <v>20440</v>
      </c>
      <c r="BH23" s="28">
        <f t="shared" si="65"/>
        <v>17497</v>
      </c>
      <c r="BI23" s="2">
        <f t="shared" si="17"/>
        <v>37937</v>
      </c>
      <c r="BJ23" s="28">
        <f t="shared" si="66"/>
        <v>34567</v>
      </c>
      <c r="BK23" s="28">
        <f t="shared" si="67"/>
        <v>34591</v>
      </c>
      <c r="BL23" s="2">
        <f t="shared" si="19"/>
        <v>69158</v>
      </c>
      <c r="BM23" s="28">
        <f t="shared" si="20"/>
        <v>65.42</v>
      </c>
      <c r="BN23" s="28">
        <f t="shared" si="21"/>
        <v>74.33</v>
      </c>
      <c r="BO23" s="28">
        <f t="shared" si="22"/>
        <v>69.08</v>
      </c>
      <c r="BP23" s="28">
        <f t="shared" si="23"/>
        <v>59.35</v>
      </c>
      <c r="BQ23" s="28">
        <f t="shared" si="24"/>
        <v>67.37</v>
      </c>
      <c r="BR23" s="28">
        <f t="shared" si="25"/>
        <v>62.8</v>
      </c>
      <c r="BS23" s="28">
        <f t="shared" si="26"/>
        <v>58.54</v>
      </c>
      <c r="BT23" s="28">
        <f t="shared" si="27"/>
        <v>66.45</v>
      </c>
      <c r="BU23" s="28">
        <f t="shared" si="28"/>
        <v>62.25</v>
      </c>
      <c r="BV23" s="30">
        <v>25216</v>
      </c>
      <c r="BW23" s="30">
        <v>9449</v>
      </c>
      <c r="BX23" s="2">
        <f t="shared" si="29"/>
        <v>34665</v>
      </c>
      <c r="BY23" s="31">
        <v>2559</v>
      </c>
      <c r="BZ23" s="31">
        <v>1256</v>
      </c>
      <c r="CA23" s="2">
        <f t="shared" si="76"/>
        <v>3815</v>
      </c>
      <c r="CB23" s="31">
        <v>2308</v>
      </c>
      <c r="CC23" s="31">
        <v>857</v>
      </c>
      <c r="CD23" s="2">
        <f t="shared" si="31"/>
        <v>3165</v>
      </c>
      <c r="CE23" s="30">
        <v>1426</v>
      </c>
      <c r="CF23" s="30">
        <v>950</v>
      </c>
      <c r="CG23" s="2">
        <f t="shared" si="77"/>
        <v>2376</v>
      </c>
      <c r="CH23" s="31">
        <v>76</v>
      </c>
      <c r="CI23" s="31">
        <v>86</v>
      </c>
      <c r="CJ23" s="2">
        <f t="shared" si="33"/>
        <v>162</v>
      </c>
      <c r="CK23" s="31">
        <v>189</v>
      </c>
      <c r="CL23" s="31">
        <v>88</v>
      </c>
      <c r="CM23" s="2">
        <f t="shared" si="34"/>
        <v>277</v>
      </c>
      <c r="CN23" s="33">
        <v>140</v>
      </c>
      <c r="CO23" s="33">
        <v>173</v>
      </c>
      <c r="CP23" s="2">
        <f t="shared" si="35"/>
        <v>313</v>
      </c>
      <c r="CQ23" s="31">
        <v>20</v>
      </c>
      <c r="CR23" s="31">
        <v>24</v>
      </c>
      <c r="CS23" s="2">
        <f t="shared" si="36"/>
        <v>44</v>
      </c>
      <c r="CT23" s="31">
        <v>11</v>
      </c>
      <c r="CU23" s="31">
        <v>9</v>
      </c>
      <c r="CV23" s="2">
        <f t="shared" si="37"/>
        <v>20</v>
      </c>
      <c r="CW23" s="28">
        <f t="shared" si="68"/>
        <v>1566</v>
      </c>
      <c r="CX23" s="28">
        <f t="shared" si="69"/>
        <v>1123</v>
      </c>
      <c r="CY23" s="2">
        <f t="shared" si="39"/>
        <v>2689</v>
      </c>
      <c r="CZ23" s="28">
        <f t="shared" si="70"/>
        <v>96</v>
      </c>
      <c r="DA23" s="28">
        <f t="shared" si="71"/>
        <v>110</v>
      </c>
      <c r="DB23" s="2">
        <f t="shared" si="41"/>
        <v>206</v>
      </c>
      <c r="DC23" s="28">
        <f t="shared" si="72"/>
        <v>200</v>
      </c>
      <c r="DD23" s="28">
        <f t="shared" si="73"/>
        <v>97</v>
      </c>
      <c r="DE23" s="2">
        <f t="shared" si="43"/>
        <v>297</v>
      </c>
      <c r="DF23" s="28">
        <f t="shared" si="44"/>
        <v>6.21</v>
      </c>
      <c r="DG23" s="28">
        <f t="shared" si="45"/>
        <v>11.88</v>
      </c>
      <c r="DH23" s="28">
        <f t="shared" si="46"/>
        <v>7.76</v>
      </c>
      <c r="DI23" s="28">
        <f t="shared" si="47"/>
        <v>3.75</v>
      </c>
      <c r="DJ23" s="28">
        <f t="shared" si="48"/>
        <v>8.76</v>
      </c>
      <c r="DK23" s="28">
        <f t="shared" si="49"/>
        <v>5.4</v>
      </c>
      <c r="DL23" s="28">
        <f t="shared" si="50"/>
        <v>8.67</v>
      </c>
      <c r="DM23" s="28">
        <f t="shared" si="51"/>
        <v>11.32</v>
      </c>
      <c r="DN23" s="28">
        <f t="shared" si="52"/>
        <v>9.3800000000000008</v>
      </c>
      <c r="DO23" s="32">
        <v>110087</v>
      </c>
      <c r="DP23" s="32">
        <v>95894</v>
      </c>
      <c r="DQ23" s="2">
        <f t="shared" si="53"/>
        <v>205981</v>
      </c>
      <c r="DR23" s="32">
        <v>6300</v>
      </c>
      <c r="DS23" s="32">
        <v>5816</v>
      </c>
      <c r="DT23" s="2">
        <f t="shared" si="54"/>
        <v>12116</v>
      </c>
      <c r="DU23" s="32">
        <v>7337</v>
      </c>
      <c r="DV23" s="32">
        <v>8507</v>
      </c>
      <c r="DW23" s="2">
        <f t="shared" si="55"/>
        <v>15844</v>
      </c>
      <c r="DX23" s="32">
        <v>183339</v>
      </c>
      <c r="DY23" s="32">
        <v>135589</v>
      </c>
      <c r="DZ23" s="2">
        <f t="shared" si="56"/>
        <v>318928</v>
      </c>
      <c r="EA23" s="32">
        <v>13833</v>
      </c>
      <c r="EB23" s="32">
        <v>11310</v>
      </c>
      <c r="EC23" s="2">
        <f t="shared" si="57"/>
        <v>25143</v>
      </c>
      <c r="ED23" s="32">
        <v>26890</v>
      </c>
      <c r="EE23" s="32">
        <v>25623</v>
      </c>
      <c r="EF23" s="2">
        <f t="shared" si="58"/>
        <v>52513</v>
      </c>
      <c r="EG23" s="4">
        <f t="shared" si="59"/>
        <v>-34665</v>
      </c>
      <c r="EH23" s="4">
        <f t="shared" si="60"/>
        <v>-2689</v>
      </c>
      <c r="EI23" s="4">
        <f t="shared" si="61"/>
        <v>-9021</v>
      </c>
      <c r="EJ23" s="4">
        <f t="shared" si="62"/>
        <v>-884</v>
      </c>
      <c r="EK23" s="4">
        <f t="shared" si="63"/>
        <v>-1098</v>
      </c>
      <c r="EL23" s="34"/>
    </row>
    <row r="24" spans="1:142">
      <c r="A24" s="50">
        <v>10</v>
      </c>
      <c r="B24" s="35" t="s">
        <v>65</v>
      </c>
      <c r="C24" s="80" t="s">
        <v>66</v>
      </c>
      <c r="D24" s="81">
        <v>42828</v>
      </c>
      <c r="E24" s="82" t="s">
        <v>101</v>
      </c>
      <c r="F24" s="81">
        <v>42898</v>
      </c>
      <c r="G24" s="81">
        <v>42905</v>
      </c>
      <c r="H24" s="84">
        <v>2669</v>
      </c>
      <c r="I24" s="84">
        <v>0</v>
      </c>
      <c r="J24" s="84">
        <v>1204</v>
      </c>
      <c r="K24" s="58">
        <f t="shared" si="0"/>
        <v>3873</v>
      </c>
      <c r="L24" s="84">
        <v>90522</v>
      </c>
      <c r="M24" s="84">
        <v>0</v>
      </c>
      <c r="N24" s="84">
        <v>24285</v>
      </c>
      <c r="O24" s="58">
        <f t="shared" si="1"/>
        <v>114807</v>
      </c>
      <c r="P24" s="84">
        <v>68201</v>
      </c>
      <c r="Q24" s="84">
        <v>0</v>
      </c>
      <c r="R24" s="84">
        <v>21442</v>
      </c>
      <c r="S24" s="58">
        <f t="shared" si="2"/>
        <v>89643</v>
      </c>
      <c r="T24" s="59">
        <f t="shared" si="3"/>
        <v>78.08</v>
      </c>
      <c r="U24" s="84">
        <v>517</v>
      </c>
      <c r="V24" s="84">
        <v>1020</v>
      </c>
      <c r="W24" s="84">
        <v>690</v>
      </c>
      <c r="X24" s="84">
        <v>560</v>
      </c>
      <c r="Y24" s="84">
        <v>428</v>
      </c>
      <c r="Z24" s="84">
        <v>360</v>
      </c>
      <c r="AA24" s="84">
        <v>744</v>
      </c>
      <c r="AB24" s="85">
        <f t="shared" si="4"/>
        <v>-446</v>
      </c>
      <c r="AC24" s="86">
        <v>60812</v>
      </c>
      <c r="AD24" s="86">
        <v>53995</v>
      </c>
      <c r="AE24" s="58">
        <f t="shared" si="5"/>
        <v>114807</v>
      </c>
      <c r="AF24" s="87">
        <v>17705</v>
      </c>
      <c r="AG24" s="87">
        <v>16506</v>
      </c>
      <c r="AH24" s="58">
        <f t="shared" si="6"/>
        <v>34211</v>
      </c>
      <c r="AI24" s="87">
        <v>3747</v>
      </c>
      <c r="AJ24" s="87">
        <v>3407</v>
      </c>
      <c r="AK24" s="58">
        <f t="shared" si="7"/>
        <v>7154</v>
      </c>
      <c r="AL24" s="86">
        <v>39274</v>
      </c>
      <c r="AM24" s="86">
        <v>37680</v>
      </c>
      <c r="AN24" s="58">
        <f t="shared" si="8"/>
        <v>76954</v>
      </c>
      <c r="AO24" s="87">
        <v>10407</v>
      </c>
      <c r="AP24" s="87">
        <v>10597</v>
      </c>
      <c r="AQ24" s="58">
        <f t="shared" si="9"/>
        <v>21004</v>
      </c>
      <c r="AR24" s="87">
        <v>2412</v>
      </c>
      <c r="AS24" s="87">
        <v>2344</v>
      </c>
      <c r="AT24" s="58">
        <f t="shared" si="10"/>
        <v>4756</v>
      </c>
      <c r="AU24" s="88">
        <v>6860</v>
      </c>
      <c r="AV24" s="88">
        <v>5829</v>
      </c>
      <c r="AW24" s="58">
        <f t="shared" si="11"/>
        <v>12689</v>
      </c>
      <c r="AX24" s="89">
        <v>2174</v>
      </c>
      <c r="AY24" s="89">
        <v>2020</v>
      </c>
      <c r="AZ24" s="58">
        <f t="shared" si="12"/>
        <v>4194</v>
      </c>
      <c r="BA24" s="89">
        <v>395</v>
      </c>
      <c r="BB24" s="89">
        <v>371</v>
      </c>
      <c r="BC24" s="58">
        <f t="shared" si="13"/>
        <v>766</v>
      </c>
      <c r="BD24" s="61">
        <f t="shared" si="75"/>
        <v>46134</v>
      </c>
      <c r="BE24" s="61">
        <f t="shared" si="74"/>
        <v>43509</v>
      </c>
      <c r="BF24" s="58">
        <f t="shared" si="15"/>
        <v>89643</v>
      </c>
      <c r="BG24" s="61">
        <f t="shared" si="64"/>
        <v>12581</v>
      </c>
      <c r="BH24" s="61">
        <f t="shared" si="65"/>
        <v>12617</v>
      </c>
      <c r="BI24" s="58">
        <f t="shared" si="17"/>
        <v>25198</v>
      </c>
      <c r="BJ24" s="61">
        <f t="shared" si="66"/>
        <v>2807</v>
      </c>
      <c r="BK24" s="61">
        <f t="shared" si="67"/>
        <v>2715</v>
      </c>
      <c r="BL24" s="58">
        <f t="shared" si="19"/>
        <v>5522</v>
      </c>
      <c r="BM24" s="61">
        <f t="shared" si="20"/>
        <v>75.86</v>
      </c>
      <c r="BN24" s="61">
        <f t="shared" si="21"/>
        <v>80.58</v>
      </c>
      <c r="BO24" s="61">
        <f t="shared" si="22"/>
        <v>78.08</v>
      </c>
      <c r="BP24" s="61">
        <f t="shared" si="23"/>
        <v>71.06</v>
      </c>
      <c r="BQ24" s="61">
        <f t="shared" si="24"/>
        <v>76.44</v>
      </c>
      <c r="BR24" s="61">
        <f t="shared" si="25"/>
        <v>73.650000000000006</v>
      </c>
      <c r="BS24" s="61">
        <f t="shared" si="26"/>
        <v>74.91</v>
      </c>
      <c r="BT24" s="61">
        <f t="shared" si="27"/>
        <v>79.69</v>
      </c>
      <c r="BU24" s="61">
        <f t="shared" si="28"/>
        <v>77.19</v>
      </c>
      <c r="BV24" s="87">
        <v>0</v>
      </c>
      <c r="BW24" s="87">
        <v>0</v>
      </c>
      <c r="BX24" s="58">
        <f t="shared" si="29"/>
        <v>0</v>
      </c>
      <c r="BY24" s="87">
        <v>0</v>
      </c>
      <c r="BZ24" s="87">
        <v>0</v>
      </c>
      <c r="CA24" s="58">
        <f t="shared" si="76"/>
        <v>0</v>
      </c>
      <c r="CB24" s="87">
        <v>0</v>
      </c>
      <c r="CC24" s="87">
        <v>0</v>
      </c>
      <c r="CD24" s="58">
        <f t="shared" si="31"/>
        <v>0</v>
      </c>
      <c r="CE24" s="87">
        <v>0</v>
      </c>
      <c r="CF24" s="87">
        <v>0</v>
      </c>
      <c r="CG24" s="58">
        <f t="shared" si="77"/>
        <v>0</v>
      </c>
      <c r="CH24" s="87">
        <v>0</v>
      </c>
      <c r="CI24" s="87">
        <v>0</v>
      </c>
      <c r="CJ24" s="58">
        <f t="shared" si="33"/>
        <v>0</v>
      </c>
      <c r="CK24" s="87">
        <v>0</v>
      </c>
      <c r="CL24" s="87">
        <v>0</v>
      </c>
      <c r="CM24" s="58">
        <f t="shared" si="34"/>
        <v>0</v>
      </c>
      <c r="CN24" s="89">
        <v>0</v>
      </c>
      <c r="CO24" s="89">
        <v>0</v>
      </c>
      <c r="CP24" s="58">
        <f t="shared" si="35"/>
        <v>0</v>
      </c>
      <c r="CQ24" s="87">
        <v>0</v>
      </c>
      <c r="CR24" s="87">
        <v>0</v>
      </c>
      <c r="CS24" s="58">
        <f t="shared" si="36"/>
        <v>0</v>
      </c>
      <c r="CT24" s="87">
        <v>0</v>
      </c>
      <c r="CU24" s="87">
        <v>0</v>
      </c>
      <c r="CV24" s="58">
        <f t="shared" si="37"/>
        <v>0</v>
      </c>
      <c r="CW24" s="28">
        <f t="shared" si="68"/>
        <v>0</v>
      </c>
      <c r="CX24" s="28">
        <f t="shared" si="69"/>
        <v>0</v>
      </c>
      <c r="CY24" s="2">
        <f t="shared" si="39"/>
        <v>0</v>
      </c>
      <c r="CZ24" s="28">
        <f t="shared" si="70"/>
        <v>0</v>
      </c>
      <c r="DA24" s="28">
        <f t="shared" si="71"/>
        <v>0</v>
      </c>
      <c r="DB24" s="2">
        <f t="shared" si="41"/>
        <v>0</v>
      </c>
      <c r="DC24" s="28">
        <f t="shared" si="72"/>
        <v>0</v>
      </c>
      <c r="DD24" s="28">
        <f t="shared" si="73"/>
        <v>0</v>
      </c>
      <c r="DE24" s="2">
        <f t="shared" si="43"/>
        <v>0</v>
      </c>
      <c r="DF24" s="61" t="e">
        <f t="shared" si="44"/>
        <v>#DIV/0!</v>
      </c>
      <c r="DG24" s="61" t="e">
        <f t="shared" si="45"/>
        <v>#DIV/0!</v>
      </c>
      <c r="DH24" s="61" t="e">
        <f t="shared" si="46"/>
        <v>#DIV/0!</v>
      </c>
      <c r="DI24" s="61" t="e">
        <f t="shared" si="47"/>
        <v>#DIV/0!</v>
      </c>
      <c r="DJ24" s="61" t="e">
        <f t="shared" si="48"/>
        <v>#DIV/0!</v>
      </c>
      <c r="DK24" s="61" t="e">
        <f t="shared" si="49"/>
        <v>#DIV/0!</v>
      </c>
      <c r="DL24" s="61" t="e">
        <f t="shared" si="50"/>
        <v>#DIV/0!</v>
      </c>
      <c r="DM24" s="61" t="e">
        <f t="shared" si="51"/>
        <v>#DIV/0!</v>
      </c>
      <c r="DN24" s="61" t="e">
        <f t="shared" si="52"/>
        <v>#DIV/0!</v>
      </c>
      <c r="DO24" s="90">
        <v>27097</v>
      </c>
      <c r="DP24" s="90">
        <v>29637</v>
      </c>
      <c r="DQ24" s="56">
        <f t="shared" si="53"/>
        <v>56734</v>
      </c>
      <c r="DR24" s="90">
        <v>6430</v>
      </c>
      <c r="DS24" s="90">
        <v>7738</v>
      </c>
      <c r="DT24" s="56">
        <f t="shared" si="54"/>
        <v>14168</v>
      </c>
      <c r="DU24" s="90">
        <v>1572</v>
      </c>
      <c r="DV24" s="90">
        <v>1731</v>
      </c>
      <c r="DW24" s="56">
        <f t="shared" si="55"/>
        <v>3303</v>
      </c>
      <c r="DX24" s="90">
        <v>12177</v>
      </c>
      <c r="DY24" s="90">
        <v>8043</v>
      </c>
      <c r="DZ24" s="56">
        <f t="shared" si="56"/>
        <v>20220</v>
      </c>
      <c r="EA24" s="90">
        <v>3977</v>
      </c>
      <c r="EB24" s="90">
        <v>2859</v>
      </c>
      <c r="EC24" s="56">
        <f t="shared" si="57"/>
        <v>6836</v>
      </c>
      <c r="ED24" s="90">
        <v>840</v>
      </c>
      <c r="EE24" s="90">
        <v>613</v>
      </c>
      <c r="EF24" s="56">
        <f t="shared" si="58"/>
        <v>1453</v>
      </c>
      <c r="EG24" s="91">
        <f t="shared" si="59"/>
        <v>0</v>
      </c>
      <c r="EH24" s="91">
        <f t="shared" si="60"/>
        <v>0</v>
      </c>
      <c r="EI24" s="91">
        <f t="shared" si="61"/>
        <v>-12689</v>
      </c>
      <c r="EJ24" s="91">
        <f t="shared" si="62"/>
        <v>-4194</v>
      </c>
      <c r="EK24" s="91">
        <f t="shared" si="63"/>
        <v>-766</v>
      </c>
      <c r="EL24" s="34"/>
    </row>
    <row r="25" spans="1:142" ht="28.5">
      <c r="A25" s="51">
        <v>24</v>
      </c>
      <c r="B25" s="45" t="s">
        <v>97</v>
      </c>
      <c r="C25" s="48" t="s">
        <v>98</v>
      </c>
      <c r="D25" s="65" t="s">
        <v>75</v>
      </c>
      <c r="E25" s="65" t="s">
        <v>75</v>
      </c>
      <c r="F25" s="65" t="s">
        <v>75</v>
      </c>
      <c r="G25" s="65" t="s">
        <v>75</v>
      </c>
      <c r="H25" s="46">
        <v>0</v>
      </c>
      <c r="I25" s="46">
        <v>0</v>
      </c>
      <c r="J25" s="46">
        <v>0</v>
      </c>
      <c r="K25" s="46">
        <f t="shared" si="0"/>
        <v>0</v>
      </c>
      <c r="L25" s="46">
        <v>0</v>
      </c>
      <c r="M25" s="46">
        <v>0</v>
      </c>
      <c r="N25" s="46">
        <v>0</v>
      </c>
      <c r="O25" s="46">
        <f t="shared" si="1"/>
        <v>0</v>
      </c>
      <c r="P25" s="46">
        <v>0</v>
      </c>
      <c r="Q25" s="46">
        <v>0</v>
      </c>
      <c r="R25" s="46">
        <v>0</v>
      </c>
      <c r="S25" s="46">
        <f t="shared" si="2"/>
        <v>0</v>
      </c>
      <c r="T25" s="46" t="e">
        <f t="shared" si="3"/>
        <v>#DIV/0!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7">
        <f t="shared" si="4"/>
        <v>0</v>
      </c>
      <c r="AC25" s="46">
        <v>75356</v>
      </c>
      <c r="AD25" s="46">
        <v>66388</v>
      </c>
      <c r="AE25" s="46">
        <f t="shared" si="5"/>
        <v>141744</v>
      </c>
      <c r="AF25" s="46">
        <v>0</v>
      </c>
      <c r="AG25" s="46">
        <v>0</v>
      </c>
      <c r="AH25" s="46">
        <f t="shared" si="6"/>
        <v>0</v>
      </c>
      <c r="AI25" s="46">
        <v>0</v>
      </c>
      <c r="AJ25" s="46">
        <v>0</v>
      </c>
      <c r="AK25" s="46">
        <f t="shared" si="7"/>
        <v>0</v>
      </c>
      <c r="AL25" s="46">
        <v>46549</v>
      </c>
      <c r="AM25" s="46">
        <v>41265</v>
      </c>
      <c r="AN25" s="46">
        <f t="shared" si="8"/>
        <v>87814</v>
      </c>
      <c r="AO25" s="46">
        <v>0</v>
      </c>
      <c r="AP25" s="46">
        <v>0</v>
      </c>
      <c r="AQ25" s="46">
        <f t="shared" si="9"/>
        <v>0</v>
      </c>
      <c r="AR25" s="46">
        <v>0</v>
      </c>
      <c r="AS25" s="46">
        <v>0</v>
      </c>
      <c r="AT25" s="46">
        <f t="shared" si="10"/>
        <v>0</v>
      </c>
      <c r="AU25" s="46">
        <v>0</v>
      </c>
      <c r="AV25" s="46">
        <v>0</v>
      </c>
      <c r="AW25" s="46">
        <f t="shared" si="11"/>
        <v>0</v>
      </c>
      <c r="AX25" s="46">
        <v>0</v>
      </c>
      <c r="AY25" s="46">
        <v>0</v>
      </c>
      <c r="AZ25" s="2">
        <f t="shared" si="12"/>
        <v>0</v>
      </c>
      <c r="BA25" s="46">
        <v>0</v>
      </c>
      <c r="BB25" s="46">
        <v>0</v>
      </c>
      <c r="BC25" s="46">
        <f t="shared" si="13"/>
        <v>0</v>
      </c>
      <c r="BD25" s="46">
        <f t="shared" si="75"/>
        <v>46549</v>
      </c>
      <c r="BE25" s="46">
        <f t="shared" si="74"/>
        <v>41265</v>
      </c>
      <c r="BF25" s="46">
        <f t="shared" si="15"/>
        <v>87814</v>
      </c>
      <c r="BG25" s="46">
        <f t="shared" si="64"/>
        <v>0</v>
      </c>
      <c r="BH25" s="46">
        <f t="shared" si="65"/>
        <v>0</v>
      </c>
      <c r="BI25" s="46">
        <f t="shared" si="17"/>
        <v>0</v>
      </c>
      <c r="BJ25" s="46">
        <f t="shared" si="66"/>
        <v>0</v>
      </c>
      <c r="BK25" s="46">
        <f t="shared" si="67"/>
        <v>0</v>
      </c>
      <c r="BL25" s="46">
        <f t="shared" si="19"/>
        <v>0</v>
      </c>
      <c r="BM25" s="46">
        <f t="shared" si="20"/>
        <v>61.77</v>
      </c>
      <c r="BN25" s="46">
        <f t="shared" si="21"/>
        <v>62.16</v>
      </c>
      <c r="BO25" s="46">
        <f t="shared" si="22"/>
        <v>61.95</v>
      </c>
      <c r="BP25" s="46" t="e">
        <f t="shared" si="23"/>
        <v>#DIV/0!</v>
      </c>
      <c r="BQ25" s="46" t="e">
        <f t="shared" si="24"/>
        <v>#DIV/0!</v>
      </c>
      <c r="BR25" s="46" t="e">
        <f t="shared" si="25"/>
        <v>#DIV/0!</v>
      </c>
      <c r="BS25" s="46" t="e">
        <f t="shared" si="26"/>
        <v>#DIV/0!</v>
      </c>
      <c r="BT25" s="46" t="e">
        <f t="shared" si="27"/>
        <v>#DIV/0!</v>
      </c>
      <c r="BU25" s="46" t="e">
        <f t="shared" si="28"/>
        <v>#DIV/0!</v>
      </c>
      <c r="BV25" s="46">
        <v>81979</v>
      </c>
      <c r="BW25" s="46">
        <v>55099</v>
      </c>
      <c r="BX25" s="46">
        <f t="shared" si="29"/>
        <v>137078</v>
      </c>
      <c r="BY25" s="46">
        <v>0</v>
      </c>
      <c r="BZ25" s="46">
        <v>0</v>
      </c>
      <c r="CA25" s="46">
        <f t="shared" si="76"/>
        <v>0</v>
      </c>
      <c r="CB25" s="46">
        <v>0</v>
      </c>
      <c r="CC25" s="46">
        <v>0</v>
      </c>
      <c r="CD25" s="46">
        <f t="shared" si="31"/>
        <v>0</v>
      </c>
      <c r="CE25" s="46">
        <v>37673</v>
      </c>
      <c r="CF25" s="46">
        <v>28593</v>
      </c>
      <c r="CG25" s="46">
        <f t="shared" si="77"/>
        <v>66266</v>
      </c>
      <c r="CH25" s="46">
        <v>0</v>
      </c>
      <c r="CI25" s="46">
        <v>0</v>
      </c>
      <c r="CJ25" s="46">
        <f t="shared" si="33"/>
        <v>0</v>
      </c>
      <c r="CK25" s="46">
        <v>0</v>
      </c>
      <c r="CL25" s="46">
        <v>0</v>
      </c>
      <c r="CM25" s="46">
        <f t="shared" si="34"/>
        <v>0</v>
      </c>
      <c r="CN25" s="46">
        <v>0</v>
      </c>
      <c r="CO25" s="46">
        <v>0</v>
      </c>
      <c r="CP25" s="46">
        <f t="shared" si="35"/>
        <v>0</v>
      </c>
      <c r="CQ25" s="46">
        <v>0</v>
      </c>
      <c r="CR25" s="46">
        <v>0</v>
      </c>
      <c r="CS25" s="46">
        <f t="shared" si="36"/>
        <v>0</v>
      </c>
      <c r="CT25" s="46">
        <v>0</v>
      </c>
      <c r="CU25" s="46">
        <v>0</v>
      </c>
      <c r="CV25" s="2">
        <f t="shared" si="37"/>
        <v>0</v>
      </c>
      <c r="CW25" s="46">
        <f t="shared" si="68"/>
        <v>37673</v>
      </c>
      <c r="CX25" s="46">
        <f t="shared" si="69"/>
        <v>28593</v>
      </c>
      <c r="CY25" s="46">
        <f t="shared" si="39"/>
        <v>66266</v>
      </c>
      <c r="CZ25" s="28">
        <f t="shared" si="70"/>
        <v>0</v>
      </c>
      <c r="DA25" s="28">
        <f t="shared" si="71"/>
        <v>0</v>
      </c>
      <c r="DB25" s="2">
        <f t="shared" si="41"/>
        <v>0</v>
      </c>
      <c r="DC25" s="28">
        <f t="shared" si="72"/>
        <v>0</v>
      </c>
      <c r="DD25" s="28">
        <f t="shared" si="73"/>
        <v>0</v>
      </c>
      <c r="DE25" s="2">
        <f t="shared" si="43"/>
        <v>0</v>
      </c>
      <c r="DF25" s="46">
        <f t="shared" si="44"/>
        <v>45.95</v>
      </c>
      <c r="DG25" s="46">
        <f t="shared" si="45"/>
        <v>51.89</v>
      </c>
      <c r="DH25" s="46">
        <f t="shared" si="46"/>
        <v>48.34</v>
      </c>
      <c r="DI25" s="46" t="e">
        <f t="shared" si="47"/>
        <v>#DIV/0!</v>
      </c>
      <c r="DJ25" s="46" t="e">
        <f t="shared" si="48"/>
        <v>#DIV/0!</v>
      </c>
      <c r="DK25" s="46" t="e">
        <f t="shared" si="49"/>
        <v>#DIV/0!</v>
      </c>
      <c r="DL25" s="28" t="e">
        <f t="shared" si="50"/>
        <v>#DIV/0!</v>
      </c>
      <c r="DM25" s="28" t="e">
        <f t="shared" si="51"/>
        <v>#DIV/0!</v>
      </c>
      <c r="DN25" s="28" t="e">
        <f t="shared" si="52"/>
        <v>#DIV/0!</v>
      </c>
      <c r="DO25" s="46">
        <f>21002+414</f>
        <v>21416</v>
      </c>
      <c r="DP25" s="46">
        <f>19957+494</f>
        <v>20451</v>
      </c>
      <c r="DQ25" s="46">
        <f t="shared" si="53"/>
        <v>41867</v>
      </c>
      <c r="DR25" s="46">
        <v>0</v>
      </c>
      <c r="DS25" s="46">
        <v>0</v>
      </c>
      <c r="DT25" s="46">
        <f t="shared" si="54"/>
        <v>0</v>
      </c>
      <c r="DU25" s="46">
        <v>0</v>
      </c>
      <c r="DV25" s="46">
        <v>0</v>
      </c>
      <c r="DW25" s="46">
        <f t="shared" si="55"/>
        <v>0</v>
      </c>
      <c r="DX25" s="46">
        <f>25547+37259</f>
        <v>62806</v>
      </c>
      <c r="DY25" s="46">
        <f>21308+28099</f>
        <v>49407</v>
      </c>
      <c r="DZ25" s="46">
        <f t="shared" si="56"/>
        <v>112213</v>
      </c>
      <c r="EA25" s="46">
        <v>0</v>
      </c>
      <c r="EB25" s="46">
        <v>0</v>
      </c>
      <c r="EC25" s="46">
        <f t="shared" si="57"/>
        <v>0</v>
      </c>
      <c r="ED25" s="46">
        <v>0</v>
      </c>
      <c r="EE25" s="46">
        <v>0</v>
      </c>
      <c r="EF25" s="46">
        <f t="shared" si="58"/>
        <v>0</v>
      </c>
      <c r="EG25" s="46">
        <f t="shared" si="59"/>
        <v>-278822</v>
      </c>
      <c r="EH25" s="46">
        <f t="shared" si="60"/>
        <v>-154080</v>
      </c>
      <c r="EI25" s="46">
        <f t="shared" si="61"/>
        <v>0</v>
      </c>
      <c r="EJ25" s="46">
        <f t="shared" si="62"/>
        <v>0</v>
      </c>
      <c r="EK25" s="46">
        <f t="shared" si="63"/>
        <v>0</v>
      </c>
    </row>
    <row r="26" spans="1:142" ht="28.5">
      <c r="A26" s="51">
        <v>23</v>
      </c>
      <c r="B26" s="45" t="s">
        <v>95</v>
      </c>
      <c r="C26" s="48" t="s">
        <v>96</v>
      </c>
      <c r="D26" s="65" t="s">
        <v>75</v>
      </c>
      <c r="E26" s="65" t="s">
        <v>75</v>
      </c>
      <c r="F26" s="65" t="s">
        <v>75</v>
      </c>
      <c r="G26" s="65" t="s">
        <v>75</v>
      </c>
      <c r="H26" s="46">
        <v>2187</v>
      </c>
      <c r="I26" s="46">
        <v>1065</v>
      </c>
      <c r="J26" s="46">
        <v>11</v>
      </c>
      <c r="K26" s="46">
        <f t="shared" si="0"/>
        <v>3263</v>
      </c>
      <c r="L26" s="46">
        <v>274572</v>
      </c>
      <c r="M26" s="46">
        <v>187113</v>
      </c>
      <c r="N26" s="46">
        <v>1085</v>
      </c>
      <c r="O26" s="46">
        <f t="shared" si="1"/>
        <v>462770</v>
      </c>
      <c r="P26" s="46">
        <v>171212</v>
      </c>
      <c r="Q26" s="46">
        <v>136299</v>
      </c>
      <c r="R26" s="46">
        <v>776</v>
      </c>
      <c r="S26" s="46">
        <f t="shared" si="2"/>
        <v>308287</v>
      </c>
      <c r="T26" s="46">
        <f t="shared" si="3"/>
        <v>66.62</v>
      </c>
      <c r="U26" s="46">
        <v>141</v>
      </c>
      <c r="V26" s="46">
        <v>362</v>
      </c>
      <c r="W26" s="46">
        <v>536</v>
      </c>
      <c r="X26" s="46">
        <v>544</v>
      </c>
      <c r="Y26" s="46">
        <v>530</v>
      </c>
      <c r="Z26" s="46">
        <v>509</v>
      </c>
      <c r="AA26" s="46">
        <v>641</v>
      </c>
      <c r="AB26" s="47">
        <f t="shared" si="4"/>
        <v>0</v>
      </c>
      <c r="AC26" s="46">
        <v>184745</v>
      </c>
      <c r="AD26" s="46">
        <v>195038</v>
      </c>
      <c r="AE26" s="46">
        <f t="shared" si="5"/>
        <v>379783</v>
      </c>
      <c r="AF26" s="46">
        <v>22504</v>
      </c>
      <c r="AG26" s="46">
        <v>22404</v>
      </c>
      <c r="AH26" s="46">
        <f t="shared" si="6"/>
        <v>44908</v>
      </c>
      <c r="AI26" s="46">
        <v>42485</v>
      </c>
      <c r="AJ26" s="46">
        <v>44999</v>
      </c>
      <c r="AK26" s="46">
        <f t="shared" si="7"/>
        <v>87484</v>
      </c>
      <c r="AL26" s="46">
        <v>137459</v>
      </c>
      <c r="AM26" s="46">
        <v>135209</v>
      </c>
      <c r="AN26" s="46">
        <f t="shared" si="8"/>
        <v>272668</v>
      </c>
      <c r="AO26" s="46">
        <v>15869</v>
      </c>
      <c r="AP26" s="46">
        <v>13748</v>
      </c>
      <c r="AQ26" s="46">
        <f t="shared" si="9"/>
        <v>29617</v>
      </c>
      <c r="AR26" s="46">
        <v>29146</v>
      </c>
      <c r="AS26" s="46">
        <v>28391</v>
      </c>
      <c r="AT26" s="46">
        <f t="shared" si="10"/>
        <v>57537</v>
      </c>
      <c r="AU26" s="46">
        <v>0</v>
      </c>
      <c r="AV26" s="46">
        <v>0</v>
      </c>
      <c r="AW26" s="46">
        <f t="shared" si="11"/>
        <v>0</v>
      </c>
      <c r="AX26" s="46">
        <v>0</v>
      </c>
      <c r="AY26" s="46">
        <v>1</v>
      </c>
      <c r="AZ26" s="2">
        <f t="shared" si="12"/>
        <v>1</v>
      </c>
      <c r="BA26" s="46">
        <v>0</v>
      </c>
      <c r="BB26" s="46">
        <v>0</v>
      </c>
      <c r="BC26" s="46">
        <f t="shared" si="13"/>
        <v>0</v>
      </c>
      <c r="BD26" s="46">
        <f t="shared" si="75"/>
        <v>137459</v>
      </c>
      <c r="BE26" s="46">
        <f t="shared" si="74"/>
        <v>135209</v>
      </c>
      <c r="BF26" s="46">
        <f t="shared" si="15"/>
        <v>272668</v>
      </c>
      <c r="BG26" s="46">
        <f t="shared" si="64"/>
        <v>15869</v>
      </c>
      <c r="BH26" s="46">
        <f t="shared" si="65"/>
        <v>13749</v>
      </c>
      <c r="BI26" s="46">
        <f t="shared" si="17"/>
        <v>29618</v>
      </c>
      <c r="BJ26" s="46">
        <f t="shared" si="66"/>
        <v>29146</v>
      </c>
      <c r="BK26" s="46">
        <f t="shared" si="67"/>
        <v>28391</v>
      </c>
      <c r="BL26" s="46">
        <f t="shared" si="19"/>
        <v>57537</v>
      </c>
      <c r="BM26" s="46">
        <f t="shared" si="20"/>
        <v>74.400000000000006</v>
      </c>
      <c r="BN26" s="46">
        <f t="shared" si="21"/>
        <v>69.319999999999993</v>
      </c>
      <c r="BO26" s="46">
        <f t="shared" si="22"/>
        <v>71.8</v>
      </c>
      <c r="BP26" s="46">
        <f t="shared" si="23"/>
        <v>70.52</v>
      </c>
      <c r="BQ26" s="46">
        <f t="shared" si="24"/>
        <v>61.37</v>
      </c>
      <c r="BR26" s="46">
        <f t="shared" si="25"/>
        <v>65.95</v>
      </c>
      <c r="BS26" s="46">
        <f t="shared" si="26"/>
        <v>68.599999999999994</v>
      </c>
      <c r="BT26" s="46">
        <f t="shared" si="27"/>
        <v>63.09</v>
      </c>
      <c r="BU26" s="46">
        <f t="shared" si="28"/>
        <v>65.77</v>
      </c>
      <c r="BV26" s="46">
        <v>43767</v>
      </c>
      <c r="BW26" s="46">
        <v>39220</v>
      </c>
      <c r="BX26" s="46">
        <f t="shared" si="29"/>
        <v>82987</v>
      </c>
      <c r="BY26" s="46">
        <v>6122</v>
      </c>
      <c r="BZ26" s="46">
        <v>5666</v>
      </c>
      <c r="CA26" s="46">
        <f t="shared" si="76"/>
        <v>11788</v>
      </c>
      <c r="CB26" s="46">
        <v>13534</v>
      </c>
      <c r="CC26" s="46">
        <v>13892</v>
      </c>
      <c r="CD26" s="46">
        <f t="shared" si="31"/>
        <v>27426</v>
      </c>
      <c r="CE26" s="46">
        <v>23518</v>
      </c>
      <c r="CF26" s="46">
        <v>18101</v>
      </c>
      <c r="CG26" s="46">
        <f t="shared" si="77"/>
        <v>41619</v>
      </c>
      <c r="CH26" s="46">
        <v>3050</v>
      </c>
      <c r="CI26" s="46">
        <v>2281</v>
      </c>
      <c r="CJ26" s="46">
        <f t="shared" si="33"/>
        <v>5331</v>
      </c>
      <c r="CK26" s="46">
        <v>6094</v>
      </c>
      <c r="CL26" s="46">
        <v>6011</v>
      </c>
      <c r="CM26" s="46">
        <f t="shared" si="34"/>
        <v>12105</v>
      </c>
      <c r="CN26" s="46">
        <v>0</v>
      </c>
      <c r="CO26" s="46">
        <v>0</v>
      </c>
      <c r="CP26" s="46">
        <f t="shared" si="35"/>
        <v>0</v>
      </c>
      <c r="CQ26" s="46">
        <v>0</v>
      </c>
      <c r="CR26" s="46">
        <v>0</v>
      </c>
      <c r="CS26" s="46">
        <f t="shared" si="36"/>
        <v>0</v>
      </c>
      <c r="CT26" s="46">
        <v>0</v>
      </c>
      <c r="CU26" s="46">
        <v>0</v>
      </c>
      <c r="CV26" s="2">
        <f t="shared" si="37"/>
        <v>0</v>
      </c>
      <c r="CW26" s="46">
        <f t="shared" si="68"/>
        <v>23518</v>
      </c>
      <c r="CX26" s="46">
        <f t="shared" si="69"/>
        <v>18101</v>
      </c>
      <c r="CY26" s="46">
        <f t="shared" si="39"/>
        <v>41619</v>
      </c>
      <c r="CZ26" s="28">
        <f t="shared" si="70"/>
        <v>3050</v>
      </c>
      <c r="DA26" s="28">
        <f t="shared" si="71"/>
        <v>2281</v>
      </c>
      <c r="DB26" s="2">
        <f t="shared" si="41"/>
        <v>5331</v>
      </c>
      <c r="DC26" s="28">
        <f t="shared" si="72"/>
        <v>6094</v>
      </c>
      <c r="DD26" s="28">
        <f t="shared" si="73"/>
        <v>6011</v>
      </c>
      <c r="DE26" s="2">
        <f t="shared" si="43"/>
        <v>12105</v>
      </c>
      <c r="DF26" s="46">
        <f t="shared" si="44"/>
        <v>53.73</v>
      </c>
      <c r="DG26" s="46">
        <f t="shared" si="45"/>
        <v>46.15</v>
      </c>
      <c r="DH26" s="46">
        <f t="shared" si="46"/>
        <v>50.15</v>
      </c>
      <c r="DI26" s="46">
        <f t="shared" si="47"/>
        <v>49.82</v>
      </c>
      <c r="DJ26" s="46">
        <f t="shared" si="48"/>
        <v>40.26</v>
      </c>
      <c r="DK26" s="46">
        <f t="shared" si="49"/>
        <v>45.22</v>
      </c>
      <c r="DL26" s="28">
        <f t="shared" si="50"/>
        <v>45.03</v>
      </c>
      <c r="DM26" s="28">
        <f t="shared" si="51"/>
        <v>43.27</v>
      </c>
      <c r="DN26" s="28">
        <f t="shared" si="52"/>
        <v>44.14</v>
      </c>
      <c r="DO26" s="46">
        <v>65663</v>
      </c>
      <c r="DP26" s="46">
        <v>59738</v>
      </c>
      <c r="DQ26" s="46">
        <f t="shared" si="53"/>
        <v>125401</v>
      </c>
      <c r="DR26" s="46">
        <v>6526</v>
      </c>
      <c r="DS26" s="46">
        <v>4954</v>
      </c>
      <c r="DT26" s="46">
        <f t="shared" si="54"/>
        <v>11480</v>
      </c>
      <c r="DU26" s="46">
        <v>11880</v>
      </c>
      <c r="DV26" s="46">
        <v>11120</v>
      </c>
      <c r="DW26" s="46">
        <f t="shared" si="55"/>
        <v>23000</v>
      </c>
      <c r="DX26" s="46">
        <v>95314</v>
      </c>
      <c r="DY26" s="46">
        <v>93572</v>
      </c>
      <c r="DZ26" s="46">
        <f t="shared" si="56"/>
        <v>188886</v>
      </c>
      <c r="EA26" s="46">
        <v>12393</v>
      </c>
      <c r="EB26" s="46">
        <v>11076</v>
      </c>
      <c r="EC26" s="46">
        <f t="shared" si="57"/>
        <v>23469</v>
      </c>
      <c r="ED26" s="46">
        <v>24160</v>
      </c>
      <c r="EE26" s="46">
        <v>0</v>
      </c>
      <c r="EF26" s="46">
        <f t="shared" si="58"/>
        <v>24160</v>
      </c>
      <c r="EG26" s="46">
        <f t="shared" si="59"/>
        <v>0</v>
      </c>
      <c r="EH26" s="46">
        <f t="shared" si="60"/>
        <v>-6000</v>
      </c>
      <c r="EI26" s="46">
        <f t="shared" si="61"/>
        <v>0</v>
      </c>
      <c r="EJ26" s="46">
        <f t="shared" si="62"/>
        <v>0</v>
      </c>
      <c r="EK26" s="46">
        <f t="shared" si="63"/>
        <v>-22482</v>
      </c>
    </row>
    <row r="27" spans="1:142" ht="33.75" customHeight="1">
      <c r="A27" s="51">
        <v>33</v>
      </c>
      <c r="B27" s="45" t="s">
        <v>113</v>
      </c>
      <c r="C27" s="48" t="s">
        <v>114</v>
      </c>
      <c r="D27" s="64">
        <v>42824</v>
      </c>
      <c r="E27" s="64">
        <v>42837</v>
      </c>
      <c r="F27" s="64">
        <v>42901</v>
      </c>
      <c r="G27" s="64">
        <v>42908</v>
      </c>
      <c r="H27" s="46">
        <v>5161</v>
      </c>
      <c r="I27" s="46">
        <v>3285</v>
      </c>
      <c r="J27" s="46">
        <v>5712</v>
      </c>
      <c r="K27" s="46">
        <f t="shared" si="0"/>
        <v>14158</v>
      </c>
      <c r="L27" s="46">
        <v>338853</v>
      </c>
      <c r="M27" s="46">
        <v>248476</v>
      </c>
      <c r="N27" s="46">
        <v>268697</v>
      </c>
      <c r="O27" s="46">
        <f t="shared" si="1"/>
        <v>856026</v>
      </c>
      <c r="P27" s="46">
        <v>311812</v>
      </c>
      <c r="Q27" s="46">
        <v>231297</v>
      </c>
      <c r="R27" s="46">
        <v>259892</v>
      </c>
      <c r="S27" s="46">
        <f t="shared" si="2"/>
        <v>803001</v>
      </c>
      <c r="T27" s="46">
        <f t="shared" si="3"/>
        <v>93.81</v>
      </c>
      <c r="U27" s="46">
        <v>835</v>
      </c>
      <c r="V27" s="46">
        <v>2019</v>
      </c>
      <c r="W27" s="46">
        <v>2406</v>
      </c>
      <c r="X27" s="46">
        <v>2321</v>
      </c>
      <c r="Y27" s="46">
        <v>2044</v>
      </c>
      <c r="Z27" s="46">
        <v>1749</v>
      </c>
      <c r="AA27" s="46">
        <v>2784</v>
      </c>
      <c r="AB27" s="47">
        <f t="shared" si="4"/>
        <v>0</v>
      </c>
      <c r="AC27" s="46">
        <v>434503</v>
      </c>
      <c r="AD27" s="46">
        <v>394363</v>
      </c>
      <c r="AE27" s="46">
        <f t="shared" si="5"/>
        <v>828866</v>
      </c>
      <c r="AF27" s="46">
        <v>82799</v>
      </c>
      <c r="AG27" s="46">
        <v>73748</v>
      </c>
      <c r="AH27" s="46">
        <f t="shared" si="6"/>
        <v>156547</v>
      </c>
      <c r="AI27" s="46">
        <v>31091</v>
      </c>
      <c r="AJ27" s="46">
        <v>26965</v>
      </c>
      <c r="AK27" s="46">
        <f t="shared" si="7"/>
        <v>58056</v>
      </c>
      <c r="AL27" s="46">
        <v>284727</v>
      </c>
      <c r="AM27" s="46">
        <v>296734</v>
      </c>
      <c r="AN27" s="46">
        <f t="shared" si="8"/>
        <v>581461</v>
      </c>
      <c r="AO27" s="46">
        <v>48918</v>
      </c>
      <c r="AP27" s="46">
        <v>48772</v>
      </c>
      <c r="AQ27" s="46">
        <f t="shared" si="9"/>
        <v>97690</v>
      </c>
      <c r="AR27" s="46">
        <v>18809</v>
      </c>
      <c r="AS27" s="46">
        <v>18603</v>
      </c>
      <c r="AT27" s="46">
        <f t="shared" si="10"/>
        <v>37412</v>
      </c>
      <c r="AU27" s="46">
        <v>66564</v>
      </c>
      <c r="AV27" s="46">
        <v>45902</v>
      </c>
      <c r="AW27" s="46">
        <f t="shared" si="11"/>
        <v>112466</v>
      </c>
      <c r="AX27" s="46">
        <v>14209</v>
      </c>
      <c r="AY27" s="46">
        <v>10915</v>
      </c>
      <c r="AZ27" s="46">
        <f t="shared" si="12"/>
        <v>25124</v>
      </c>
      <c r="BA27" s="46">
        <v>5425</v>
      </c>
      <c r="BB27" s="46">
        <v>4027</v>
      </c>
      <c r="BC27" s="46">
        <f t="shared" si="13"/>
        <v>9452</v>
      </c>
      <c r="BD27" s="46">
        <f t="shared" si="75"/>
        <v>351291</v>
      </c>
      <c r="BE27" s="46">
        <f t="shared" si="74"/>
        <v>342636</v>
      </c>
      <c r="BF27" s="46">
        <f t="shared" si="15"/>
        <v>693927</v>
      </c>
      <c r="BG27" s="46">
        <f t="shared" si="64"/>
        <v>63127</v>
      </c>
      <c r="BH27" s="46">
        <f t="shared" si="65"/>
        <v>59687</v>
      </c>
      <c r="BI27" s="46">
        <f t="shared" si="17"/>
        <v>122814</v>
      </c>
      <c r="BJ27" s="46">
        <f t="shared" si="66"/>
        <v>24234</v>
      </c>
      <c r="BK27" s="46">
        <f t="shared" si="67"/>
        <v>22630</v>
      </c>
      <c r="BL27" s="46">
        <f t="shared" si="19"/>
        <v>46864</v>
      </c>
      <c r="BM27" s="46">
        <f t="shared" si="20"/>
        <v>80.849999999999994</v>
      </c>
      <c r="BN27" s="46">
        <f t="shared" si="21"/>
        <v>86.88</v>
      </c>
      <c r="BO27" s="46">
        <f t="shared" si="22"/>
        <v>83.72</v>
      </c>
      <c r="BP27" s="46">
        <f t="shared" si="23"/>
        <v>76.239999999999995</v>
      </c>
      <c r="BQ27" s="46">
        <f t="shared" si="24"/>
        <v>80.930000000000007</v>
      </c>
      <c r="BR27" s="46">
        <f t="shared" si="25"/>
        <v>78.45</v>
      </c>
      <c r="BS27" s="46">
        <f t="shared" si="26"/>
        <v>77.95</v>
      </c>
      <c r="BT27" s="46">
        <f t="shared" si="27"/>
        <v>83.92</v>
      </c>
      <c r="BU27" s="46">
        <f t="shared" si="28"/>
        <v>80.72</v>
      </c>
      <c r="BV27" s="46">
        <v>21465</v>
      </c>
      <c r="BW27" s="46">
        <v>5695</v>
      </c>
      <c r="BX27" s="46">
        <f t="shared" si="29"/>
        <v>27160</v>
      </c>
      <c r="BY27" s="46">
        <v>5467</v>
      </c>
      <c r="BZ27" s="46">
        <v>1766</v>
      </c>
      <c r="CA27" s="46">
        <f t="shared" si="76"/>
        <v>7233</v>
      </c>
      <c r="CB27" s="46">
        <v>1416</v>
      </c>
      <c r="CC27" s="46">
        <v>329</v>
      </c>
      <c r="CD27" s="46">
        <f t="shared" si="31"/>
        <v>1745</v>
      </c>
      <c r="CE27" s="46">
        <v>806</v>
      </c>
      <c r="CF27" s="46">
        <v>316</v>
      </c>
      <c r="CG27" s="46">
        <f t="shared" si="77"/>
        <v>1122</v>
      </c>
      <c r="CH27" s="46">
        <v>154</v>
      </c>
      <c r="CI27" s="46">
        <v>49</v>
      </c>
      <c r="CJ27" s="46">
        <f t="shared" si="33"/>
        <v>203</v>
      </c>
      <c r="CK27" s="46">
        <v>42</v>
      </c>
      <c r="CL27" s="46">
        <v>12</v>
      </c>
      <c r="CM27" s="46">
        <f t="shared" si="34"/>
        <v>54</v>
      </c>
      <c r="CN27" s="46">
        <v>2016</v>
      </c>
      <c r="CO27" s="46">
        <v>689</v>
      </c>
      <c r="CP27" s="46">
        <f t="shared" si="35"/>
        <v>2705</v>
      </c>
      <c r="CQ27" s="46">
        <v>471</v>
      </c>
      <c r="CR27" s="46">
        <v>177</v>
      </c>
      <c r="CS27" s="46">
        <f t="shared" si="36"/>
        <v>648</v>
      </c>
      <c r="CT27" s="46">
        <v>135</v>
      </c>
      <c r="CU27" s="46">
        <v>40</v>
      </c>
      <c r="CV27" s="46">
        <f t="shared" si="37"/>
        <v>175</v>
      </c>
      <c r="CW27" s="46">
        <f t="shared" si="68"/>
        <v>2822</v>
      </c>
      <c r="CX27" s="46">
        <f t="shared" si="69"/>
        <v>1005</v>
      </c>
      <c r="CY27" s="46">
        <f t="shared" si="39"/>
        <v>3827</v>
      </c>
      <c r="CZ27" s="28">
        <f t="shared" si="70"/>
        <v>625</v>
      </c>
      <c r="DA27" s="28">
        <f t="shared" si="71"/>
        <v>226</v>
      </c>
      <c r="DB27" s="2">
        <f t="shared" si="41"/>
        <v>851</v>
      </c>
      <c r="DC27" s="28">
        <f t="shared" si="72"/>
        <v>177</v>
      </c>
      <c r="DD27" s="28">
        <f t="shared" si="73"/>
        <v>52</v>
      </c>
      <c r="DE27" s="2">
        <f t="shared" si="43"/>
        <v>229</v>
      </c>
      <c r="DF27" s="46">
        <f t="shared" si="44"/>
        <v>13.15</v>
      </c>
      <c r="DG27" s="46">
        <f t="shared" si="45"/>
        <v>17.649999999999999</v>
      </c>
      <c r="DH27" s="46">
        <f t="shared" si="46"/>
        <v>14.09</v>
      </c>
      <c r="DI27" s="46">
        <f t="shared" si="47"/>
        <v>11.43</v>
      </c>
      <c r="DJ27" s="46">
        <f t="shared" si="48"/>
        <v>12.8</v>
      </c>
      <c r="DK27" s="46">
        <f t="shared" si="49"/>
        <v>11.77</v>
      </c>
      <c r="DL27" s="46">
        <f t="shared" si="50"/>
        <v>12.5</v>
      </c>
      <c r="DM27" s="46">
        <f t="shared" si="51"/>
        <v>15.81</v>
      </c>
      <c r="DN27" s="46">
        <f t="shared" si="52"/>
        <v>13.12</v>
      </c>
      <c r="DO27" s="46">
        <v>193561</v>
      </c>
      <c r="DP27" s="46">
        <v>233022</v>
      </c>
      <c r="DQ27" s="46">
        <f t="shared" si="53"/>
        <v>426583</v>
      </c>
      <c r="DR27" s="46">
        <v>30451</v>
      </c>
      <c r="DS27" s="46">
        <v>34325</v>
      </c>
      <c r="DT27" s="46">
        <f t="shared" si="54"/>
        <v>64776</v>
      </c>
      <c r="DU27" s="46">
        <v>11362</v>
      </c>
      <c r="DV27" s="46">
        <v>13302</v>
      </c>
      <c r="DW27" s="46">
        <f t="shared" si="55"/>
        <v>24664</v>
      </c>
      <c r="DX27" s="46">
        <v>91972</v>
      </c>
      <c r="DY27" s="46">
        <v>64028</v>
      </c>
      <c r="DZ27" s="46">
        <f t="shared" si="56"/>
        <v>156000</v>
      </c>
      <c r="EA27" s="46">
        <v>18621</v>
      </c>
      <c r="EB27" s="46">
        <v>14496</v>
      </c>
      <c r="EC27" s="46">
        <f t="shared" si="57"/>
        <v>33117</v>
      </c>
      <c r="ED27" s="46">
        <v>7489</v>
      </c>
      <c r="EE27" s="46">
        <v>5313</v>
      </c>
      <c r="EF27" s="46">
        <f t="shared" si="58"/>
        <v>12802</v>
      </c>
      <c r="EG27" s="46">
        <f t="shared" si="59"/>
        <v>0</v>
      </c>
      <c r="EH27" s="46">
        <f t="shared" si="60"/>
        <v>105247</v>
      </c>
      <c r="EI27" s="46">
        <f t="shared" si="61"/>
        <v>-115171</v>
      </c>
      <c r="EJ27" s="46">
        <f t="shared" si="62"/>
        <v>-25772</v>
      </c>
      <c r="EK27" s="46">
        <f t="shared" si="63"/>
        <v>-9627</v>
      </c>
    </row>
    <row r="28" spans="1:142" ht="33.75" customHeight="1">
      <c r="A28" s="51">
        <v>31</v>
      </c>
      <c r="B28" s="44" t="s">
        <v>110</v>
      </c>
      <c r="C28" s="55" t="s">
        <v>75</v>
      </c>
      <c r="D28" s="66" t="s">
        <v>75</v>
      </c>
      <c r="E28" s="66" t="s">
        <v>75</v>
      </c>
      <c r="F28" s="66" t="s">
        <v>75</v>
      </c>
      <c r="G28" s="66" t="s">
        <v>75</v>
      </c>
      <c r="H28" s="57">
        <v>0</v>
      </c>
      <c r="I28" s="57">
        <v>0</v>
      </c>
      <c r="J28" s="57">
        <v>0</v>
      </c>
      <c r="K28" s="57">
        <f t="shared" si="0"/>
        <v>0</v>
      </c>
      <c r="L28" s="57">
        <v>0</v>
      </c>
      <c r="M28" s="57">
        <v>0</v>
      </c>
      <c r="N28" s="57">
        <v>0</v>
      </c>
      <c r="O28" s="57">
        <f t="shared" si="1"/>
        <v>0</v>
      </c>
      <c r="P28" s="57">
        <v>0</v>
      </c>
      <c r="Q28" s="57">
        <v>0</v>
      </c>
      <c r="R28" s="57">
        <v>0</v>
      </c>
      <c r="S28" s="57">
        <f t="shared" si="2"/>
        <v>0</v>
      </c>
      <c r="T28" s="57" t="e">
        <f t="shared" si="3"/>
        <v>#DIV/0!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60">
        <f t="shared" si="4"/>
        <v>0</v>
      </c>
      <c r="AC28" s="57">
        <v>231537</v>
      </c>
      <c r="AD28" s="57">
        <v>223916</v>
      </c>
      <c r="AE28" s="57">
        <f t="shared" si="5"/>
        <v>455453</v>
      </c>
      <c r="AF28" s="57">
        <v>23902</v>
      </c>
      <c r="AG28" s="57">
        <v>22842</v>
      </c>
      <c r="AH28" s="57">
        <f t="shared" si="6"/>
        <v>46744</v>
      </c>
      <c r="AI28" s="57">
        <v>4264</v>
      </c>
      <c r="AJ28" s="57">
        <v>4192</v>
      </c>
      <c r="AK28" s="57">
        <f t="shared" si="7"/>
        <v>8456</v>
      </c>
      <c r="AL28" s="57">
        <v>220053</v>
      </c>
      <c r="AM28" s="57">
        <v>217103</v>
      </c>
      <c r="AN28" s="57">
        <f t="shared" si="8"/>
        <v>437156</v>
      </c>
      <c r="AO28" s="57">
        <v>21533</v>
      </c>
      <c r="AP28" s="57">
        <v>21493</v>
      </c>
      <c r="AQ28" s="57">
        <f t="shared" si="9"/>
        <v>43026</v>
      </c>
      <c r="AR28" s="57">
        <v>3482</v>
      </c>
      <c r="AS28" s="57">
        <v>3514</v>
      </c>
      <c r="AT28" s="57">
        <f t="shared" si="10"/>
        <v>6996</v>
      </c>
      <c r="AU28" s="57">
        <v>7454</v>
      </c>
      <c r="AV28" s="57">
        <v>4715</v>
      </c>
      <c r="AW28" s="57">
        <f t="shared" si="11"/>
        <v>12169</v>
      </c>
      <c r="AX28" s="57">
        <v>1437</v>
      </c>
      <c r="AY28" s="57">
        <v>956</v>
      </c>
      <c r="AZ28" s="57">
        <f t="shared" si="12"/>
        <v>2393</v>
      </c>
      <c r="BA28" s="57">
        <v>289</v>
      </c>
      <c r="BB28" s="57">
        <v>313</v>
      </c>
      <c r="BC28" s="57">
        <f t="shared" si="13"/>
        <v>602</v>
      </c>
      <c r="BD28" s="57">
        <f t="shared" si="75"/>
        <v>227507</v>
      </c>
      <c r="BE28" s="57">
        <f t="shared" si="74"/>
        <v>221818</v>
      </c>
      <c r="BF28" s="57">
        <f t="shared" si="15"/>
        <v>449325</v>
      </c>
      <c r="BG28" s="57">
        <f t="shared" si="64"/>
        <v>22970</v>
      </c>
      <c r="BH28" s="57">
        <f t="shared" si="65"/>
        <v>22449</v>
      </c>
      <c r="BI28" s="57">
        <f t="shared" si="17"/>
        <v>45419</v>
      </c>
      <c r="BJ28" s="46">
        <f t="shared" si="66"/>
        <v>3771</v>
      </c>
      <c r="BK28" s="46">
        <f t="shared" si="67"/>
        <v>3827</v>
      </c>
      <c r="BL28" s="46">
        <f t="shared" si="19"/>
        <v>7598</v>
      </c>
      <c r="BM28" s="57">
        <f t="shared" si="20"/>
        <v>98.26</v>
      </c>
      <c r="BN28" s="57">
        <f t="shared" si="21"/>
        <v>99.06</v>
      </c>
      <c r="BO28" s="57">
        <f t="shared" si="22"/>
        <v>98.65</v>
      </c>
      <c r="BP28" s="57">
        <f t="shared" si="23"/>
        <v>96.1</v>
      </c>
      <c r="BQ28" s="57">
        <f t="shared" si="24"/>
        <v>98.28</v>
      </c>
      <c r="BR28" s="57">
        <f t="shared" si="25"/>
        <v>97.17</v>
      </c>
      <c r="BS28" s="57">
        <f t="shared" si="26"/>
        <v>88.44</v>
      </c>
      <c r="BT28" s="57">
        <f t="shared" si="27"/>
        <v>91.29</v>
      </c>
      <c r="BU28" s="57">
        <f t="shared" si="28"/>
        <v>89.85</v>
      </c>
      <c r="BV28" s="57">
        <v>1953</v>
      </c>
      <c r="BW28" s="57">
        <v>685</v>
      </c>
      <c r="BX28" s="57">
        <f t="shared" si="29"/>
        <v>2638</v>
      </c>
      <c r="BY28" s="57">
        <v>0</v>
      </c>
      <c r="BZ28" s="57">
        <v>0</v>
      </c>
      <c r="CA28" s="57">
        <f t="shared" si="76"/>
        <v>0</v>
      </c>
      <c r="CB28" s="57">
        <v>0</v>
      </c>
      <c r="CC28" s="57">
        <v>0</v>
      </c>
      <c r="CD28" s="57">
        <f t="shared" si="31"/>
        <v>0</v>
      </c>
      <c r="CE28" s="57">
        <v>991</v>
      </c>
      <c r="CF28" s="57">
        <v>396</v>
      </c>
      <c r="CG28" s="57">
        <f t="shared" si="77"/>
        <v>1387</v>
      </c>
      <c r="CH28" s="57">
        <v>0</v>
      </c>
      <c r="CI28" s="57">
        <v>0</v>
      </c>
      <c r="CJ28" s="57">
        <f t="shared" si="33"/>
        <v>0</v>
      </c>
      <c r="CK28" s="57">
        <v>0</v>
      </c>
      <c r="CL28" s="57">
        <v>0</v>
      </c>
      <c r="CM28" s="57">
        <f t="shared" si="34"/>
        <v>0</v>
      </c>
      <c r="CN28" s="57">
        <v>0</v>
      </c>
      <c r="CO28" s="57">
        <v>0</v>
      </c>
      <c r="CP28" s="57">
        <f t="shared" si="35"/>
        <v>0</v>
      </c>
      <c r="CQ28" s="57">
        <v>0</v>
      </c>
      <c r="CR28" s="57">
        <v>0</v>
      </c>
      <c r="CS28" s="57">
        <f t="shared" si="36"/>
        <v>0</v>
      </c>
      <c r="CT28" s="57">
        <v>0</v>
      </c>
      <c r="CU28" s="57">
        <v>0</v>
      </c>
      <c r="CV28" s="57">
        <f t="shared" si="37"/>
        <v>0</v>
      </c>
      <c r="CW28" s="46">
        <f t="shared" si="68"/>
        <v>991</v>
      </c>
      <c r="CX28" s="46">
        <f t="shared" si="69"/>
        <v>396</v>
      </c>
      <c r="CY28" s="46">
        <f t="shared" si="39"/>
        <v>1387</v>
      </c>
      <c r="CZ28" s="28">
        <f t="shared" si="70"/>
        <v>0</v>
      </c>
      <c r="DA28" s="28">
        <f t="shared" si="71"/>
        <v>0</v>
      </c>
      <c r="DB28" s="2">
        <f t="shared" si="41"/>
        <v>0</v>
      </c>
      <c r="DC28" s="28">
        <f t="shared" si="72"/>
        <v>0</v>
      </c>
      <c r="DD28" s="28">
        <f t="shared" si="73"/>
        <v>0</v>
      </c>
      <c r="DE28" s="2">
        <f t="shared" si="43"/>
        <v>0</v>
      </c>
      <c r="DF28" s="57">
        <f t="shared" si="44"/>
        <v>50.74</v>
      </c>
      <c r="DG28" s="57">
        <f t="shared" si="45"/>
        <v>57.81</v>
      </c>
      <c r="DH28" s="57">
        <f t="shared" si="46"/>
        <v>52.58</v>
      </c>
      <c r="DI28" s="57" t="e">
        <f t="shared" si="47"/>
        <v>#DIV/0!</v>
      </c>
      <c r="DJ28" s="57" t="e">
        <f t="shared" si="48"/>
        <v>#DIV/0!</v>
      </c>
      <c r="DK28" s="57" t="e">
        <f t="shared" si="49"/>
        <v>#DIV/0!</v>
      </c>
      <c r="DL28" s="57" t="e">
        <f t="shared" si="50"/>
        <v>#DIV/0!</v>
      </c>
      <c r="DM28" s="57" t="e">
        <f t="shared" si="51"/>
        <v>#DIV/0!</v>
      </c>
      <c r="DN28" s="57" t="e">
        <f t="shared" si="52"/>
        <v>#DIV/0!</v>
      </c>
      <c r="DO28" s="57">
        <v>0</v>
      </c>
      <c r="DP28" s="57">
        <v>0</v>
      </c>
      <c r="DQ28" s="57">
        <v>72371</v>
      </c>
      <c r="DR28" s="57">
        <v>0</v>
      </c>
      <c r="DS28" s="57">
        <v>0</v>
      </c>
      <c r="DT28" s="57">
        <v>1409</v>
      </c>
      <c r="DU28" s="57">
        <v>0</v>
      </c>
      <c r="DV28" s="57">
        <v>0</v>
      </c>
      <c r="DW28" s="57">
        <v>112</v>
      </c>
      <c r="DX28" s="57">
        <v>0</v>
      </c>
      <c r="DY28" s="57">
        <v>0</v>
      </c>
      <c r="DZ28" s="57">
        <v>120478</v>
      </c>
      <c r="EA28" s="57">
        <v>0</v>
      </c>
      <c r="EB28" s="57">
        <v>0</v>
      </c>
      <c r="EC28" s="57">
        <v>2948</v>
      </c>
      <c r="ED28" s="57">
        <v>0</v>
      </c>
      <c r="EE28" s="57">
        <v>0</v>
      </c>
      <c r="EF28" s="57">
        <v>282</v>
      </c>
      <c r="EG28" s="57">
        <f t="shared" si="59"/>
        <v>-458091</v>
      </c>
      <c r="EH28" s="57">
        <f t="shared" si="60"/>
        <v>-450712</v>
      </c>
      <c r="EI28" s="57">
        <f t="shared" si="61"/>
        <v>-257863</v>
      </c>
      <c r="EJ28" s="57">
        <f t="shared" si="62"/>
        <v>-41062</v>
      </c>
      <c r="EK28" s="57">
        <f t="shared" si="63"/>
        <v>-7204</v>
      </c>
    </row>
    <row r="29" spans="1:142" ht="48.75" customHeight="1">
      <c r="A29" s="76"/>
      <c r="B29" s="35" t="s">
        <v>84</v>
      </c>
      <c r="C29" s="27" t="s">
        <v>57</v>
      </c>
      <c r="D29" s="63">
        <v>42796</v>
      </c>
      <c r="E29" s="63">
        <v>42821</v>
      </c>
      <c r="F29" s="81">
        <v>42921</v>
      </c>
      <c r="G29" s="81">
        <v>42929</v>
      </c>
      <c r="H29" s="6">
        <v>7449</v>
      </c>
      <c r="I29" s="6">
        <v>0</v>
      </c>
      <c r="J29" s="6">
        <v>6122</v>
      </c>
      <c r="K29" s="2">
        <f t="shared" si="0"/>
        <v>13571</v>
      </c>
      <c r="L29" s="6">
        <v>688078</v>
      </c>
      <c r="M29" s="6">
        <v>0</v>
      </c>
      <c r="N29" s="6">
        <v>421313</v>
      </c>
      <c r="O29" s="2">
        <f t="shared" si="1"/>
        <v>1109391</v>
      </c>
      <c r="P29" s="6">
        <v>348586</v>
      </c>
      <c r="Q29" s="6">
        <v>0</v>
      </c>
      <c r="R29" s="6">
        <v>242132</v>
      </c>
      <c r="S29" s="2">
        <f t="shared" si="2"/>
        <v>590718</v>
      </c>
      <c r="T29" s="15">
        <f t="shared" si="3"/>
        <v>53.25</v>
      </c>
      <c r="U29" s="6">
        <v>204</v>
      </c>
      <c r="V29" s="6">
        <v>640</v>
      </c>
      <c r="W29" s="6">
        <v>1096</v>
      </c>
      <c r="X29" s="6">
        <v>1418</v>
      </c>
      <c r="Y29" s="6">
        <v>1822</v>
      </c>
      <c r="Z29" s="6">
        <v>1972</v>
      </c>
      <c r="AA29" s="6">
        <v>6419</v>
      </c>
      <c r="AB29" s="29">
        <f t="shared" si="4"/>
        <v>0</v>
      </c>
      <c r="AC29" s="30">
        <v>429145</v>
      </c>
      <c r="AD29" s="30">
        <v>365929</v>
      </c>
      <c r="AE29" s="2">
        <f t="shared" si="5"/>
        <v>795074</v>
      </c>
      <c r="AF29" s="31">
        <v>77057</v>
      </c>
      <c r="AG29" s="31">
        <v>58109</v>
      </c>
      <c r="AH29" s="2">
        <f t="shared" si="6"/>
        <v>135166</v>
      </c>
      <c r="AI29" s="31">
        <v>56150</v>
      </c>
      <c r="AJ29" s="31">
        <v>58366</v>
      </c>
      <c r="AK29" s="2">
        <f t="shared" si="7"/>
        <v>114516</v>
      </c>
      <c r="AL29" s="30">
        <v>207979</v>
      </c>
      <c r="AM29" s="30">
        <v>188015</v>
      </c>
      <c r="AN29" s="2">
        <f t="shared" si="8"/>
        <v>395994</v>
      </c>
      <c r="AO29" s="31">
        <v>33398</v>
      </c>
      <c r="AP29" s="31">
        <v>26185</v>
      </c>
      <c r="AQ29" s="2">
        <f t="shared" si="9"/>
        <v>59583</v>
      </c>
      <c r="AR29" s="31">
        <v>24925</v>
      </c>
      <c r="AS29" s="31">
        <v>23675</v>
      </c>
      <c r="AT29" s="2">
        <f t="shared" si="10"/>
        <v>48600</v>
      </c>
      <c r="AU29" s="31">
        <v>62637</v>
      </c>
      <c r="AV29" s="31">
        <v>61994</v>
      </c>
      <c r="AW29" s="2">
        <f t="shared" si="11"/>
        <v>124631</v>
      </c>
      <c r="AX29" s="31">
        <v>11212</v>
      </c>
      <c r="AY29" s="31">
        <v>10359</v>
      </c>
      <c r="AZ29" s="2">
        <f t="shared" si="12"/>
        <v>21571</v>
      </c>
      <c r="BA29" s="31">
        <v>8174</v>
      </c>
      <c r="BB29" s="31">
        <v>9909</v>
      </c>
      <c r="BC29" s="2">
        <f t="shared" si="13"/>
        <v>18083</v>
      </c>
      <c r="BD29" s="28">
        <f t="shared" si="75"/>
        <v>270616</v>
      </c>
      <c r="BE29" s="28">
        <f t="shared" si="74"/>
        <v>250009</v>
      </c>
      <c r="BF29" s="2">
        <f t="shared" si="15"/>
        <v>520625</v>
      </c>
      <c r="BG29" s="28">
        <f t="shared" si="64"/>
        <v>44610</v>
      </c>
      <c r="BH29" s="28">
        <f t="shared" si="65"/>
        <v>36544</v>
      </c>
      <c r="BI29" s="2">
        <f t="shared" si="17"/>
        <v>81154</v>
      </c>
      <c r="BJ29" s="28">
        <f t="shared" si="66"/>
        <v>33099</v>
      </c>
      <c r="BK29" s="28">
        <f t="shared" si="67"/>
        <v>33584</v>
      </c>
      <c r="BL29" s="2">
        <f t="shared" si="19"/>
        <v>66683</v>
      </c>
      <c r="BM29" s="28">
        <f t="shared" si="20"/>
        <v>63.06</v>
      </c>
      <c r="BN29" s="28">
        <f t="shared" si="21"/>
        <v>68.319999999999993</v>
      </c>
      <c r="BO29" s="28">
        <f t="shared" si="22"/>
        <v>65.48</v>
      </c>
      <c r="BP29" s="28">
        <f t="shared" si="23"/>
        <v>57.89</v>
      </c>
      <c r="BQ29" s="28">
        <f t="shared" si="24"/>
        <v>62.89</v>
      </c>
      <c r="BR29" s="28">
        <f t="shared" si="25"/>
        <v>60.04</v>
      </c>
      <c r="BS29" s="61">
        <f t="shared" si="26"/>
        <v>58.95</v>
      </c>
      <c r="BT29" s="61">
        <f t="shared" si="27"/>
        <v>57.54</v>
      </c>
      <c r="BU29" s="61">
        <f t="shared" si="28"/>
        <v>58.23</v>
      </c>
      <c r="BV29" s="30">
        <v>184192</v>
      </c>
      <c r="BW29" s="30">
        <v>130125</v>
      </c>
      <c r="BX29" s="2">
        <f t="shared" si="29"/>
        <v>314317</v>
      </c>
      <c r="BY29" s="31">
        <v>37649</v>
      </c>
      <c r="BZ29" s="31">
        <v>26543</v>
      </c>
      <c r="CA29" s="2">
        <f t="shared" si="76"/>
        <v>64192</v>
      </c>
      <c r="CB29" s="31">
        <v>41680</v>
      </c>
      <c r="CC29" s="31">
        <v>33256</v>
      </c>
      <c r="CD29" s="2">
        <f t="shared" si="31"/>
        <v>74936</v>
      </c>
      <c r="CE29" s="30">
        <v>19827</v>
      </c>
      <c r="CF29" s="30">
        <v>13154</v>
      </c>
      <c r="CG29" s="2">
        <f t="shared" si="77"/>
        <v>32981</v>
      </c>
      <c r="CH29" s="31">
        <v>3903</v>
      </c>
      <c r="CI29" s="31">
        <v>2486</v>
      </c>
      <c r="CJ29" s="2">
        <f t="shared" si="33"/>
        <v>6389</v>
      </c>
      <c r="CK29" s="31">
        <v>3927</v>
      </c>
      <c r="CL29" s="31">
        <v>2839</v>
      </c>
      <c r="CM29" s="2">
        <f t="shared" si="34"/>
        <v>6766</v>
      </c>
      <c r="CN29" s="87">
        <v>19999</v>
      </c>
      <c r="CO29" s="87">
        <v>17113</v>
      </c>
      <c r="CP29" s="58">
        <f t="shared" si="35"/>
        <v>37112</v>
      </c>
      <c r="CQ29" s="87">
        <v>3968</v>
      </c>
      <c r="CR29" s="87">
        <v>3369</v>
      </c>
      <c r="CS29" s="58">
        <f t="shared" si="36"/>
        <v>7337</v>
      </c>
      <c r="CT29" s="87">
        <v>3975</v>
      </c>
      <c r="CU29" s="87">
        <v>3548</v>
      </c>
      <c r="CV29" s="58">
        <f t="shared" si="37"/>
        <v>7523</v>
      </c>
      <c r="CW29" s="28">
        <f t="shared" si="68"/>
        <v>39826</v>
      </c>
      <c r="CX29" s="28">
        <f t="shared" si="69"/>
        <v>30267</v>
      </c>
      <c r="CY29" s="2">
        <f t="shared" si="39"/>
        <v>70093</v>
      </c>
      <c r="CZ29" s="28">
        <f t="shared" si="70"/>
        <v>7871</v>
      </c>
      <c r="DA29" s="28">
        <f t="shared" si="71"/>
        <v>5855</v>
      </c>
      <c r="DB29" s="2">
        <f t="shared" si="41"/>
        <v>13726</v>
      </c>
      <c r="DC29" s="28">
        <f t="shared" si="72"/>
        <v>7902</v>
      </c>
      <c r="DD29" s="28">
        <f t="shared" si="73"/>
        <v>6387</v>
      </c>
      <c r="DE29" s="2">
        <f t="shared" si="43"/>
        <v>14289</v>
      </c>
      <c r="DF29" s="61">
        <f t="shared" si="44"/>
        <v>21.62</v>
      </c>
      <c r="DG29" s="61">
        <f t="shared" si="45"/>
        <v>23.26</v>
      </c>
      <c r="DH29" s="61">
        <f t="shared" si="46"/>
        <v>22.3</v>
      </c>
      <c r="DI29" s="61">
        <f t="shared" si="47"/>
        <v>20.91</v>
      </c>
      <c r="DJ29" s="61">
        <f t="shared" si="48"/>
        <v>22.06</v>
      </c>
      <c r="DK29" s="61">
        <f t="shared" si="49"/>
        <v>21.38</v>
      </c>
      <c r="DL29" s="61">
        <f t="shared" si="50"/>
        <v>18.96</v>
      </c>
      <c r="DM29" s="61">
        <f t="shared" si="51"/>
        <v>19.21</v>
      </c>
      <c r="DN29" s="61">
        <f t="shared" si="52"/>
        <v>19.07</v>
      </c>
      <c r="DO29" s="32">
        <v>107790</v>
      </c>
      <c r="DP29" s="32">
        <v>104394</v>
      </c>
      <c r="DQ29" s="58">
        <f t="shared" ref="DQ29:DQ50" si="78">DO29+DP29</f>
        <v>212184</v>
      </c>
      <c r="DR29" s="32">
        <v>15997</v>
      </c>
      <c r="DS29" s="32">
        <v>13136</v>
      </c>
      <c r="DT29" s="2">
        <f t="shared" ref="DT29:DT50" si="79">DR29+DS29</f>
        <v>29133</v>
      </c>
      <c r="DU29" s="32">
        <v>9372</v>
      </c>
      <c r="DV29" s="32">
        <v>8340</v>
      </c>
      <c r="DW29" s="2">
        <f t="shared" ref="DW29:DW50" si="80">DU29+DV29</f>
        <v>17712</v>
      </c>
      <c r="DX29" s="32">
        <v>202652</v>
      </c>
      <c r="DY29" s="32">
        <v>175882</v>
      </c>
      <c r="DZ29" s="58">
        <f t="shared" ref="DZ29:DZ50" si="81">DX29+DY29</f>
        <v>378534</v>
      </c>
      <c r="EA29" s="32">
        <v>36484</v>
      </c>
      <c r="EB29" s="32">
        <v>29263</v>
      </c>
      <c r="EC29" s="2">
        <f t="shared" ref="EC29:EC50" si="82">EA29+EB29</f>
        <v>65747</v>
      </c>
      <c r="ED29" s="32">
        <v>31629</v>
      </c>
      <c r="EE29" s="32">
        <v>31631</v>
      </c>
      <c r="EF29" s="2">
        <f t="shared" ref="EF29:EF50" si="83">ED29+EE29</f>
        <v>63260</v>
      </c>
      <c r="EG29" s="91">
        <f t="shared" si="59"/>
        <v>0</v>
      </c>
      <c r="EH29" s="91">
        <f t="shared" si="60"/>
        <v>0</v>
      </c>
      <c r="EI29" s="91">
        <f>DQ30+DZ29-CY29-BF29</f>
        <v>-212184</v>
      </c>
      <c r="EJ29" s="91">
        <f t="shared" si="62"/>
        <v>0</v>
      </c>
      <c r="EK29" s="91">
        <f t="shared" si="63"/>
        <v>0</v>
      </c>
      <c r="EL29" s="34"/>
    </row>
    <row r="30" spans="1:142" ht="28.5">
      <c r="A30" s="76">
        <v>11</v>
      </c>
      <c r="B30" s="27" t="s">
        <v>67</v>
      </c>
      <c r="C30" s="27" t="s">
        <v>68</v>
      </c>
      <c r="D30" s="63">
        <v>42837</v>
      </c>
      <c r="E30" s="63">
        <v>42845</v>
      </c>
      <c r="F30" s="81">
        <v>42930</v>
      </c>
      <c r="G30" s="81">
        <v>42936</v>
      </c>
      <c r="H30" s="6">
        <v>29</v>
      </c>
      <c r="I30" s="6">
        <v>0</v>
      </c>
      <c r="J30" s="6">
        <v>139</v>
      </c>
      <c r="K30" s="2">
        <f t="shared" si="0"/>
        <v>168</v>
      </c>
      <c r="L30" s="6">
        <v>316</v>
      </c>
      <c r="M30" s="6">
        <v>0</v>
      </c>
      <c r="N30" s="6">
        <v>1538</v>
      </c>
      <c r="O30" s="2">
        <f t="shared" si="1"/>
        <v>1854</v>
      </c>
      <c r="P30" s="6">
        <v>203</v>
      </c>
      <c r="Q30" s="6">
        <v>0</v>
      </c>
      <c r="R30" s="6">
        <v>649</v>
      </c>
      <c r="S30" s="2">
        <f t="shared" si="2"/>
        <v>852</v>
      </c>
      <c r="T30" s="15">
        <f t="shared" si="3"/>
        <v>45.95</v>
      </c>
      <c r="U30" s="6"/>
      <c r="V30" s="6"/>
      <c r="W30" s="6"/>
      <c r="X30" s="6"/>
      <c r="Y30" s="6"/>
      <c r="Z30" s="6"/>
      <c r="AA30" s="6"/>
      <c r="AB30" s="29">
        <f t="shared" si="4"/>
        <v>168</v>
      </c>
      <c r="AC30" s="30">
        <v>1406</v>
      </c>
      <c r="AD30" s="30">
        <v>448</v>
      </c>
      <c r="AE30" s="2">
        <f t="shared" si="5"/>
        <v>1854</v>
      </c>
      <c r="AF30" s="31">
        <v>104</v>
      </c>
      <c r="AG30" s="31">
        <v>71</v>
      </c>
      <c r="AH30" s="2">
        <f t="shared" si="6"/>
        <v>175</v>
      </c>
      <c r="AI30" s="31">
        <v>52</v>
      </c>
      <c r="AJ30" s="31">
        <v>56</v>
      </c>
      <c r="AK30" s="2">
        <f t="shared" si="7"/>
        <v>108</v>
      </c>
      <c r="AL30" s="30">
        <v>519</v>
      </c>
      <c r="AM30" s="30">
        <v>32</v>
      </c>
      <c r="AN30" s="2">
        <f t="shared" si="8"/>
        <v>551</v>
      </c>
      <c r="AO30" s="31">
        <v>11</v>
      </c>
      <c r="AP30" s="31">
        <v>5</v>
      </c>
      <c r="AQ30" s="2">
        <f t="shared" si="9"/>
        <v>16</v>
      </c>
      <c r="AR30" s="31">
        <v>1</v>
      </c>
      <c r="AS30" s="31">
        <v>2</v>
      </c>
      <c r="AT30" s="2">
        <f t="shared" si="10"/>
        <v>3</v>
      </c>
      <c r="AU30" s="31">
        <v>560</v>
      </c>
      <c r="AV30" s="31">
        <v>303</v>
      </c>
      <c r="AW30" s="2">
        <f t="shared" si="11"/>
        <v>863</v>
      </c>
      <c r="AX30" s="31">
        <v>64</v>
      </c>
      <c r="AY30" s="31">
        <v>45</v>
      </c>
      <c r="AZ30" s="2">
        <f t="shared" si="12"/>
        <v>109</v>
      </c>
      <c r="BA30" s="31">
        <v>36</v>
      </c>
      <c r="BB30" s="31">
        <v>44</v>
      </c>
      <c r="BC30" s="2">
        <f t="shared" si="13"/>
        <v>80</v>
      </c>
      <c r="BD30" s="28">
        <f t="shared" si="75"/>
        <v>1079</v>
      </c>
      <c r="BE30" s="28">
        <f t="shared" si="74"/>
        <v>335</v>
      </c>
      <c r="BF30" s="2">
        <f t="shared" si="15"/>
        <v>1414</v>
      </c>
      <c r="BG30" s="28">
        <f t="shared" si="64"/>
        <v>75</v>
      </c>
      <c r="BH30" s="28">
        <f t="shared" si="65"/>
        <v>50</v>
      </c>
      <c r="BI30" s="2">
        <f t="shared" si="17"/>
        <v>125</v>
      </c>
      <c r="BJ30" s="28">
        <f t="shared" si="66"/>
        <v>37</v>
      </c>
      <c r="BK30" s="28">
        <f t="shared" si="67"/>
        <v>46</v>
      </c>
      <c r="BL30" s="2">
        <f t="shared" si="19"/>
        <v>83</v>
      </c>
      <c r="BM30" s="28">
        <f t="shared" si="20"/>
        <v>76.739999999999995</v>
      </c>
      <c r="BN30" s="28">
        <f t="shared" si="21"/>
        <v>74.78</v>
      </c>
      <c r="BO30" s="28">
        <f t="shared" si="22"/>
        <v>76.27</v>
      </c>
      <c r="BP30" s="28">
        <f t="shared" si="23"/>
        <v>72.12</v>
      </c>
      <c r="BQ30" s="28">
        <f t="shared" si="24"/>
        <v>70.42</v>
      </c>
      <c r="BR30" s="28">
        <f t="shared" si="25"/>
        <v>71.430000000000007</v>
      </c>
      <c r="BS30" s="61">
        <f t="shared" si="26"/>
        <v>71.150000000000006</v>
      </c>
      <c r="BT30" s="61">
        <f t="shared" si="27"/>
        <v>82.14</v>
      </c>
      <c r="BU30" s="61">
        <f t="shared" si="28"/>
        <v>76.849999999999994</v>
      </c>
      <c r="BV30" s="30">
        <v>0</v>
      </c>
      <c r="BW30" s="30">
        <v>0</v>
      </c>
      <c r="BX30" s="2">
        <f t="shared" si="29"/>
        <v>0</v>
      </c>
      <c r="BY30" s="31">
        <v>0</v>
      </c>
      <c r="BZ30" s="31">
        <v>0</v>
      </c>
      <c r="CA30" s="2">
        <f t="shared" si="76"/>
        <v>0</v>
      </c>
      <c r="CB30" s="31">
        <v>0</v>
      </c>
      <c r="CC30" s="31">
        <v>0</v>
      </c>
      <c r="CD30" s="2">
        <f t="shared" si="31"/>
        <v>0</v>
      </c>
      <c r="CE30" s="31">
        <v>0</v>
      </c>
      <c r="CF30" s="31">
        <v>0</v>
      </c>
      <c r="CG30" s="2">
        <f t="shared" si="77"/>
        <v>0</v>
      </c>
      <c r="CH30" s="31">
        <v>0</v>
      </c>
      <c r="CI30" s="31">
        <v>0</v>
      </c>
      <c r="CJ30" s="2">
        <f t="shared" si="33"/>
        <v>0</v>
      </c>
      <c r="CK30" s="31">
        <v>0</v>
      </c>
      <c r="CL30" s="31">
        <v>0</v>
      </c>
      <c r="CM30" s="2">
        <f t="shared" si="34"/>
        <v>0</v>
      </c>
      <c r="CN30" s="89">
        <v>0</v>
      </c>
      <c r="CO30" s="89">
        <v>0</v>
      </c>
      <c r="CP30" s="58">
        <f t="shared" si="35"/>
        <v>0</v>
      </c>
      <c r="CQ30" s="87">
        <v>0</v>
      </c>
      <c r="CR30" s="87">
        <v>0</v>
      </c>
      <c r="CS30" s="58">
        <f t="shared" si="36"/>
        <v>0</v>
      </c>
      <c r="CT30" s="87">
        <v>0</v>
      </c>
      <c r="CU30" s="87">
        <v>0</v>
      </c>
      <c r="CV30" s="58">
        <f t="shared" si="37"/>
        <v>0</v>
      </c>
      <c r="CW30" s="28">
        <f t="shared" si="68"/>
        <v>0</v>
      </c>
      <c r="CX30" s="28">
        <f t="shared" si="69"/>
        <v>0</v>
      </c>
      <c r="CY30" s="2">
        <f t="shared" si="39"/>
        <v>0</v>
      </c>
      <c r="CZ30" s="28">
        <f t="shared" si="70"/>
        <v>0</v>
      </c>
      <c r="DA30" s="28">
        <f t="shared" si="71"/>
        <v>0</v>
      </c>
      <c r="DB30" s="2">
        <f t="shared" si="41"/>
        <v>0</v>
      </c>
      <c r="DC30" s="28">
        <f t="shared" si="72"/>
        <v>0</v>
      </c>
      <c r="DD30" s="28">
        <f t="shared" si="73"/>
        <v>0</v>
      </c>
      <c r="DE30" s="2">
        <f t="shared" si="43"/>
        <v>0</v>
      </c>
      <c r="DF30" s="61" t="e">
        <f t="shared" si="44"/>
        <v>#DIV/0!</v>
      </c>
      <c r="DG30" s="61" t="e">
        <f t="shared" si="45"/>
        <v>#DIV/0!</v>
      </c>
      <c r="DH30" s="61" t="e">
        <f t="shared" si="46"/>
        <v>#DIV/0!</v>
      </c>
      <c r="DI30" s="61" t="e">
        <f t="shared" si="47"/>
        <v>#DIV/0!</v>
      </c>
      <c r="DJ30" s="61" t="e">
        <f t="shared" si="48"/>
        <v>#DIV/0!</v>
      </c>
      <c r="DK30" s="61" t="e">
        <f t="shared" si="49"/>
        <v>#DIV/0!</v>
      </c>
      <c r="DL30" s="61" t="e">
        <f t="shared" si="50"/>
        <v>#DIV/0!</v>
      </c>
      <c r="DM30" s="61" t="e">
        <f t="shared" si="51"/>
        <v>#DIV/0!</v>
      </c>
      <c r="DN30" s="61" t="e">
        <f t="shared" si="52"/>
        <v>#DIV/0!</v>
      </c>
      <c r="DO30" s="32"/>
      <c r="DP30" s="32"/>
      <c r="DQ30" s="2">
        <f t="shared" si="78"/>
        <v>0</v>
      </c>
      <c r="DR30" s="32"/>
      <c r="DS30" s="32"/>
      <c r="DT30" s="2">
        <f t="shared" si="79"/>
        <v>0</v>
      </c>
      <c r="DU30" s="32"/>
      <c r="DV30" s="32"/>
      <c r="DW30" s="2">
        <f t="shared" si="80"/>
        <v>0</v>
      </c>
      <c r="DX30" s="32"/>
      <c r="DY30" s="32"/>
      <c r="DZ30" s="2">
        <f t="shared" si="81"/>
        <v>0</v>
      </c>
      <c r="EA30" s="32"/>
      <c r="EB30" s="32"/>
      <c r="EC30" s="2">
        <f t="shared" si="82"/>
        <v>0</v>
      </c>
      <c r="ED30" s="32"/>
      <c r="EE30" s="32"/>
      <c r="EF30" s="2">
        <f t="shared" si="83"/>
        <v>0</v>
      </c>
      <c r="EG30" s="4">
        <f t="shared" si="59"/>
        <v>0</v>
      </c>
      <c r="EH30" s="91">
        <f t="shared" si="60"/>
        <v>-562</v>
      </c>
      <c r="EI30" s="4">
        <f>DQ31+DZ30-CY30-BF30</f>
        <v>896775</v>
      </c>
      <c r="EJ30" s="4">
        <f t="shared" si="62"/>
        <v>-125</v>
      </c>
      <c r="EK30" s="4">
        <f t="shared" si="63"/>
        <v>-83</v>
      </c>
      <c r="EL30" s="34"/>
    </row>
    <row r="31" spans="1:142" ht="30">
      <c r="A31" s="51">
        <v>30</v>
      </c>
      <c r="B31" s="43" t="s">
        <v>107</v>
      </c>
      <c r="C31" s="48" t="s">
        <v>61</v>
      </c>
      <c r="D31" s="64">
        <v>42801</v>
      </c>
      <c r="E31" s="64">
        <v>42826</v>
      </c>
      <c r="F31" s="64">
        <v>42934</v>
      </c>
      <c r="G31" s="64">
        <v>42949</v>
      </c>
      <c r="H31" s="46">
        <v>0</v>
      </c>
      <c r="I31" s="46">
        <v>21684</v>
      </c>
      <c r="J31" s="46">
        <v>0</v>
      </c>
      <c r="K31" s="46">
        <f t="shared" si="0"/>
        <v>21684</v>
      </c>
      <c r="L31" s="46">
        <v>0</v>
      </c>
      <c r="M31" s="46">
        <v>1755005</v>
      </c>
      <c r="N31" s="46">
        <v>0</v>
      </c>
      <c r="O31" s="46">
        <f t="shared" si="1"/>
        <v>1755005</v>
      </c>
      <c r="P31" s="46">
        <v>0</v>
      </c>
      <c r="Q31" s="46">
        <v>1537034</v>
      </c>
      <c r="R31" s="46">
        <v>0</v>
      </c>
      <c r="S31" s="46">
        <f t="shared" si="2"/>
        <v>1537034</v>
      </c>
      <c r="T31" s="46">
        <f t="shared" si="3"/>
        <v>87.58</v>
      </c>
      <c r="U31" s="57">
        <v>3676</v>
      </c>
      <c r="V31" s="57">
        <v>8029</v>
      </c>
      <c r="W31" s="57">
        <v>5025</v>
      </c>
      <c r="X31" s="57">
        <v>2578</v>
      </c>
      <c r="Y31" s="57">
        <v>1154</v>
      </c>
      <c r="Z31" s="57">
        <v>581</v>
      </c>
      <c r="AA31" s="57">
        <v>641</v>
      </c>
      <c r="AB31" s="60">
        <f t="shared" si="4"/>
        <v>0</v>
      </c>
      <c r="AC31" s="46">
        <v>949323</v>
      </c>
      <c r="AD31" s="46">
        <v>759013</v>
      </c>
      <c r="AE31" s="46">
        <f t="shared" si="5"/>
        <v>1708336</v>
      </c>
      <c r="AF31" s="46">
        <v>138887</v>
      </c>
      <c r="AG31" s="46">
        <v>112343</v>
      </c>
      <c r="AH31" s="46">
        <f t="shared" si="6"/>
        <v>251230</v>
      </c>
      <c r="AI31" s="46">
        <v>83241</v>
      </c>
      <c r="AJ31" s="46">
        <v>66302</v>
      </c>
      <c r="AK31" s="46">
        <f t="shared" si="7"/>
        <v>149543</v>
      </c>
      <c r="AL31" s="46">
        <v>799260</v>
      </c>
      <c r="AM31" s="46">
        <v>685002</v>
      </c>
      <c r="AN31" s="46">
        <f t="shared" si="8"/>
        <v>1484262</v>
      </c>
      <c r="AO31" s="46">
        <v>108819</v>
      </c>
      <c r="AP31" s="46">
        <v>95959</v>
      </c>
      <c r="AQ31" s="46">
        <f t="shared" si="9"/>
        <v>204778</v>
      </c>
      <c r="AR31" s="46">
        <v>63430</v>
      </c>
      <c r="AS31" s="46">
        <v>54168</v>
      </c>
      <c r="AT31" s="46">
        <f t="shared" si="10"/>
        <v>117598</v>
      </c>
      <c r="AU31" s="46">
        <v>18565</v>
      </c>
      <c r="AV31" s="46">
        <v>9782</v>
      </c>
      <c r="AW31" s="46">
        <f t="shared" si="11"/>
        <v>28347</v>
      </c>
      <c r="AX31" s="46">
        <v>3795</v>
      </c>
      <c r="AY31" s="46">
        <v>2302</v>
      </c>
      <c r="AZ31" s="46">
        <f t="shared" si="12"/>
        <v>6097</v>
      </c>
      <c r="BA31" s="46">
        <v>1653</v>
      </c>
      <c r="BB31" s="46">
        <v>1083</v>
      </c>
      <c r="BC31" s="46">
        <f t="shared" si="13"/>
        <v>2736</v>
      </c>
      <c r="BD31" s="46">
        <f t="shared" si="75"/>
        <v>817825</v>
      </c>
      <c r="BE31" s="46">
        <f t="shared" si="74"/>
        <v>694784</v>
      </c>
      <c r="BF31" s="46">
        <f t="shared" si="15"/>
        <v>1512609</v>
      </c>
      <c r="BG31" s="46">
        <f t="shared" si="64"/>
        <v>112614</v>
      </c>
      <c r="BH31" s="46">
        <f t="shared" si="65"/>
        <v>98261</v>
      </c>
      <c r="BI31" s="46">
        <f t="shared" si="17"/>
        <v>210875</v>
      </c>
      <c r="BJ31" s="46">
        <f t="shared" si="66"/>
        <v>65083</v>
      </c>
      <c r="BK31" s="46">
        <f t="shared" si="67"/>
        <v>55251</v>
      </c>
      <c r="BL31" s="46">
        <f t="shared" si="19"/>
        <v>120334</v>
      </c>
      <c r="BM31" s="46">
        <f t="shared" si="20"/>
        <v>86.15</v>
      </c>
      <c r="BN31" s="46">
        <f t="shared" si="21"/>
        <v>91.54</v>
      </c>
      <c r="BO31" s="46">
        <f t="shared" si="22"/>
        <v>88.54</v>
      </c>
      <c r="BP31" s="46">
        <f t="shared" si="23"/>
        <v>81.08</v>
      </c>
      <c r="BQ31" s="46">
        <f t="shared" si="24"/>
        <v>87.47</v>
      </c>
      <c r="BR31" s="46">
        <f t="shared" si="25"/>
        <v>83.94</v>
      </c>
      <c r="BS31" s="46">
        <f t="shared" si="26"/>
        <v>78.19</v>
      </c>
      <c r="BT31" s="46">
        <f t="shared" si="27"/>
        <v>83.33</v>
      </c>
      <c r="BU31" s="46">
        <f t="shared" si="28"/>
        <v>80.47</v>
      </c>
      <c r="BV31" s="46">
        <v>33623</v>
      </c>
      <c r="BW31" s="46">
        <v>13046</v>
      </c>
      <c r="BX31" s="46">
        <f t="shared" si="29"/>
        <v>46669</v>
      </c>
      <c r="BY31" s="46">
        <v>4522</v>
      </c>
      <c r="BZ31" s="46">
        <v>1983</v>
      </c>
      <c r="CA31" s="46">
        <f t="shared" si="76"/>
        <v>6505</v>
      </c>
      <c r="CB31" s="46">
        <v>1560</v>
      </c>
      <c r="CC31" s="46">
        <v>695</v>
      </c>
      <c r="CD31" s="46">
        <f t="shared" si="31"/>
        <v>2255</v>
      </c>
      <c r="CE31" s="46">
        <v>14966</v>
      </c>
      <c r="CF31" s="46">
        <v>7251</v>
      </c>
      <c r="CG31" s="46">
        <f t="shared" si="77"/>
        <v>22217</v>
      </c>
      <c r="CH31" s="46">
        <v>1625</v>
      </c>
      <c r="CI31" s="46">
        <v>918</v>
      </c>
      <c r="CJ31" s="46">
        <f t="shared" si="33"/>
        <v>2543</v>
      </c>
      <c r="CK31" s="46">
        <v>684</v>
      </c>
      <c r="CL31" s="46">
        <v>383</v>
      </c>
      <c r="CM31" s="46">
        <f t="shared" si="34"/>
        <v>1067</v>
      </c>
      <c r="CN31" s="46">
        <v>1609</v>
      </c>
      <c r="CO31" s="46">
        <v>599</v>
      </c>
      <c r="CP31" s="46">
        <f t="shared" si="35"/>
        <v>2208</v>
      </c>
      <c r="CQ31" s="46">
        <v>267</v>
      </c>
      <c r="CR31" s="46">
        <v>108</v>
      </c>
      <c r="CS31" s="46">
        <f t="shared" si="36"/>
        <v>375</v>
      </c>
      <c r="CT31" s="46">
        <v>71</v>
      </c>
      <c r="CU31" s="46">
        <v>33</v>
      </c>
      <c r="CV31" s="46">
        <f t="shared" si="37"/>
        <v>104</v>
      </c>
      <c r="CW31" s="46">
        <f t="shared" si="68"/>
        <v>16575</v>
      </c>
      <c r="CX31" s="46">
        <f t="shared" si="69"/>
        <v>7850</v>
      </c>
      <c r="CY31" s="46">
        <f t="shared" si="39"/>
        <v>24425</v>
      </c>
      <c r="CZ31" s="28">
        <f t="shared" si="70"/>
        <v>1892</v>
      </c>
      <c r="DA31" s="28">
        <f t="shared" si="71"/>
        <v>1026</v>
      </c>
      <c r="DB31" s="2">
        <f t="shared" si="41"/>
        <v>2918</v>
      </c>
      <c r="DC31" s="28">
        <f t="shared" si="72"/>
        <v>755</v>
      </c>
      <c r="DD31" s="28">
        <f t="shared" si="73"/>
        <v>416</v>
      </c>
      <c r="DE31" s="2">
        <f t="shared" si="43"/>
        <v>1171</v>
      </c>
      <c r="DF31" s="57">
        <f t="shared" si="44"/>
        <v>49.3</v>
      </c>
      <c r="DG31" s="57">
        <f t="shared" si="45"/>
        <v>60.17</v>
      </c>
      <c r="DH31" s="57">
        <f t="shared" si="46"/>
        <v>52.34</v>
      </c>
      <c r="DI31" s="46">
        <f t="shared" si="47"/>
        <v>41.84</v>
      </c>
      <c r="DJ31" s="46">
        <f t="shared" si="48"/>
        <v>51.74</v>
      </c>
      <c r="DK31" s="46">
        <f t="shared" si="49"/>
        <v>44.86</v>
      </c>
      <c r="DL31" s="46">
        <f t="shared" si="50"/>
        <v>48.4</v>
      </c>
      <c r="DM31" s="46">
        <f t="shared" si="51"/>
        <v>59.86</v>
      </c>
      <c r="DN31" s="46">
        <f t="shared" si="52"/>
        <v>51.93</v>
      </c>
      <c r="DO31" s="46">
        <v>445593</v>
      </c>
      <c r="DP31" s="46">
        <v>452596</v>
      </c>
      <c r="DQ31" s="46">
        <f t="shared" si="78"/>
        <v>898189</v>
      </c>
      <c r="DR31" s="46">
        <v>50994</v>
      </c>
      <c r="DS31" s="46">
        <v>55163</v>
      </c>
      <c r="DT31" s="46">
        <f t="shared" si="79"/>
        <v>106157</v>
      </c>
      <c r="DU31" s="46">
        <v>27132</v>
      </c>
      <c r="DV31" s="46">
        <v>26310</v>
      </c>
      <c r="DW31" s="46">
        <f t="shared" si="80"/>
        <v>53442</v>
      </c>
      <c r="DX31" s="46">
        <v>388807</v>
      </c>
      <c r="DY31" s="46">
        <v>250038</v>
      </c>
      <c r="DZ31" s="46">
        <f t="shared" si="81"/>
        <v>638845</v>
      </c>
      <c r="EA31" s="46">
        <v>63447</v>
      </c>
      <c r="EB31" s="46">
        <v>43901</v>
      </c>
      <c r="EC31" s="46">
        <f t="shared" si="82"/>
        <v>107348</v>
      </c>
      <c r="ED31" s="46">
        <v>38706</v>
      </c>
      <c r="EE31" s="46">
        <v>29357</v>
      </c>
      <c r="EF31" s="46">
        <f t="shared" si="83"/>
        <v>68063</v>
      </c>
      <c r="EG31" s="46">
        <f t="shared" si="59"/>
        <v>0</v>
      </c>
      <c r="EH31" s="57">
        <f t="shared" si="60"/>
        <v>0</v>
      </c>
      <c r="EI31" s="46">
        <f t="shared" ref="EI31:EI50" si="84">DQ31+DZ31-CY31-BF31</f>
        <v>0</v>
      </c>
      <c r="EJ31" s="46">
        <f t="shared" si="62"/>
        <v>-288</v>
      </c>
      <c r="EK31" s="46">
        <f t="shared" si="63"/>
        <v>0</v>
      </c>
    </row>
    <row r="32" spans="1:142" ht="45">
      <c r="A32" s="51">
        <v>42</v>
      </c>
      <c r="B32" s="48" t="s">
        <v>128</v>
      </c>
      <c r="C32" s="46" t="s">
        <v>68</v>
      </c>
      <c r="D32" s="70">
        <v>42837</v>
      </c>
      <c r="E32" s="70">
        <v>42845</v>
      </c>
      <c r="F32" s="70">
        <v>42930</v>
      </c>
      <c r="G32" s="70">
        <v>42936</v>
      </c>
      <c r="H32" s="46">
        <v>29</v>
      </c>
      <c r="I32" s="46">
        <v>0</v>
      </c>
      <c r="J32" s="46">
        <v>139</v>
      </c>
      <c r="K32" s="46">
        <f t="shared" si="0"/>
        <v>168</v>
      </c>
      <c r="L32" s="46">
        <v>316</v>
      </c>
      <c r="M32" s="46">
        <v>0</v>
      </c>
      <c r="N32" s="46">
        <v>1538</v>
      </c>
      <c r="O32" s="46">
        <f t="shared" si="1"/>
        <v>1854</v>
      </c>
      <c r="P32" s="46">
        <v>203</v>
      </c>
      <c r="Q32" s="46">
        <v>0</v>
      </c>
      <c r="R32" s="46">
        <v>649</v>
      </c>
      <c r="S32" s="46">
        <f t="shared" si="2"/>
        <v>852</v>
      </c>
      <c r="T32" s="46">
        <f t="shared" si="3"/>
        <v>45.95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60">
        <f t="shared" si="4"/>
        <v>168</v>
      </c>
      <c r="AC32" s="46">
        <v>1406</v>
      </c>
      <c r="AD32" s="46">
        <v>448</v>
      </c>
      <c r="AE32" s="46">
        <f t="shared" si="5"/>
        <v>1854</v>
      </c>
      <c r="AF32" s="46">
        <v>104</v>
      </c>
      <c r="AG32" s="46">
        <v>71</v>
      </c>
      <c r="AH32" s="46">
        <f t="shared" si="6"/>
        <v>175</v>
      </c>
      <c r="AI32" s="46">
        <v>52</v>
      </c>
      <c r="AJ32" s="46">
        <v>56</v>
      </c>
      <c r="AK32" s="46">
        <f t="shared" si="7"/>
        <v>108</v>
      </c>
      <c r="AL32" s="46">
        <v>519</v>
      </c>
      <c r="AM32" s="46">
        <v>32</v>
      </c>
      <c r="AN32" s="46">
        <f t="shared" si="8"/>
        <v>551</v>
      </c>
      <c r="AO32" s="46">
        <v>11</v>
      </c>
      <c r="AP32" s="46">
        <v>5</v>
      </c>
      <c r="AQ32" s="46">
        <f t="shared" si="9"/>
        <v>16</v>
      </c>
      <c r="AR32" s="46">
        <v>16</v>
      </c>
      <c r="AS32" s="46">
        <v>1</v>
      </c>
      <c r="AT32" s="46">
        <f t="shared" si="10"/>
        <v>17</v>
      </c>
      <c r="AU32" s="46">
        <v>560</v>
      </c>
      <c r="AV32" s="46">
        <v>303</v>
      </c>
      <c r="AW32" s="46">
        <f t="shared" si="11"/>
        <v>863</v>
      </c>
      <c r="AX32" s="46">
        <v>64</v>
      </c>
      <c r="AY32" s="46">
        <v>45</v>
      </c>
      <c r="AZ32" s="46">
        <f t="shared" si="12"/>
        <v>109</v>
      </c>
      <c r="BA32" s="46">
        <v>36</v>
      </c>
      <c r="BB32" s="46">
        <v>44</v>
      </c>
      <c r="BC32" s="46">
        <f t="shared" si="13"/>
        <v>80</v>
      </c>
      <c r="BD32" s="46">
        <v>837</v>
      </c>
      <c r="BE32" s="46">
        <v>115</v>
      </c>
      <c r="BF32" s="46">
        <f t="shared" si="15"/>
        <v>952</v>
      </c>
      <c r="BG32" s="46">
        <v>31</v>
      </c>
      <c r="BH32" s="46">
        <v>18</v>
      </c>
      <c r="BI32" s="46">
        <f t="shared" si="17"/>
        <v>49</v>
      </c>
      <c r="BJ32" s="46">
        <v>7</v>
      </c>
      <c r="BK32" s="46">
        <v>18</v>
      </c>
      <c r="BL32" s="46">
        <f t="shared" si="19"/>
        <v>25</v>
      </c>
      <c r="BM32" s="46">
        <f t="shared" si="20"/>
        <v>59.53</v>
      </c>
      <c r="BN32" s="46">
        <f t="shared" si="21"/>
        <v>25.67</v>
      </c>
      <c r="BO32" s="46">
        <f t="shared" si="22"/>
        <v>51.35</v>
      </c>
      <c r="BP32" s="46">
        <f t="shared" si="23"/>
        <v>29.81</v>
      </c>
      <c r="BQ32" s="46">
        <f t="shared" si="24"/>
        <v>25.35</v>
      </c>
      <c r="BR32" s="46">
        <f t="shared" si="25"/>
        <v>28</v>
      </c>
      <c r="BS32" s="46">
        <f t="shared" si="26"/>
        <v>13.46</v>
      </c>
      <c r="BT32" s="46">
        <f t="shared" si="27"/>
        <v>32.14</v>
      </c>
      <c r="BU32" s="46">
        <f t="shared" si="28"/>
        <v>23.15</v>
      </c>
      <c r="BV32" s="46">
        <v>0</v>
      </c>
      <c r="BW32" s="46">
        <v>0</v>
      </c>
      <c r="BX32" s="46">
        <f t="shared" si="29"/>
        <v>0</v>
      </c>
      <c r="BY32" s="46">
        <v>0</v>
      </c>
      <c r="BZ32" s="46">
        <v>0</v>
      </c>
      <c r="CA32" s="46">
        <f t="shared" si="76"/>
        <v>0</v>
      </c>
      <c r="CB32" s="46">
        <v>0</v>
      </c>
      <c r="CC32" s="46">
        <v>0</v>
      </c>
      <c r="CD32" s="46">
        <f t="shared" si="31"/>
        <v>0</v>
      </c>
      <c r="CE32" s="46">
        <v>0</v>
      </c>
      <c r="CF32" s="46">
        <v>0</v>
      </c>
      <c r="CG32" s="46">
        <f t="shared" si="77"/>
        <v>0</v>
      </c>
      <c r="CH32" s="46">
        <v>0</v>
      </c>
      <c r="CI32" s="46">
        <v>0</v>
      </c>
      <c r="CJ32" s="46">
        <f t="shared" si="33"/>
        <v>0</v>
      </c>
      <c r="CK32" s="46">
        <v>0</v>
      </c>
      <c r="CL32" s="46">
        <v>0</v>
      </c>
      <c r="CM32" s="46">
        <f t="shared" si="34"/>
        <v>0</v>
      </c>
      <c r="CN32" s="46">
        <v>0</v>
      </c>
      <c r="CO32" s="46">
        <v>0</v>
      </c>
      <c r="CP32" s="46">
        <f t="shared" si="35"/>
        <v>0</v>
      </c>
      <c r="CQ32" s="46">
        <v>0</v>
      </c>
      <c r="CR32" s="46">
        <v>0</v>
      </c>
      <c r="CS32" s="46">
        <f t="shared" si="36"/>
        <v>0</v>
      </c>
      <c r="CT32" s="46">
        <v>0</v>
      </c>
      <c r="CU32" s="46">
        <v>0</v>
      </c>
      <c r="CV32" s="46">
        <f t="shared" si="37"/>
        <v>0</v>
      </c>
      <c r="CW32" s="46">
        <v>0</v>
      </c>
      <c r="CX32" s="46">
        <v>0</v>
      </c>
      <c r="CY32" s="46">
        <f t="shared" si="39"/>
        <v>0</v>
      </c>
      <c r="CZ32" s="46">
        <v>0</v>
      </c>
      <c r="DA32" s="46">
        <v>0</v>
      </c>
      <c r="DB32" s="46">
        <f t="shared" si="41"/>
        <v>0</v>
      </c>
      <c r="DC32" s="46">
        <v>0</v>
      </c>
      <c r="DD32" s="46">
        <v>0</v>
      </c>
      <c r="DE32" s="46">
        <f t="shared" si="43"/>
        <v>0</v>
      </c>
      <c r="DF32" s="57" t="e">
        <f t="shared" si="44"/>
        <v>#DIV/0!</v>
      </c>
      <c r="DG32" s="57" t="e">
        <f t="shared" si="45"/>
        <v>#DIV/0!</v>
      </c>
      <c r="DH32" s="57" t="e">
        <f t="shared" si="46"/>
        <v>#DIV/0!</v>
      </c>
      <c r="DI32" s="46" t="e">
        <f t="shared" si="47"/>
        <v>#DIV/0!</v>
      </c>
      <c r="DJ32" s="46" t="e">
        <f t="shared" si="48"/>
        <v>#DIV/0!</v>
      </c>
      <c r="DK32" s="46" t="e">
        <f t="shared" si="49"/>
        <v>#DIV/0!</v>
      </c>
      <c r="DL32" s="46" t="e">
        <f t="shared" si="50"/>
        <v>#DIV/0!</v>
      </c>
      <c r="DM32" s="46" t="e">
        <f t="shared" si="51"/>
        <v>#DIV/0!</v>
      </c>
      <c r="DN32" s="46" t="e">
        <f t="shared" si="52"/>
        <v>#DIV/0!</v>
      </c>
      <c r="DO32" s="46">
        <v>0</v>
      </c>
      <c r="DP32" s="46">
        <v>0</v>
      </c>
      <c r="DQ32" s="46">
        <f t="shared" si="78"/>
        <v>0</v>
      </c>
      <c r="DR32" s="46">
        <v>0</v>
      </c>
      <c r="DS32" s="46">
        <v>0</v>
      </c>
      <c r="DT32" s="46">
        <f t="shared" si="79"/>
        <v>0</v>
      </c>
      <c r="DU32" s="46">
        <v>0</v>
      </c>
      <c r="DV32" s="46">
        <v>0</v>
      </c>
      <c r="DW32" s="46">
        <f t="shared" si="80"/>
        <v>0</v>
      </c>
      <c r="DX32" s="46">
        <v>0</v>
      </c>
      <c r="DY32" s="46">
        <v>0</v>
      </c>
      <c r="DZ32" s="46">
        <f t="shared" si="81"/>
        <v>0</v>
      </c>
      <c r="EA32" s="46">
        <v>0</v>
      </c>
      <c r="EB32" s="46">
        <v>0</v>
      </c>
      <c r="EC32" s="46">
        <f t="shared" si="82"/>
        <v>0</v>
      </c>
      <c r="ED32" s="46">
        <v>0</v>
      </c>
      <c r="EE32" s="46">
        <v>0</v>
      </c>
      <c r="EF32" s="46">
        <f t="shared" si="83"/>
        <v>0</v>
      </c>
      <c r="EG32" s="46">
        <f t="shared" si="59"/>
        <v>0</v>
      </c>
      <c r="EH32" s="57">
        <f t="shared" si="60"/>
        <v>-100</v>
      </c>
      <c r="EI32" s="46">
        <f t="shared" si="84"/>
        <v>-952</v>
      </c>
      <c r="EJ32" s="46">
        <f t="shared" si="62"/>
        <v>-49</v>
      </c>
      <c r="EK32" s="46">
        <f t="shared" si="63"/>
        <v>-25</v>
      </c>
    </row>
    <row r="33" spans="1:142" ht="28.5">
      <c r="A33" s="51">
        <v>28</v>
      </c>
      <c r="B33" s="67" t="s">
        <v>106</v>
      </c>
      <c r="C33" s="48" t="s">
        <v>105</v>
      </c>
      <c r="D33" s="65" t="s">
        <v>75</v>
      </c>
      <c r="E33" s="65" t="s">
        <v>75</v>
      </c>
      <c r="F33" s="65" t="s">
        <v>75</v>
      </c>
      <c r="G33" s="65" t="s">
        <v>75</v>
      </c>
      <c r="H33" s="46">
        <v>0</v>
      </c>
      <c r="I33" s="46">
        <v>0</v>
      </c>
      <c r="J33" s="46">
        <v>0</v>
      </c>
      <c r="K33" s="46">
        <f t="shared" si="0"/>
        <v>0</v>
      </c>
      <c r="L33" s="46">
        <v>0</v>
      </c>
      <c r="M33" s="46">
        <v>0</v>
      </c>
      <c r="N33" s="46">
        <v>0</v>
      </c>
      <c r="O33" s="46">
        <f t="shared" si="1"/>
        <v>0</v>
      </c>
      <c r="P33" s="46">
        <v>0</v>
      </c>
      <c r="Q33" s="46">
        <v>0</v>
      </c>
      <c r="R33" s="46">
        <v>0</v>
      </c>
      <c r="S33" s="46">
        <f t="shared" si="2"/>
        <v>0</v>
      </c>
      <c r="T33" s="46" t="e">
        <f t="shared" si="3"/>
        <v>#DIV/0!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7">
        <f t="shared" si="4"/>
        <v>0</v>
      </c>
      <c r="AC33" s="46">
        <v>16119</v>
      </c>
      <c r="AD33" s="46">
        <v>19116</v>
      </c>
      <c r="AE33" s="46">
        <f t="shared" si="5"/>
        <v>35235</v>
      </c>
      <c r="AF33" s="46">
        <v>125</v>
      </c>
      <c r="AG33" s="46">
        <v>141</v>
      </c>
      <c r="AH33" s="46">
        <f t="shared" si="6"/>
        <v>266</v>
      </c>
      <c r="AI33" s="46">
        <v>14310</v>
      </c>
      <c r="AJ33" s="46">
        <v>17452</v>
      </c>
      <c r="AK33" s="46">
        <f t="shared" si="7"/>
        <v>31762</v>
      </c>
      <c r="AL33" s="46">
        <v>11240</v>
      </c>
      <c r="AM33" s="46">
        <v>13046</v>
      </c>
      <c r="AN33" s="46">
        <f t="shared" si="8"/>
        <v>24286</v>
      </c>
      <c r="AO33" s="46">
        <v>76</v>
      </c>
      <c r="AP33" s="46">
        <v>95</v>
      </c>
      <c r="AQ33" s="46">
        <f t="shared" si="9"/>
        <v>171</v>
      </c>
      <c r="AR33" s="46">
        <v>9925</v>
      </c>
      <c r="AS33" s="46">
        <v>11851</v>
      </c>
      <c r="AT33" s="46">
        <f t="shared" si="10"/>
        <v>21776</v>
      </c>
      <c r="AU33" s="46">
        <v>0</v>
      </c>
      <c r="AV33" s="46">
        <v>0</v>
      </c>
      <c r="AW33" s="46">
        <f t="shared" si="11"/>
        <v>0</v>
      </c>
      <c r="AX33" s="46">
        <v>0</v>
      </c>
      <c r="AY33" s="46">
        <v>0</v>
      </c>
      <c r="AZ33" s="46">
        <f t="shared" si="12"/>
        <v>0</v>
      </c>
      <c r="BA33" s="46">
        <v>0</v>
      </c>
      <c r="BB33" s="46">
        <v>0</v>
      </c>
      <c r="BC33" s="46">
        <f t="shared" si="13"/>
        <v>0</v>
      </c>
      <c r="BD33" s="46">
        <f t="shared" ref="BD33:BE38" si="85">AL33+AU33</f>
        <v>11240</v>
      </c>
      <c r="BE33" s="46">
        <f t="shared" si="85"/>
        <v>13046</v>
      </c>
      <c r="BF33" s="46">
        <f t="shared" si="15"/>
        <v>24286</v>
      </c>
      <c r="BG33" s="46">
        <f t="shared" ref="BG33:BH38" si="86">AO33+AX33</f>
        <v>76</v>
      </c>
      <c r="BH33" s="46">
        <f t="shared" si="86"/>
        <v>95</v>
      </c>
      <c r="BI33" s="46">
        <f t="shared" si="17"/>
        <v>171</v>
      </c>
      <c r="BJ33" s="46">
        <f t="shared" ref="BJ33:BK38" si="87">AR33+BA33</f>
        <v>9925</v>
      </c>
      <c r="BK33" s="46">
        <f t="shared" si="87"/>
        <v>11851</v>
      </c>
      <c r="BL33" s="46">
        <f t="shared" si="19"/>
        <v>21776</v>
      </c>
      <c r="BM33" s="46">
        <f t="shared" si="20"/>
        <v>69.73</v>
      </c>
      <c r="BN33" s="46">
        <f t="shared" si="21"/>
        <v>68.25</v>
      </c>
      <c r="BO33" s="46">
        <f t="shared" si="22"/>
        <v>68.930000000000007</v>
      </c>
      <c r="BP33" s="46">
        <f t="shared" si="23"/>
        <v>60.8</v>
      </c>
      <c r="BQ33" s="46">
        <f t="shared" si="24"/>
        <v>67.38</v>
      </c>
      <c r="BR33" s="46">
        <f t="shared" si="25"/>
        <v>64.290000000000006</v>
      </c>
      <c r="BS33" s="46">
        <f t="shared" si="26"/>
        <v>69.36</v>
      </c>
      <c r="BT33" s="46">
        <f t="shared" si="27"/>
        <v>67.91</v>
      </c>
      <c r="BU33" s="46">
        <f t="shared" si="28"/>
        <v>68.56</v>
      </c>
      <c r="BV33" s="46">
        <v>7536</v>
      </c>
      <c r="BW33" s="46">
        <v>8202</v>
      </c>
      <c r="BX33" s="46">
        <f t="shared" si="29"/>
        <v>15738</v>
      </c>
      <c r="BY33" s="46">
        <v>15</v>
      </c>
      <c r="BZ33" s="46">
        <v>16</v>
      </c>
      <c r="CA33" s="46">
        <f t="shared" si="76"/>
        <v>31</v>
      </c>
      <c r="CB33" s="46">
        <v>7379</v>
      </c>
      <c r="CC33" s="46">
        <v>8020</v>
      </c>
      <c r="CD33" s="46">
        <f t="shared" si="31"/>
        <v>15399</v>
      </c>
      <c r="CE33" s="46">
        <v>1449</v>
      </c>
      <c r="CF33" s="46">
        <v>1823</v>
      </c>
      <c r="CG33" s="46">
        <f t="shared" si="77"/>
        <v>3272</v>
      </c>
      <c r="CH33" s="46">
        <v>4</v>
      </c>
      <c r="CI33" s="46">
        <v>12</v>
      </c>
      <c r="CJ33" s="46">
        <f t="shared" si="33"/>
        <v>16</v>
      </c>
      <c r="CK33" s="46">
        <v>1385</v>
      </c>
      <c r="CL33" s="46">
        <v>1739</v>
      </c>
      <c r="CM33" s="46">
        <f t="shared" si="34"/>
        <v>3124</v>
      </c>
      <c r="CN33" s="46">
        <v>0</v>
      </c>
      <c r="CO33" s="46">
        <v>0</v>
      </c>
      <c r="CP33" s="46">
        <f t="shared" si="35"/>
        <v>0</v>
      </c>
      <c r="CQ33" s="46">
        <v>0</v>
      </c>
      <c r="CR33" s="46">
        <v>0</v>
      </c>
      <c r="CS33" s="46">
        <f t="shared" si="36"/>
        <v>0</v>
      </c>
      <c r="CT33" s="46">
        <v>0</v>
      </c>
      <c r="CU33" s="46">
        <v>0</v>
      </c>
      <c r="CV33" s="46">
        <f t="shared" si="37"/>
        <v>0</v>
      </c>
      <c r="CW33" s="46">
        <f>CE33+CN33</f>
        <v>1449</v>
      </c>
      <c r="CX33" s="46">
        <f>CF33+CO33</f>
        <v>1823</v>
      </c>
      <c r="CY33" s="46">
        <f t="shared" si="39"/>
        <v>3272</v>
      </c>
      <c r="CZ33" s="28">
        <f>CH33+CQ33</f>
        <v>4</v>
      </c>
      <c r="DA33" s="28">
        <f>CI33+CR33</f>
        <v>12</v>
      </c>
      <c r="DB33" s="2">
        <f t="shared" si="41"/>
        <v>16</v>
      </c>
      <c r="DC33" s="28">
        <f>CK33+CT33</f>
        <v>1385</v>
      </c>
      <c r="DD33" s="28">
        <f>CL33+CU33</f>
        <v>1739</v>
      </c>
      <c r="DE33" s="2">
        <f t="shared" si="43"/>
        <v>3124</v>
      </c>
      <c r="DF33" s="57">
        <f t="shared" si="44"/>
        <v>19.23</v>
      </c>
      <c r="DG33" s="57">
        <f t="shared" si="45"/>
        <v>22.23</v>
      </c>
      <c r="DH33" s="57">
        <f t="shared" si="46"/>
        <v>20.79</v>
      </c>
      <c r="DI33" s="46">
        <f t="shared" si="47"/>
        <v>26.67</v>
      </c>
      <c r="DJ33" s="46">
        <f t="shared" si="48"/>
        <v>75</v>
      </c>
      <c r="DK33" s="46">
        <f t="shared" si="49"/>
        <v>51.61</v>
      </c>
      <c r="DL33" s="46">
        <f t="shared" si="50"/>
        <v>18.77</v>
      </c>
      <c r="DM33" s="46">
        <f t="shared" si="51"/>
        <v>21.68</v>
      </c>
      <c r="DN33" s="46">
        <f t="shared" si="52"/>
        <v>20.29</v>
      </c>
      <c r="DO33" s="46">
        <v>677</v>
      </c>
      <c r="DP33" s="46">
        <v>828</v>
      </c>
      <c r="DQ33" s="46">
        <f t="shared" si="78"/>
        <v>1505</v>
      </c>
      <c r="DR33" s="46">
        <v>7</v>
      </c>
      <c r="DS33" s="46">
        <v>6</v>
      </c>
      <c r="DT33" s="46">
        <f t="shared" si="79"/>
        <v>13</v>
      </c>
      <c r="DU33" s="46">
        <v>528</v>
      </c>
      <c r="DV33" s="46">
        <v>683</v>
      </c>
      <c r="DW33" s="46">
        <f t="shared" si="80"/>
        <v>1211</v>
      </c>
      <c r="DX33" s="46">
        <v>2177</v>
      </c>
      <c r="DY33" s="46">
        <v>2482</v>
      </c>
      <c r="DZ33" s="46">
        <f t="shared" si="81"/>
        <v>4659</v>
      </c>
      <c r="EA33" s="46">
        <v>15</v>
      </c>
      <c r="EB33" s="46">
        <v>18</v>
      </c>
      <c r="EC33" s="46">
        <f t="shared" si="82"/>
        <v>33</v>
      </c>
      <c r="ED33" s="46">
        <v>1889</v>
      </c>
      <c r="EE33" s="46">
        <v>2232</v>
      </c>
      <c r="EF33" s="46">
        <f t="shared" si="83"/>
        <v>4121</v>
      </c>
      <c r="EG33" s="46">
        <f t="shared" si="59"/>
        <v>-50973</v>
      </c>
      <c r="EH33" s="57">
        <f t="shared" si="60"/>
        <v>-27558</v>
      </c>
      <c r="EI33" s="46">
        <f t="shared" si="84"/>
        <v>-21394</v>
      </c>
      <c r="EJ33" s="46">
        <f t="shared" si="62"/>
        <v>-141</v>
      </c>
      <c r="EK33" s="46">
        <f t="shared" si="63"/>
        <v>-19568</v>
      </c>
    </row>
    <row r="34" spans="1:142" ht="30">
      <c r="A34" s="51">
        <v>39</v>
      </c>
      <c r="B34" s="48" t="s">
        <v>124</v>
      </c>
      <c r="C34" s="48" t="s">
        <v>119</v>
      </c>
      <c r="D34" s="64">
        <v>42769</v>
      </c>
      <c r="E34" s="64">
        <v>42818</v>
      </c>
      <c r="F34" s="64">
        <v>42907</v>
      </c>
      <c r="G34" s="64">
        <v>42908</v>
      </c>
      <c r="H34" s="46">
        <v>182</v>
      </c>
      <c r="I34" s="46">
        <v>84</v>
      </c>
      <c r="J34" s="46">
        <v>63</v>
      </c>
      <c r="K34" s="46">
        <f t="shared" si="0"/>
        <v>329</v>
      </c>
      <c r="L34" s="46">
        <v>4880</v>
      </c>
      <c r="M34" s="46">
        <v>3789</v>
      </c>
      <c r="N34" s="46">
        <v>5959</v>
      </c>
      <c r="O34" s="46">
        <f t="shared" si="1"/>
        <v>14628</v>
      </c>
      <c r="P34" s="46">
        <v>3153</v>
      </c>
      <c r="Q34" s="46">
        <v>2891</v>
      </c>
      <c r="R34" s="46">
        <v>4596</v>
      </c>
      <c r="S34" s="46">
        <f t="shared" si="2"/>
        <v>10640</v>
      </c>
      <c r="T34" s="46">
        <f t="shared" si="3"/>
        <v>72.739999999999995</v>
      </c>
      <c r="U34" s="46">
        <v>74</v>
      </c>
      <c r="V34" s="46">
        <v>78</v>
      </c>
      <c r="W34" s="46">
        <v>99</v>
      </c>
      <c r="X34" s="46">
        <v>74</v>
      </c>
      <c r="Y34" s="46">
        <v>49</v>
      </c>
      <c r="Z34" s="46">
        <v>62</v>
      </c>
      <c r="AA34" s="46">
        <v>194</v>
      </c>
      <c r="AB34" s="47">
        <f t="shared" si="4"/>
        <v>-301</v>
      </c>
      <c r="AC34" s="46">
        <v>6892</v>
      </c>
      <c r="AD34" s="46">
        <v>7636</v>
      </c>
      <c r="AE34" s="46">
        <f t="shared" si="5"/>
        <v>14528</v>
      </c>
      <c r="AF34" s="46">
        <v>12</v>
      </c>
      <c r="AG34" s="46">
        <v>19</v>
      </c>
      <c r="AH34" s="46">
        <f t="shared" si="6"/>
        <v>31</v>
      </c>
      <c r="AI34" s="46">
        <v>6791</v>
      </c>
      <c r="AJ34" s="46">
        <v>7517</v>
      </c>
      <c r="AK34" s="46">
        <f t="shared" si="7"/>
        <v>14308</v>
      </c>
      <c r="AL34" s="46">
        <v>5099</v>
      </c>
      <c r="AM34" s="46">
        <v>5438</v>
      </c>
      <c r="AN34" s="46">
        <f t="shared" si="8"/>
        <v>10537</v>
      </c>
      <c r="AO34" s="46">
        <v>10</v>
      </c>
      <c r="AP34" s="46">
        <v>13</v>
      </c>
      <c r="AQ34" s="46">
        <f t="shared" si="9"/>
        <v>23</v>
      </c>
      <c r="AR34" s="46">
        <v>5012</v>
      </c>
      <c r="AS34" s="46">
        <v>5351</v>
      </c>
      <c r="AT34" s="46">
        <f t="shared" si="10"/>
        <v>10363</v>
      </c>
      <c r="AU34" s="46">
        <v>45</v>
      </c>
      <c r="AV34" s="46">
        <v>38</v>
      </c>
      <c r="AW34" s="46">
        <f t="shared" si="11"/>
        <v>83</v>
      </c>
      <c r="AX34" s="46">
        <v>0</v>
      </c>
      <c r="AY34" s="46">
        <v>0</v>
      </c>
      <c r="AZ34" s="46">
        <f t="shared" si="12"/>
        <v>0</v>
      </c>
      <c r="BA34" s="46">
        <v>45</v>
      </c>
      <c r="BB34" s="46">
        <v>38</v>
      </c>
      <c r="BC34" s="46">
        <f t="shared" si="13"/>
        <v>83</v>
      </c>
      <c r="BD34" s="46">
        <f t="shared" si="85"/>
        <v>5144</v>
      </c>
      <c r="BE34" s="46">
        <f t="shared" si="85"/>
        <v>5476</v>
      </c>
      <c r="BF34" s="46">
        <f t="shared" si="15"/>
        <v>10620</v>
      </c>
      <c r="BG34" s="46">
        <f t="shared" si="86"/>
        <v>10</v>
      </c>
      <c r="BH34" s="46">
        <f t="shared" si="86"/>
        <v>13</v>
      </c>
      <c r="BI34" s="46">
        <f t="shared" si="17"/>
        <v>23</v>
      </c>
      <c r="BJ34" s="46">
        <f t="shared" si="87"/>
        <v>5057</v>
      </c>
      <c r="BK34" s="46">
        <f t="shared" si="87"/>
        <v>5389</v>
      </c>
      <c r="BL34" s="46">
        <f t="shared" si="19"/>
        <v>10446</v>
      </c>
      <c r="BM34" s="46">
        <f t="shared" si="20"/>
        <v>74.64</v>
      </c>
      <c r="BN34" s="46">
        <f t="shared" si="21"/>
        <v>71.709999999999994</v>
      </c>
      <c r="BO34" s="46">
        <f t="shared" si="22"/>
        <v>73.099999999999994</v>
      </c>
      <c r="BP34" s="46">
        <f t="shared" si="23"/>
        <v>83.33</v>
      </c>
      <c r="BQ34" s="46">
        <f t="shared" si="24"/>
        <v>68.42</v>
      </c>
      <c r="BR34" s="46">
        <f t="shared" si="25"/>
        <v>74.19</v>
      </c>
      <c r="BS34" s="46">
        <f t="shared" si="26"/>
        <v>74.47</v>
      </c>
      <c r="BT34" s="46">
        <f t="shared" si="27"/>
        <v>71.69</v>
      </c>
      <c r="BU34" s="46">
        <f t="shared" si="28"/>
        <v>73.010000000000005</v>
      </c>
      <c r="BV34" s="46">
        <v>53</v>
      </c>
      <c r="BW34" s="46">
        <v>47</v>
      </c>
      <c r="BX34" s="46">
        <f t="shared" si="29"/>
        <v>100</v>
      </c>
      <c r="BY34" s="46">
        <v>0</v>
      </c>
      <c r="BZ34" s="46">
        <v>0</v>
      </c>
      <c r="CA34" s="46">
        <f t="shared" si="76"/>
        <v>0</v>
      </c>
      <c r="CB34" s="46">
        <v>53</v>
      </c>
      <c r="CC34" s="46">
        <v>47</v>
      </c>
      <c r="CD34" s="46">
        <f t="shared" si="31"/>
        <v>100</v>
      </c>
      <c r="CE34" s="46">
        <v>14</v>
      </c>
      <c r="CF34" s="46">
        <v>6</v>
      </c>
      <c r="CG34" s="46">
        <f t="shared" si="77"/>
        <v>20</v>
      </c>
      <c r="CH34" s="46">
        <v>0</v>
      </c>
      <c r="CI34" s="46">
        <v>0</v>
      </c>
      <c r="CJ34" s="46">
        <f t="shared" si="33"/>
        <v>0</v>
      </c>
      <c r="CK34" s="46">
        <v>14</v>
      </c>
      <c r="CL34" s="46">
        <v>6</v>
      </c>
      <c r="CM34" s="46">
        <f t="shared" si="34"/>
        <v>20</v>
      </c>
      <c r="CN34" s="46">
        <v>0</v>
      </c>
      <c r="CO34" s="46">
        <v>0</v>
      </c>
      <c r="CP34" s="46">
        <f t="shared" si="35"/>
        <v>0</v>
      </c>
      <c r="CQ34" s="46">
        <v>0</v>
      </c>
      <c r="CR34" s="46">
        <v>0</v>
      </c>
      <c r="CS34" s="46">
        <f t="shared" si="36"/>
        <v>0</v>
      </c>
      <c r="CT34" s="46">
        <v>0</v>
      </c>
      <c r="CU34" s="46">
        <v>0</v>
      </c>
      <c r="CV34" s="46">
        <f t="shared" si="37"/>
        <v>0</v>
      </c>
      <c r="CW34" s="46">
        <v>14</v>
      </c>
      <c r="CX34" s="46">
        <v>6</v>
      </c>
      <c r="CY34" s="46">
        <f t="shared" si="39"/>
        <v>20</v>
      </c>
      <c r="CZ34" s="46">
        <v>0</v>
      </c>
      <c r="DA34" s="46">
        <v>0</v>
      </c>
      <c r="DB34" s="46">
        <f t="shared" si="41"/>
        <v>0</v>
      </c>
      <c r="DC34" s="46">
        <v>14</v>
      </c>
      <c r="DD34" s="46">
        <v>6</v>
      </c>
      <c r="DE34" s="46">
        <f t="shared" si="43"/>
        <v>20</v>
      </c>
      <c r="DF34" s="46">
        <f t="shared" si="44"/>
        <v>26.42</v>
      </c>
      <c r="DG34" s="46">
        <f t="shared" si="45"/>
        <v>12.77</v>
      </c>
      <c r="DH34" s="46">
        <f t="shared" si="46"/>
        <v>20</v>
      </c>
      <c r="DI34" s="46" t="e">
        <f t="shared" si="47"/>
        <v>#DIV/0!</v>
      </c>
      <c r="DJ34" s="46" t="e">
        <f t="shared" si="48"/>
        <v>#DIV/0!</v>
      </c>
      <c r="DK34" s="46" t="e">
        <f t="shared" si="49"/>
        <v>#DIV/0!</v>
      </c>
      <c r="DL34" s="46">
        <f t="shared" si="50"/>
        <v>26.42</v>
      </c>
      <c r="DM34" s="46">
        <f t="shared" si="51"/>
        <v>12.77</v>
      </c>
      <c r="DN34" s="46">
        <f t="shared" si="52"/>
        <v>20</v>
      </c>
      <c r="DO34" s="46">
        <v>1885</v>
      </c>
      <c r="DP34" s="46">
        <v>2233</v>
      </c>
      <c r="DQ34" s="46">
        <f t="shared" si="78"/>
        <v>4118</v>
      </c>
      <c r="DR34" s="46">
        <v>5</v>
      </c>
      <c r="DS34" s="46">
        <v>8</v>
      </c>
      <c r="DT34" s="46">
        <f t="shared" si="79"/>
        <v>13</v>
      </c>
      <c r="DU34" s="46">
        <v>1850</v>
      </c>
      <c r="DV34" s="46">
        <v>2209</v>
      </c>
      <c r="DW34" s="46">
        <f t="shared" si="80"/>
        <v>4059</v>
      </c>
      <c r="DX34" s="46">
        <v>3273</v>
      </c>
      <c r="DY34" s="46">
        <v>3249</v>
      </c>
      <c r="DZ34" s="46">
        <f t="shared" si="81"/>
        <v>6522</v>
      </c>
      <c r="EA34" s="46">
        <v>5</v>
      </c>
      <c r="EB34" s="46">
        <v>5</v>
      </c>
      <c r="EC34" s="46">
        <f t="shared" si="82"/>
        <v>10</v>
      </c>
      <c r="ED34" s="46">
        <v>3208</v>
      </c>
      <c r="EE34" s="46">
        <v>3199</v>
      </c>
      <c r="EF34" s="46">
        <f t="shared" si="83"/>
        <v>6407</v>
      </c>
      <c r="EG34" s="46">
        <f t="shared" si="59"/>
        <v>0</v>
      </c>
      <c r="EH34" s="57">
        <f t="shared" si="60"/>
        <v>0</v>
      </c>
      <c r="EI34" s="46">
        <f t="shared" si="84"/>
        <v>0</v>
      </c>
      <c r="EJ34" s="46">
        <f t="shared" si="62"/>
        <v>0</v>
      </c>
      <c r="EK34" s="46">
        <f t="shared" si="63"/>
        <v>0</v>
      </c>
    </row>
    <row r="35" spans="1:142" ht="30">
      <c r="A35" s="51">
        <v>19</v>
      </c>
      <c r="B35" s="43" t="s">
        <v>81</v>
      </c>
      <c r="C35" s="54" t="s">
        <v>83</v>
      </c>
      <c r="D35" s="64">
        <v>42781</v>
      </c>
      <c r="E35" s="64">
        <v>42793</v>
      </c>
      <c r="F35" s="64">
        <v>42861</v>
      </c>
      <c r="G35" s="64">
        <v>43014</v>
      </c>
      <c r="H35" s="6">
        <v>294</v>
      </c>
      <c r="I35" s="6">
        <v>0</v>
      </c>
      <c r="J35" s="6">
        <v>422</v>
      </c>
      <c r="K35" s="2">
        <f t="shared" si="0"/>
        <v>716</v>
      </c>
      <c r="L35" s="6">
        <v>4296</v>
      </c>
      <c r="M35" s="6">
        <v>0</v>
      </c>
      <c r="N35" s="6">
        <v>14673</v>
      </c>
      <c r="O35" s="2">
        <f t="shared" si="1"/>
        <v>18969</v>
      </c>
      <c r="P35" s="6">
        <v>1830</v>
      </c>
      <c r="Q35" s="6">
        <v>0</v>
      </c>
      <c r="R35" s="6">
        <v>13085</v>
      </c>
      <c r="S35" s="2">
        <f t="shared" si="2"/>
        <v>14915</v>
      </c>
      <c r="T35" s="15">
        <f t="shared" si="3"/>
        <v>78.63</v>
      </c>
      <c r="U35" s="6">
        <v>72</v>
      </c>
      <c r="V35" s="6">
        <v>154</v>
      </c>
      <c r="W35" s="6">
        <v>60</v>
      </c>
      <c r="X35" s="6">
        <v>68</v>
      </c>
      <c r="Y35" s="6">
        <v>48</v>
      </c>
      <c r="Z35" s="6">
        <v>49</v>
      </c>
      <c r="AA35" s="6">
        <v>223</v>
      </c>
      <c r="AB35" s="47">
        <f t="shared" si="4"/>
        <v>42</v>
      </c>
      <c r="AC35" s="30">
        <v>10699</v>
      </c>
      <c r="AD35" s="30">
        <v>11747</v>
      </c>
      <c r="AE35" s="46">
        <f t="shared" si="5"/>
        <v>22446</v>
      </c>
      <c r="AF35" s="31">
        <v>106</v>
      </c>
      <c r="AG35" s="31">
        <v>92</v>
      </c>
      <c r="AH35" s="2">
        <f t="shared" si="6"/>
        <v>198</v>
      </c>
      <c r="AI35" s="31">
        <v>9677</v>
      </c>
      <c r="AJ35" s="31">
        <v>10721</v>
      </c>
      <c r="AK35" s="2">
        <f t="shared" si="7"/>
        <v>20398</v>
      </c>
      <c r="AL35" s="30">
        <v>7577</v>
      </c>
      <c r="AM35" s="30">
        <v>8178</v>
      </c>
      <c r="AN35" s="2">
        <f t="shared" si="8"/>
        <v>15755</v>
      </c>
      <c r="AO35" s="31">
        <v>85</v>
      </c>
      <c r="AP35" s="31">
        <v>70</v>
      </c>
      <c r="AQ35" s="2">
        <f t="shared" si="9"/>
        <v>155</v>
      </c>
      <c r="AR35" s="31">
        <v>6767</v>
      </c>
      <c r="AS35" s="31">
        <v>7377</v>
      </c>
      <c r="AT35" s="2">
        <f t="shared" si="10"/>
        <v>14144</v>
      </c>
      <c r="AU35" s="31">
        <v>0</v>
      </c>
      <c r="AV35" s="31">
        <v>0</v>
      </c>
      <c r="AW35" s="2">
        <f t="shared" si="11"/>
        <v>0</v>
      </c>
      <c r="AX35" s="31">
        <v>0</v>
      </c>
      <c r="AY35" s="31">
        <v>0</v>
      </c>
      <c r="AZ35" s="2">
        <f t="shared" si="12"/>
        <v>0</v>
      </c>
      <c r="BA35" s="31">
        <v>0</v>
      </c>
      <c r="BB35" s="31">
        <v>0</v>
      </c>
      <c r="BC35" s="2">
        <f t="shared" si="13"/>
        <v>0</v>
      </c>
      <c r="BD35" s="28">
        <f t="shared" si="85"/>
        <v>7577</v>
      </c>
      <c r="BE35" s="28">
        <f t="shared" si="85"/>
        <v>8178</v>
      </c>
      <c r="BF35" s="2">
        <f t="shared" si="15"/>
        <v>15755</v>
      </c>
      <c r="BG35" s="46">
        <f t="shared" si="86"/>
        <v>85</v>
      </c>
      <c r="BH35" s="46">
        <f t="shared" si="86"/>
        <v>70</v>
      </c>
      <c r="BI35" s="46">
        <f t="shared" si="17"/>
        <v>155</v>
      </c>
      <c r="BJ35" s="28">
        <f t="shared" si="87"/>
        <v>6767</v>
      </c>
      <c r="BK35" s="28">
        <f t="shared" si="87"/>
        <v>7377</v>
      </c>
      <c r="BL35" s="2">
        <f t="shared" si="19"/>
        <v>14144</v>
      </c>
      <c r="BM35" s="28">
        <f t="shared" si="20"/>
        <v>70.819999999999993</v>
      </c>
      <c r="BN35" s="28">
        <f t="shared" si="21"/>
        <v>69.62</v>
      </c>
      <c r="BO35" s="28">
        <f t="shared" si="22"/>
        <v>70.19</v>
      </c>
      <c r="BP35" s="46">
        <f t="shared" si="23"/>
        <v>80.19</v>
      </c>
      <c r="BQ35" s="46">
        <f t="shared" si="24"/>
        <v>76.09</v>
      </c>
      <c r="BR35" s="46">
        <f t="shared" si="25"/>
        <v>78.28</v>
      </c>
      <c r="BS35" s="28">
        <f t="shared" si="26"/>
        <v>69.930000000000007</v>
      </c>
      <c r="BT35" s="28">
        <f t="shared" si="27"/>
        <v>68.81</v>
      </c>
      <c r="BU35" s="28">
        <f t="shared" si="28"/>
        <v>69.34</v>
      </c>
      <c r="BV35" s="30">
        <v>452</v>
      </c>
      <c r="BW35" s="30">
        <v>467</v>
      </c>
      <c r="BX35" s="2">
        <f t="shared" si="29"/>
        <v>919</v>
      </c>
      <c r="BY35" s="31">
        <v>0</v>
      </c>
      <c r="BZ35" s="31">
        <v>0</v>
      </c>
      <c r="CA35" s="2">
        <f t="shared" si="76"/>
        <v>0</v>
      </c>
      <c r="CB35" s="31">
        <v>0</v>
      </c>
      <c r="CC35" s="31">
        <v>0</v>
      </c>
      <c r="CD35" s="2">
        <f t="shared" si="31"/>
        <v>0</v>
      </c>
      <c r="CE35" s="30">
        <v>172</v>
      </c>
      <c r="CF35" s="30">
        <v>186</v>
      </c>
      <c r="CG35" s="2">
        <f t="shared" si="77"/>
        <v>358</v>
      </c>
      <c r="CH35" s="31">
        <v>0</v>
      </c>
      <c r="CI35" s="31">
        <v>0</v>
      </c>
      <c r="CJ35" s="2">
        <f t="shared" si="33"/>
        <v>0</v>
      </c>
      <c r="CK35" s="31">
        <v>0</v>
      </c>
      <c r="CL35" s="31">
        <v>0</v>
      </c>
      <c r="CM35" s="2">
        <f t="shared" si="34"/>
        <v>0</v>
      </c>
      <c r="CN35" s="31">
        <v>0</v>
      </c>
      <c r="CO35" s="31">
        <v>0</v>
      </c>
      <c r="CP35" s="2">
        <f t="shared" si="35"/>
        <v>0</v>
      </c>
      <c r="CQ35" s="31">
        <v>0</v>
      </c>
      <c r="CR35" s="31">
        <v>0</v>
      </c>
      <c r="CS35" s="2">
        <f t="shared" si="36"/>
        <v>0</v>
      </c>
      <c r="CT35" s="31">
        <v>0</v>
      </c>
      <c r="CU35" s="31">
        <v>0</v>
      </c>
      <c r="CV35" s="2">
        <f t="shared" si="37"/>
        <v>0</v>
      </c>
      <c r="CW35" s="46">
        <f t="shared" ref="CW35:CX38" si="88">CE35+CN35</f>
        <v>172</v>
      </c>
      <c r="CX35" s="46">
        <f t="shared" si="88"/>
        <v>186</v>
      </c>
      <c r="CY35" s="46">
        <f t="shared" si="39"/>
        <v>358</v>
      </c>
      <c r="CZ35" s="28">
        <f t="shared" ref="CZ35:DA38" si="89">CH35+CQ35</f>
        <v>0</v>
      </c>
      <c r="DA35" s="28">
        <f t="shared" si="89"/>
        <v>0</v>
      </c>
      <c r="DB35" s="2">
        <f t="shared" si="41"/>
        <v>0</v>
      </c>
      <c r="DC35" s="28">
        <f t="shared" ref="DC35:DD38" si="90">CK35+CT35</f>
        <v>0</v>
      </c>
      <c r="DD35" s="28">
        <f t="shared" si="90"/>
        <v>0</v>
      </c>
      <c r="DE35" s="2">
        <f t="shared" si="43"/>
        <v>0</v>
      </c>
      <c r="DF35" s="46">
        <f t="shared" si="44"/>
        <v>38.049999999999997</v>
      </c>
      <c r="DG35" s="46">
        <f t="shared" si="45"/>
        <v>39.83</v>
      </c>
      <c r="DH35" s="46">
        <f t="shared" si="46"/>
        <v>38.96</v>
      </c>
      <c r="DI35" s="28" t="e">
        <f t="shared" si="47"/>
        <v>#DIV/0!</v>
      </c>
      <c r="DJ35" s="28" t="e">
        <f t="shared" si="48"/>
        <v>#DIV/0!</v>
      </c>
      <c r="DK35" s="28" t="e">
        <f t="shared" si="49"/>
        <v>#DIV/0!</v>
      </c>
      <c r="DL35" s="28" t="e">
        <f t="shared" si="50"/>
        <v>#DIV/0!</v>
      </c>
      <c r="DM35" s="28" t="e">
        <f t="shared" si="51"/>
        <v>#DIV/0!</v>
      </c>
      <c r="DN35" s="28" t="e">
        <f t="shared" si="52"/>
        <v>#DIV/0!</v>
      </c>
      <c r="DO35" s="32">
        <v>2770</v>
      </c>
      <c r="DP35" s="32">
        <v>3525</v>
      </c>
      <c r="DQ35" s="2">
        <f t="shared" si="78"/>
        <v>6295</v>
      </c>
      <c r="DR35" s="32">
        <v>43</v>
      </c>
      <c r="DS35" s="32">
        <v>27</v>
      </c>
      <c r="DT35" s="2">
        <f t="shared" si="79"/>
        <v>70</v>
      </c>
      <c r="DU35" s="32">
        <v>2357</v>
      </c>
      <c r="DV35" s="32">
        <v>3127</v>
      </c>
      <c r="DW35" s="2">
        <f t="shared" si="80"/>
        <v>5484</v>
      </c>
      <c r="DX35" s="32">
        <v>4807</v>
      </c>
      <c r="DY35" s="32">
        <v>4653</v>
      </c>
      <c r="DZ35" s="2">
        <f t="shared" si="81"/>
        <v>9460</v>
      </c>
      <c r="EA35" s="32">
        <v>42</v>
      </c>
      <c r="EB35" s="32">
        <v>43</v>
      </c>
      <c r="EC35" s="2">
        <f t="shared" si="82"/>
        <v>85</v>
      </c>
      <c r="ED35" s="32">
        <v>4410</v>
      </c>
      <c r="EE35" s="32">
        <v>4250</v>
      </c>
      <c r="EF35" s="2">
        <f t="shared" si="83"/>
        <v>8660</v>
      </c>
      <c r="EG35" s="4">
        <f t="shared" si="59"/>
        <v>-4396</v>
      </c>
      <c r="EH35" s="57">
        <f t="shared" si="60"/>
        <v>-1198</v>
      </c>
      <c r="EI35" s="4">
        <f t="shared" si="84"/>
        <v>-358</v>
      </c>
      <c r="EJ35" s="46">
        <f t="shared" si="62"/>
        <v>0</v>
      </c>
      <c r="EK35" s="46">
        <f t="shared" si="63"/>
        <v>0</v>
      </c>
    </row>
    <row r="36" spans="1:142" ht="28.5">
      <c r="A36" s="50">
        <v>2</v>
      </c>
      <c r="B36" s="27" t="s">
        <v>50</v>
      </c>
      <c r="C36" s="27" t="s">
        <v>51</v>
      </c>
      <c r="D36" s="63">
        <v>42818</v>
      </c>
      <c r="E36" s="63">
        <v>42825</v>
      </c>
      <c r="F36" s="62" t="s">
        <v>101</v>
      </c>
      <c r="G36" s="62" t="s">
        <v>101</v>
      </c>
      <c r="H36" s="6">
        <v>0</v>
      </c>
      <c r="I36" s="6">
        <v>0</v>
      </c>
      <c r="J36" s="6">
        <v>36</v>
      </c>
      <c r="K36" s="2">
        <f t="shared" si="0"/>
        <v>36</v>
      </c>
      <c r="L36" s="6">
        <v>0</v>
      </c>
      <c r="M36" s="6">
        <v>0</v>
      </c>
      <c r="N36" s="6">
        <v>830</v>
      </c>
      <c r="O36" s="2">
        <f t="shared" si="1"/>
        <v>830</v>
      </c>
      <c r="P36" s="6">
        <v>0</v>
      </c>
      <c r="Q36" s="6">
        <v>0</v>
      </c>
      <c r="R36" s="6">
        <v>782</v>
      </c>
      <c r="S36" s="2">
        <f t="shared" si="2"/>
        <v>782</v>
      </c>
      <c r="T36" s="15">
        <f t="shared" si="3"/>
        <v>94.22</v>
      </c>
      <c r="U36" s="6">
        <v>24</v>
      </c>
      <c r="V36" s="6">
        <v>6</v>
      </c>
      <c r="W36" s="6">
        <v>5</v>
      </c>
      <c r="X36" s="6">
        <v>0</v>
      </c>
      <c r="Y36" s="6">
        <v>1</v>
      </c>
      <c r="Z36" s="6">
        <v>0</v>
      </c>
      <c r="AA36" s="6">
        <v>0</v>
      </c>
      <c r="AB36" s="29">
        <f t="shared" si="4"/>
        <v>0</v>
      </c>
      <c r="AC36" s="30">
        <v>546</v>
      </c>
      <c r="AD36" s="30">
        <v>284</v>
      </c>
      <c r="AE36" s="2">
        <f t="shared" si="5"/>
        <v>830</v>
      </c>
      <c r="AF36" s="31">
        <v>69</v>
      </c>
      <c r="AG36" s="31">
        <v>83</v>
      </c>
      <c r="AH36" s="2">
        <f t="shared" si="6"/>
        <v>152</v>
      </c>
      <c r="AI36" s="31">
        <v>7</v>
      </c>
      <c r="AJ36" s="31">
        <v>10</v>
      </c>
      <c r="AK36" s="2">
        <f t="shared" si="7"/>
        <v>17</v>
      </c>
      <c r="AL36" s="30">
        <v>518</v>
      </c>
      <c r="AM36" s="30">
        <v>264</v>
      </c>
      <c r="AN36" s="2">
        <f t="shared" si="8"/>
        <v>782</v>
      </c>
      <c r="AO36" s="31">
        <v>60</v>
      </c>
      <c r="AP36" s="31">
        <v>77</v>
      </c>
      <c r="AQ36" s="2">
        <f t="shared" si="9"/>
        <v>137</v>
      </c>
      <c r="AR36" s="31">
        <v>5</v>
      </c>
      <c r="AS36" s="31">
        <v>9</v>
      </c>
      <c r="AT36" s="2">
        <f t="shared" si="10"/>
        <v>14</v>
      </c>
      <c r="AU36" s="32">
        <v>0</v>
      </c>
      <c r="AV36" s="32">
        <v>0</v>
      </c>
      <c r="AW36" s="2">
        <f t="shared" si="11"/>
        <v>0</v>
      </c>
      <c r="AX36" s="33">
        <v>0</v>
      </c>
      <c r="AY36" s="33">
        <v>0</v>
      </c>
      <c r="AZ36" s="2">
        <f t="shared" si="12"/>
        <v>0</v>
      </c>
      <c r="BA36" s="31">
        <v>0</v>
      </c>
      <c r="BB36" s="31">
        <v>0</v>
      </c>
      <c r="BC36" s="2">
        <f t="shared" si="13"/>
        <v>0</v>
      </c>
      <c r="BD36" s="28">
        <f t="shared" si="85"/>
        <v>518</v>
      </c>
      <c r="BE36" s="28">
        <f t="shared" si="85"/>
        <v>264</v>
      </c>
      <c r="BF36" s="2">
        <f t="shared" si="15"/>
        <v>782</v>
      </c>
      <c r="BG36" s="28">
        <f t="shared" si="86"/>
        <v>60</v>
      </c>
      <c r="BH36" s="28">
        <f t="shared" si="86"/>
        <v>77</v>
      </c>
      <c r="BI36" s="2">
        <f t="shared" si="17"/>
        <v>137</v>
      </c>
      <c r="BJ36" s="28">
        <f t="shared" si="87"/>
        <v>5</v>
      </c>
      <c r="BK36" s="28">
        <f t="shared" si="87"/>
        <v>9</v>
      </c>
      <c r="BL36" s="2">
        <f t="shared" si="19"/>
        <v>14</v>
      </c>
      <c r="BM36" s="28">
        <f t="shared" si="20"/>
        <v>94.87</v>
      </c>
      <c r="BN36" s="28">
        <f t="shared" si="21"/>
        <v>92.96</v>
      </c>
      <c r="BO36" s="28">
        <f t="shared" si="22"/>
        <v>94.22</v>
      </c>
      <c r="BP36" s="28">
        <f t="shared" si="23"/>
        <v>86.96</v>
      </c>
      <c r="BQ36" s="28">
        <f t="shared" si="24"/>
        <v>92.77</v>
      </c>
      <c r="BR36" s="28">
        <f t="shared" si="25"/>
        <v>90.13</v>
      </c>
      <c r="BS36" s="28">
        <f t="shared" si="26"/>
        <v>71.430000000000007</v>
      </c>
      <c r="BT36" s="28">
        <f t="shared" si="27"/>
        <v>90</v>
      </c>
      <c r="BU36" s="28">
        <f t="shared" si="28"/>
        <v>82.35</v>
      </c>
      <c r="BV36" s="30"/>
      <c r="BW36" s="30"/>
      <c r="BX36" s="2">
        <f t="shared" si="29"/>
        <v>0</v>
      </c>
      <c r="BY36" s="31">
        <v>0</v>
      </c>
      <c r="BZ36" s="31">
        <v>0</v>
      </c>
      <c r="CA36" s="2">
        <f t="shared" si="76"/>
        <v>0</v>
      </c>
      <c r="CB36" s="31">
        <v>0</v>
      </c>
      <c r="CC36" s="31">
        <v>0</v>
      </c>
      <c r="CD36" s="2">
        <f t="shared" si="31"/>
        <v>0</v>
      </c>
      <c r="CE36" s="30">
        <v>0</v>
      </c>
      <c r="CF36" s="30">
        <v>0</v>
      </c>
      <c r="CG36" s="2">
        <f t="shared" si="77"/>
        <v>0</v>
      </c>
      <c r="CH36" s="31">
        <v>0</v>
      </c>
      <c r="CI36" s="31">
        <v>0</v>
      </c>
      <c r="CJ36" s="2">
        <f t="shared" si="33"/>
        <v>0</v>
      </c>
      <c r="CK36" s="31">
        <v>0</v>
      </c>
      <c r="CL36" s="31">
        <v>0</v>
      </c>
      <c r="CM36" s="2">
        <f t="shared" si="34"/>
        <v>0</v>
      </c>
      <c r="CN36" s="31">
        <v>0</v>
      </c>
      <c r="CO36" s="31">
        <v>0</v>
      </c>
      <c r="CP36" s="2">
        <f t="shared" si="35"/>
        <v>0</v>
      </c>
      <c r="CQ36" s="33">
        <v>0</v>
      </c>
      <c r="CR36" s="33">
        <v>0</v>
      </c>
      <c r="CS36" s="2">
        <f t="shared" si="36"/>
        <v>0</v>
      </c>
      <c r="CT36" s="33">
        <v>0</v>
      </c>
      <c r="CU36" s="33">
        <v>0</v>
      </c>
      <c r="CV36" s="2">
        <f t="shared" si="37"/>
        <v>0</v>
      </c>
      <c r="CW36" s="28">
        <f t="shared" si="88"/>
        <v>0</v>
      </c>
      <c r="CX36" s="28">
        <f t="shared" si="88"/>
        <v>0</v>
      </c>
      <c r="CY36" s="2">
        <f t="shared" si="39"/>
        <v>0</v>
      </c>
      <c r="CZ36" s="28">
        <f t="shared" si="89"/>
        <v>0</v>
      </c>
      <c r="DA36" s="28">
        <f t="shared" si="89"/>
        <v>0</v>
      </c>
      <c r="DB36" s="2">
        <f t="shared" si="41"/>
        <v>0</v>
      </c>
      <c r="DC36" s="28">
        <f t="shared" si="90"/>
        <v>0</v>
      </c>
      <c r="DD36" s="28">
        <f t="shared" si="90"/>
        <v>0</v>
      </c>
      <c r="DE36" s="2">
        <f t="shared" si="43"/>
        <v>0</v>
      </c>
      <c r="DF36" s="28" t="e">
        <f t="shared" si="44"/>
        <v>#DIV/0!</v>
      </c>
      <c r="DG36" s="28" t="e">
        <f t="shared" si="45"/>
        <v>#DIV/0!</v>
      </c>
      <c r="DH36" s="28" t="e">
        <f t="shared" si="46"/>
        <v>#DIV/0!</v>
      </c>
      <c r="DI36" s="28" t="e">
        <f t="shared" si="47"/>
        <v>#DIV/0!</v>
      </c>
      <c r="DJ36" s="28" t="e">
        <f t="shared" si="48"/>
        <v>#DIV/0!</v>
      </c>
      <c r="DK36" s="28" t="e">
        <f t="shared" si="49"/>
        <v>#DIV/0!</v>
      </c>
      <c r="DL36" s="28" t="e">
        <f t="shared" si="50"/>
        <v>#DIV/0!</v>
      </c>
      <c r="DM36" s="28" t="e">
        <f t="shared" si="51"/>
        <v>#DIV/0!</v>
      </c>
      <c r="DN36" s="28" t="e">
        <f t="shared" si="52"/>
        <v>#DIV/0!</v>
      </c>
      <c r="DO36" s="32">
        <v>249</v>
      </c>
      <c r="DP36" s="32">
        <v>165</v>
      </c>
      <c r="DQ36" s="2">
        <f t="shared" si="78"/>
        <v>414</v>
      </c>
      <c r="DR36" s="32">
        <v>16</v>
      </c>
      <c r="DS36" s="32">
        <v>39</v>
      </c>
      <c r="DT36" s="2">
        <f t="shared" si="79"/>
        <v>55</v>
      </c>
      <c r="DU36" s="32">
        <v>4</v>
      </c>
      <c r="DV36" s="32">
        <v>5</v>
      </c>
      <c r="DW36" s="2">
        <f t="shared" si="80"/>
        <v>9</v>
      </c>
      <c r="DX36" s="32">
        <v>269</v>
      </c>
      <c r="DY36" s="32">
        <v>99</v>
      </c>
      <c r="DZ36" s="2">
        <f t="shared" si="81"/>
        <v>368</v>
      </c>
      <c r="EA36" s="32">
        <v>44</v>
      </c>
      <c r="EB36" s="32">
        <v>38</v>
      </c>
      <c r="EC36" s="2">
        <f t="shared" si="82"/>
        <v>82</v>
      </c>
      <c r="ED36" s="32">
        <v>1</v>
      </c>
      <c r="EE36" s="32">
        <v>4</v>
      </c>
      <c r="EF36" s="2">
        <f t="shared" si="83"/>
        <v>5</v>
      </c>
      <c r="EG36" s="4">
        <f t="shared" si="59"/>
        <v>0</v>
      </c>
      <c r="EH36" s="91">
        <f t="shared" si="60"/>
        <v>0</v>
      </c>
      <c r="EI36" s="4">
        <f t="shared" si="84"/>
        <v>0</v>
      </c>
      <c r="EJ36" s="4">
        <f t="shared" si="62"/>
        <v>0</v>
      </c>
      <c r="EK36" s="4">
        <f t="shared" si="63"/>
        <v>0</v>
      </c>
      <c r="EL36" s="34"/>
    </row>
    <row r="37" spans="1:142" ht="28.5">
      <c r="A37" s="76">
        <v>13</v>
      </c>
      <c r="B37" s="35" t="s">
        <v>70</v>
      </c>
      <c r="C37" s="27" t="s">
        <v>71</v>
      </c>
      <c r="D37" s="63">
        <v>42808</v>
      </c>
      <c r="E37" s="63">
        <v>42823</v>
      </c>
      <c r="F37" s="63">
        <v>42910</v>
      </c>
      <c r="G37" s="63">
        <v>42922</v>
      </c>
      <c r="H37" s="6">
        <v>3415</v>
      </c>
      <c r="I37" s="6">
        <v>397</v>
      </c>
      <c r="J37" s="6">
        <v>3896</v>
      </c>
      <c r="K37" s="2">
        <f t="shared" si="0"/>
        <v>7708</v>
      </c>
      <c r="L37" s="6">
        <v>257196</v>
      </c>
      <c r="M37" s="6">
        <v>37196</v>
      </c>
      <c r="N37" s="6">
        <v>156372</v>
      </c>
      <c r="O37" s="2">
        <f t="shared" si="1"/>
        <v>450764</v>
      </c>
      <c r="P37" s="6">
        <v>131368</v>
      </c>
      <c r="Q37" s="6">
        <v>18583</v>
      </c>
      <c r="R37" s="6">
        <v>99020</v>
      </c>
      <c r="S37" s="2">
        <f t="shared" si="2"/>
        <v>248971</v>
      </c>
      <c r="T37" s="15">
        <f t="shared" si="3"/>
        <v>55.23</v>
      </c>
      <c r="U37" s="6">
        <v>468</v>
      </c>
      <c r="V37" s="6">
        <v>741</v>
      </c>
      <c r="W37" s="6">
        <v>799</v>
      </c>
      <c r="X37" s="6">
        <v>716</v>
      </c>
      <c r="Y37" s="6">
        <v>801</v>
      </c>
      <c r="Z37" s="6">
        <v>878</v>
      </c>
      <c r="AA37" s="6">
        <v>3305</v>
      </c>
      <c r="AB37" s="29">
        <f t="shared" si="4"/>
        <v>0</v>
      </c>
      <c r="AC37" s="30">
        <v>257489</v>
      </c>
      <c r="AD37" s="30">
        <v>193275</v>
      </c>
      <c r="AE37" s="2">
        <f t="shared" si="5"/>
        <v>450764</v>
      </c>
      <c r="AF37" s="31">
        <v>92620</v>
      </c>
      <c r="AG37" s="31">
        <v>78800</v>
      </c>
      <c r="AH37" s="2">
        <f t="shared" si="6"/>
        <v>171420</v>
      </c>
      <c r="AI37" s="31">
        <v>34</v>
      </c>
      <c r="AJ37" s="31">
        <v>29</v>
      </c>
      <c r="AK37" s="2">
        <f t="shared" si="7"/>
        <v>63</v>
      </c>
      <c r="AL37" s="30">
        <v>96315</v>
      </c>
      <c r="AM37" s="30">
        <v>93686</v>
      </c>
      <c r="AN37" s="2">
        <f t="shared" si="8"/>
        <v>190001</v>
      </c>
      <c r="AO37" s="31">
        <v>33029</v>
      </c>
      <c r="AP37" s="31">
        <v>36042</v>
      </c>
      <c r="AQ37" s="2">
        <f t="shared" si="9"/>
        <v>69071</v>
      </c>
      <c r="AR37" s="31">
        <v>21</v>
      </c>
      <c r="AS37" s="31">
        <v>15</v>
      </c>
      <c r="AT37" s="2">
        <f t="shared" si="10"/>
        <v>36</v>
      </c>
      <c r="AU37" s="31">
        <v>35669</v>
      </c>
      <c r="AV37" s="31">
        <v>23301</v>
      </c>
      <c r="AW37" s="2">
        <f t="shared" si="11"/>
        <v>58970</v>
      </c>
      <c r="AX37" s="31">
        <v>7854</v>
      </c>
      <c r="AY37" s="31">
        <v>6182</v>
      </c>
      <c r="AZ37" s="2">
        <f t="shared" si="12"/>
        <v>14036</v>
      </c>
      <c r="BA37" s="31">
        <v>2</v>
      </c>
      <c r="BB37" s="31">
        <v>4</v>
      </c>
      <c r="BC37" s="2">
        <f t="shared" si="13"/>
        <v>6</v>
      </c>
      <c r="BD37" s="28">
        <f t="shared" si="85"/>
        <v>131984</v>
      </c>
      <c r="BE37" s="28">
        <f t="shared" si="85"/>
        <v>116987</v>
      </c>
      <c r="BF37" s="2">
        <f t="shared" si="15"/>
        <v>248971</v>
      </c>
      <c r="BG37" s="28">
        <f t="shared" si="86"/>
        <v>40883</v>
      </c>
      <c r="BH37" s="28">
        <f t="shared" si="86"/>
        <v>42224</v>
      </c>
      <c r="BI37" s="2">
        <f t="shared" si="17"/>
        <v>83107</v>
      </c>
      <c r="BJ37" s="28">
        <f t="shared" si="87"/>
        <v>23</v>
      </c>
      <c r="BK37" s="28">
        <f t="shared" si="87"/>
        <v>19</v>
      </c>
      <c r="BL37" s="2">
        <f t="shared" si="19"/>
        <v>42</v>
      </c>
      <c r="BM37" s="28">
        <f t="shared" si="20"/>
        <v>51.26</v>
      </c>
      <c r="BN37" s="28">
        <f t="shared" si="21"/>
        <v>60.53</v>
      </c>
      <c r="BO37" s="28">
        <f t="shared" si="22"/>
        <v>55.23</v>
      </c>
      <c r="BP37" s="28">
        <f t="shared" si="23"/>
        <v>44.14</v>
      </c>
      <c r="BQ37" s="28">
        <f t="shared" si="24"/>
        <v>53.58</v>
      </c>
      <c r="BR37" s="28">
        <f t="shared" si="25"/>
        <v>48.48</v>
      </c>
      <c r="BS37" s="28">
        <f t="shared" si="26"/>
        <v>67.650000000000006</v>
      </c>
      <c r="BT37" s="28">
        <f t="shared" si="27"/>
        <v>65.52</v>
      </c>
      <c r="BU37" s="28">
        <f t="shared" si="28"/>
        <v>66.67</v>
      </c>
      <c r="BV37" s="30">
        <v>0</v>
      </c>
      <c r="BW37" s="30">
        <v>0</v>
      </c>
      <c r="BX37" s="2">
        <f t="shared" si="29"/>
        <v>0</v>
      </c>
      <c r="BY37" s="31">
        <v>0</v>
      </c>
      <c r="BZ37" s="31">
        <v>0</v>
      </c>
      <c r="CA37" s="2">
        <f t="shared" si="76"/>
        <v>0</v>
      </c>
      <c r="CB37" s="31">
        <v>0</v>
      </c>
      <c r="CC37" s="31">
        <v>0</v>
      </c>
      <c r="CD37" s="2">
        <f t="shared" si="31"/>
        <v>0</v>
      </c>
      <c r="CE37" s="30">
        <v>0</v>
      </c>
      <c r="CF37" s="30">
        <v>0</v>
      </c>
      <c r="CG37" s="2">
        <f t="shared" si="77"/>
        <v>0</v>
      </c>
      <c r="CH37" s="31">
        <v>0</v>
      </c>
      <c r="CI37" s="31">
        <v>0</v>
      </c>
      <c r="CJ37" s="2">
        <f t="shared" si="33"/>
        <v>0</v>
      </c>
      <c r="CK37" s="31">
        <v>0</v>
      </c>
      <c r="CL37" s="31">
        <v>0</v>
      </c>
      <c r="CM37" s="2">
        <f t="shared" si="34"/>
        <v>0</v>
      </c>
      <c r="CN37" s="31">
        <v>0</v>
      </c>
      <c r="CO37" s="31">
        <v>0</v>
      </c>
      <c r="CP37" s="2">
        <f t="shared" si="35"/>
        <v>0</v>
      </c>
      <c r="CQ37" s="31">
        <v>0</v>
      </c>
      <c r="CR37" s="31">
        <v>0</v>
      </c>
      <c r="CS37" s="2">
        <f t="shared" si="36"/>
        <v>0</v>
      </c>
      <c r="CT37" s="31">
        <v>0</v>
      </c>
      <c r="CU37" s="31">
        <v>0</v>
      </c>
      <c r="CV37" s="2">
        <f t="shared" si="37"/>
        <v>0</v>
      </c>
      <c r="CW37" s="28">
        <f t="shared" si="88"/>
        <v>0</v>
      </c>
      <c r="CX37" s="28">
        <f t="shared" si="88"/>
        <v>0</v>
      </c>
      <c r="CY37" s="2">
        <f t="shared" si="39"/>
        <v>0</v>
      </c>
      <c r="CZ37" s="28">
        <f t="shared" si="89"/>
        <v>0</v>
      </c>
      <c r="DA37" s="28">
        <f t="shared" si="89"/>
        <v>0</v>
      </c>
      <c r="DB37" s="2">
        <f t="shared" si="41"/>
        <v>0</v>
      </c>
      <c r="DC37" s="28">
        <f t="shared" si="90"/>
        <v>0</v>
      </c>
      <c r="DD37" s="28">
        <f t="shared" si="90"/>
        <v>0</v>
      </c>
      <c r="DE37" s="2">
        <f t="shared" si="43"/>
        <v>0</v>
      </c>
      <c r="DF37" s="28" t="e">
        <f t="shared" si="44"/>
        <v>#DIV/0!</v>
      </c>
      <c r="DG37" s="28" t="e">
        <f t="shared" si="45"/>
        <v>#DIV/0!</v>
      </c>
      <c r="DH37" s="28" t="e">
        <f t="shared" si="46"/>
        <v>#DIV/0!</v>
      </c>
      <c r="DI37" s="28" t="e">
        <f t="shared" si="47"/>
        <v>#DIV/0!</v>
      </c>
      <c r="DJ37" s="28" t="e">
        <f t="shared" si="48"/>
        <v>#DIV/0!</v>
      </c>
      <c r="DK37" s="28" t="e">
        <f t="shared" si="49"/>
        <v>#DIV/0!</v>
      </c>
      <c r="DL37" s="28" t="e">
        <f t="shared" si="50"/>
        <v>#DIV/0!</v>
      </c>
      <c r="DM37" s="28" t="e">
        <f t="shared" si="51"/>
        <v>#DIV/0!</v>
      </c>
      <c r="DN37" s="28" t="e">
        <f t="shared" si="52"/>
        <v>#DIV/0!</v>
      </c>
      <c r="DO37" s="32">
        <v>92147</v>
      </c>
      <c r="DP37" s="32">
        <v>98190</v>
      </c>
      <c r="DQ37" s="2">
        <f t="shared" si="78"/>
        <v>190337</v>
      </c>
      <c r="DR37" s="32">
        <v>26097</v>
      </c>
      <c r="DS37" s="32">
        <v>33745</v>
      </c>
      <c r="DT37" s="2">
        <f t="shared" si="79"/>
        <v>59842</v>
      </c>
      <c r="DU37" s="32">
        <v>18</v>
      </c>
      <c r="DV37" s="32">
        <v>17</v>
      </c>
      <c r="DW37" s="2">
        <f t="shared" si="80"/>
        <v>35</v>
      </c>
      <c r="DX37" s="32">
        <v>39840</v>
      </c>
      <c r="DY37" s="32">
        <v>18794</v>
      </c>
      <c r="DZ37" s="2">
        <f t="shared" si="81"/>
        <v>58634</v>
      </c>
      <c r="EA37" s="32">
        <v>14786</v>
      </c>
      <c r="EB37" s="32">
        <v>8479</v>
      </c>
      <c r="EC37" s="2">
        <f t="shared" si="82"/>
        <v>23265</v>
      </c>
      <c r="ED37" s="32">
        <v>5</v>
      </c>
      <c r="EE37" s="32">
        <v>2</v>
      </c>
      <c r="EF37" s="2">
        <f t="shared" si="83"/>
        <v>7</v>
      </c>
      <c r="EG37" s="4">
        <f t="shared" si="59"/>
        <v>0</v>
      </c>
      <c r="EH37" s="91">
        <f t="shared" si="60"/>
        <v>0</v>
      </c>
      <c r="EI37" s="4">
        <f t="shared" si="84"/>
        <v>0</v>
      </c>
      <c r="EJ37" s="4">
        <f t="shared" si="62"/>
        <v>0</v>
      </c>
      <c r="EK37" s="4">
        <f t="shared" si="63"/>
        <v>0</v>
      </c>
      <c r="EL37" s="34"/>
    </row>
    <row r="38" spans="1:142" ht="28.5">
      <c r="A38" s="51">
        <v>17</v>
      </c>
      <c r="B38" s="43" t="s">
        <v>79</v>
      </c>
      <c r="C38" s="48" t="s">
        <v>80</v>
      </c>
      <c r="D38" s="64">
        <v>42783</v>
      </c>
      <c r="E38" s="64">
        <v>42804</v>
      </c>
      <c r="F38" s="64">
        <v>42943</v>
      </c>
      <c r="G38" s="64">
        <v>42947</v>
      </c>
      <c r="H38" s="46">
        <v>4067</v>
      </c>
      <c r="I38" s="46">
        <v>0</v>
      </c>
      <c r="J38" s="46">
        <v>2531</v>
      </c>
      <c r="K38" s="2">
        <f t="shared" si="0"/>
        <v>6598</v>
      </c>
      <c r="L38" s="46">
        <v>283943</v>
      </c>
      <c r="M38" s="46">
        <v>0</v>
      </c>
      <c r="N38" s="46">
        <v>98813</v>
      </c>
      <c r="O38" s="2">
        <f t="shared" si="1"/>
        <v>382756</v>
      </c>
      <c r="P38" s="46">
        <v>150813</v>
      </c>
      <c r="Q38" s="46">
        <v>0</v>
      </c>
      <c r="R38" s="46">
        <v>67383</v>
      </c>
      <c r="S38" s="2">
        <f t="shared" si="2"/>
        <v>218196</v>
      </c>
      <c r="T38" s="15">
        <f t="shared" si="3"/>
        <v>57.01</v>
      </c>
      <c r="U38" s="46">
        <v>214</v>
      </c>
      <c r="V38" s="46">
        <v>401</v>
      </c>
      <c r="W38" s="46">
        <v>429</v>
      </c>
      <c r="X38" s="46">
        <v>510</v>
      </c>
      <c r="Y38" s="46">
        <v>669</v>
      </c>
      <c r="Z38" s="46">
        <v>846</v>
      </c>
      <c r="AA38" s="46">
        <v>3529</v>
      </c>
      <c r="AB38" s="29">
        <f t="shared" si="4"/>
        <v>0</v>
      </c>
      <c r="AC38" s="46">
        <v>188722</v>
      </c>
      <c r="AD38" s="46">
        <v>194034</v>
      </c>
      <c r="AE38" s="46">
        <f t="shared" si="5"/>
        <v>382756</v>
      </c>
      <c r="AF38" s="46">
        <v>17883</v>
      </c>
      <c r="AG38" s="46">
        <v>18381</v>
      </c>
      <c r="AH38" s="46">
        <f t="shared" si="6"/>
        <v>36264</v>
      </c>
      <c r="AI38" s="46">
        <v>37511</v>
      </c>
      <c r="AJ38" s="46">
        <v>37393</v>
      </c>
      <c r="AK38" s="2">
        <f t="shared" si="7"/>
        <v>74904</v>
      </c>
      <c r="AL38" s="46">
        <v>93479</v>
      </c>
      <c r="AM38" s="46">
        <v>90464</v>
      </c>
      <c r="AN38" s="46">
        <f t="shared" si="8"/>
        <v>183943</v>
      </c>
      <c r="AO38" s="46">
        <v>7656</v>
      </c>
      <c r="AP38" s="46">
        <v>7191</v>
      </c>
      <c r="AQ38" s="46">
        <f t="shared" si="9"/>
        <v>14847</v>
      </c>
      <c r="AR38" s="46">
        <v>15255</v>
      </c>
      <c r="AS38" s="46">
        <v>14072</v>
      </c>
      <c r="AT38" s="46">
        <f t="shared" si="10"/>
        <v>29327</v>
      </c>
      <c r="AU38" s="46">
        <v>17722</v>
      </c>
      <c r="AV38" s="46">
        <v>16531</v>
      </c>
      <c r="AW38" s="46">
        <f t="shared" si="11"/>
        <v>34253</v>
      </c>
      <c r="AX38" s="46">
        <v>1889</v>
      </c>
      <c r="AY38" s="46">
        <v>1770</v>
      </c>
      <c r="AZ38" s="2">
        <f t="shared" si="12"/>
        <v>3659</v>
      </c>
      <c r="BA38" s="46">
        <v>4510</v>
      </c>
      <c r="BB38" s="46">
        <v>3957</v>
      </c>
      <c r="BC38" s="46">
        <f t="shared" si="13"/>
        <v>8467</v>
      </c>
      <c r="BD38" s="46">
        <f t="shared" si="85"/>
        <v>111201</v>
      </c>
      <c r="BE38" s="46">
        <f t="shared" si="85"/>
        <v>106995</v>
      </c>
      <c r="BF38" s="46">
        <f t="shared" si="15"/>
        <v>218196</v>
      </c>
      <c r="BG38" s="46">
        <f t="shared" si="86"/>
        <v>9545</v>
      </c>
      <c r="BH38" s="46">
        <f t="shared" si="86"/>
        <v>8961</v>
      </c>
      <c r="BI38" s="46">
        <f t="shared" si="17"/>
        <v>18506</v>
      </c>
      <c r="BJ38" s="46">
        <f t="shared" si="87"/>
        <v>19765</v>
      </c>
      <c r="BK38" s="46">
        <f t="shared" si="87"/>
        <v>18029</v>
      </c>
      <c r="BL38" s="46">
        <f t="shared" si="19"/>
        <v>37794</v>
      </c>
      <c r="BM38" s="46">
        <f t="shared" si="20"/>
        <v>58.92</v>
      </c>
      <c r="BN38" s="46">
        <f t="shared" si="21"/>
        <v>55.14</v>
      </c>
      <c r="BO38" s="46">
        <f t="shared" si="22"/>
        <v>57.01</v>
      </c>
      <c r="BP38" s="46">
        <f t="shared" si="23"/>
        <v>53.37</v>
      </c>
      <c r="BQ38" s="46">
        <f t="shared" si="24"/>
        <v>48.75</v>
      </c>
      <c r="BR38" s="46">
        <f t="shared" si="25"/>
        <v>51.03</v>
      </c>
      <c r="BS38" s="46">
        <f t="shared" si="26"/>
        <v>52.69</v>
      </c>
      <c r="BT38" s="46">
        <f t="shared" si="27"/>
        <v>48.21</v>
      </c>
      <c r="BU38" s="46">
        <f t="shared" si="28"/>
        <v>50.46</v>
      </c>
      <c r="BV38" s="46">
        <v>0</v>
      </c>
      <c r="BW38" s="46">
        <v>0</v>
      </c>
      <c r="BX38" s="46">
        <f t="shared" si="29"/>
        <v>0</v>
      </c>
      <c r="BY38" s="46">
        <v>0</v>
      </c>
      <c r="BZ38" s="46">
        <v>0</v>
      </c>
      <c r="CA38" s="2">
        <f t="shared" si="76"/>
        <v>0</v>
      </c>
      <c r="CB38" s="46">
        <v>0</v>
      </c>
      <c r="CC38" s="46">
        <v>0</v>
      </c>
      <c r="CD38" s="2">
        <f t="shared" si="31"/>
        <v>0</v>
      </c>
      <c r="CE38" s="46">
        <v>0</v>
      </c>
      <c r="CF38" s="46">
        <v>0</v>
      </c>
      <c r="CG38" s="46">
        <f t="shared" si="77"/>
        <v>0</v>
      </c>
      <c r="CH38" s="46">
        <v>0</v>
      </c>
      <c r="CI38" s="46">
        <v>0</v>
      </c>
      <c r="CJ38" s="2">
        <f t="shared" si="33"/>
        <v>0</v>
      </c>
      <c r="CK38" s="46">
        <v>0</v>
      </c>
      <c r="CL38" s="46">
        <v>0</v>
      </c>
      <c r="CM38" s="2">
        <f t="shared" si="34"/>
        <v>0</v>
      </c>
      <c r="CN38" s="46">
        <v>0</v>
      </c>
      <c r="CO38" s="46">
        <v>0</v>
      </c>
      <c r="CP38" s="2">
        <f t="shared" si="35"/>
        <v>0</v>
      </c>
      <c r="CQ38" s="46">
        <v>0</v>
      </c>
      <c r="CR38" s="46">
        <v>0</v>
      </c>
      <c r="CS38" s="2">
        <f t="shared" si="36"/>
        <v>0</v>
      </c>
      <c r="CT38" s="46">
        <v>0</v>
      </c>
      <c r="CU38" s="46">
        <v>0</v>
      </c>
      <c r="CV38" s="2">
        <f t="shared" si="37"/>
        <v>0</v>
      </c>
      <c r="CW38" s="46">
        <f t="shared" si="88"/>
        <v>0</v>
      </c>
      <c r="CX38" s="46">
        <f t="shared" si="88"/>
        <v>0</v>
      </c>
      <c r="CY38" s="46">
        <f t="shared" si="39"/>
        <v>0</v>
      </c>
      <c r="CZ38" s="28">
        <f t="shared" si="89"/>
        <v>0</v>
      </c>
      <c r="DA38" s="28">
        <f t="shared" si="89"/>
        <v>0</v>
      </c>
      <c r="DB38" s="2">
        <f t="shared" si="41"/>
        <v>0</v>
      </c>
      <c r="DC38" s="28">
        <f t="shared" si="90"/>
        <v>0</v>
      </c>
      <c r="DD38" s="28">
        <f t="shared" si="90"/>
        <v>0</v>
      </c>
      <c r="DE38" s="2">
        <f t="shared" si="43"/>
        <v>0</v>
      </c>
      <c r="DF38" s="46" t="e">
        <f t="shared" si="44"/>
        <v>#DIV/0!</v>
      </c>
      <c r="DG38" s="46" t="e">
        <f t="shared" si="45"/>
        <v>#DIV/0!</v>
      </c>
      <c r="DH38" s="46" t="e">
        <f t="shared" si="46"/>
        <v>#DIV/0!</v>
      </c>
      <c r="DI38" s="28" t="e">
        <f t="shared" si="47"/>
        <v>#DIV/0!</v>
      </c>
      <c r="DJ38" s="28" t="e">
        <f t="shared" si="48"/>
        <v>#DIV/0!</v>
      </c>
      <c r="DK38" s="28" t="e">
        <f t="shared" si="49"/>
        <v>#DIV/0!</v>
      </c>
      <c r="DL38" s="28" t="e">
        <f t="shared" si="50"/>
        <v>#DIV/0!</v>
      </c>
      <c r="DM38" s="28" t="e">
        <f t="shared" si="51"/>
        <v>#DIV/0!</v>
      </c>
      <c r="DN38" s="28" t="e">
        <f t="shared" si="52"/>
        <v>#DIV/0!</v>
      </c>
      <c r="DO38" s="46">
        <v>25995</v>
      </c>
      <c r="DP38" s="46">
        <v>30514</v>
      </c>
      <c r="DQ38" s="46">
        <f t="shared" si="78"/>
        <v>56509</v>
      </c>
      <c r="DR38" s="46">
        <v>1922</v>
      </c>
      <c r="DS38" s="46">
        <v>1726</v>
      </c>
      <c r="DT38" s="46">
        <f t="shared" si="79"/>
        <v>3648</v>
      </c>
      <c r="DU38" s="46">
        <v>3797</v>
      </c>
      <c r="DV38" s="46">
        <v>3250</v>
      </c>
      <c r="DW38" s="46">
        <f t="shared" si="80"/>
        <v>7047</v>
      </c>
      <c r="DX38" s="46">
        <v>74381</v>
      </c>
      <c r="DY38" s="46">
        <v>87306</v>
      </c>
      <c r="DZ38" s="2">
        <f t="shared" si="81"/>
        <v>161687</v>
      </c>
      <c r="EA38" s="46">
        <v>7623</v>
      </c>
      <c r="EB38" s="46">
        <v>7235</v>
      </c>
      <c r="EC38" s="2">
        <f t="shared" si="82"/>
        <v>14858</v>
      </c>
      <c r="ED38" s="46">
        <v>15968</v>
      </c>
      <c r="EE38" s="46">
        <v>14779</v>
      </c>
      <c r="EF38" s="2">
        <f t="shared" si="83"/>
        <v>30747</v>
      </c>
      <c r="EG38" s="4">
        <f t="shared" si="59"/>
        <v>0</v>
      </c>
      <c r="EH38" s="91">
        <f t="shared" si="60"/>
        <v>0</v>
      </c>
      <c r="EI38" s="4">
        <f t="shared" si="84"/>
        <v>0</v>
      </c>
      <c r="EJ38" s="4">
        <f t="shared" si="62"/>
        <v>0</v>
      </c>
      <c r="EK38" s="4">
        <f t="shared" si="63"/>
        <v>0</v>
      </c>
    </row>
    <row r="39" spans="1:142" ht="30">
      <c r="A39" s="51">
        <v>40</v>
      </c>
      <c r="B39" s="48" t="s">
        <v>125</v>
      </c>
      <c r="C39" s="48" t="s">
        <v>119</v>
      </c>
      <c r="D39" s="65" t="s">
        <v>75</v>
      </c>
      <c r="E39" s="65" t="s">
        <v>75</v>
      </c>
      <c r="F39" s="65" t="s">
        <v>75</v>
      </c>
      <c r="G39" s="65" t="s">
        <v>75</v>
      </c>
      <c r="H39" s="46">
        <v>0</v>
      </c>
      <c r="I39" s="46">
        <v>0</v>
      </c>
      <c r="J39" s="46">
        <v>0</v>
      </c>
      <c r="K39" s="46">
        <f t="shared" si="0"/>
        <v>0</v>
      </c>
      <c r="L39" s="46">
        <v>0</v>
      </c>
      <c r="M39" s="46">
        <v>0</v>
      </c>
      <c r="N39" s="46">
        <v>0</v>
      </c>
      <c r="O39" s="46">
        <f t="shared" si="1"/>
        <v>0</v>
      </c>
      <c r="P39" s="46">
        <v>0</v>
      </c>
      <c r="Q39" s="46">
        <v>0</v>
      </c>
      <c r="R39" s="46">
        <v>283725</v>
      </c>
      <c r="S39" s="46">
        <f t="shared" si="2"/>
        <v>283725</v>
      </c>
      <c r="T39" s="46" t="e">
        <f t="shared" si="3"/>
        <v>#DIV/0!</v>
      </c>
      <c r="U39" s="46">
        <v>5059</v>
      </c>
      <c r="V39" s="46">
        <v>4841</v>
      </c>
      <c r="W39" s="46">
        <v>1506</v>
      </c>
      <c r="X39" s="46">
        <v>489</v>
      </c>
      <c r="Y39" s="46">
        <v>182</v>
      </c>
      <c r="Z39" s="46">
        <v>69</v>
      </c>
      <c r="AA39" s="46">
        <v>42</v>
      </c>
      <c r="AB39" s="47">
        <f t="shared" si="4"/>
        <v>-12188</v>
      </c>
      <c r="AC39" s="46">
        <v>490870</v>
      </c>
      <c r="AD39" s="46">
        <v>491227</v>
      </c>
      <c r="AE39" s="46">
        <f t="shared" si="5"/>
        <v>982097</v>
      </c>
      <c r="AF39" s="46">
        <v>117953</v>
      </c>
      <c r="AG39" s="46">
        <v>123166</v>
      </c>
      <c r="AH39" s="46">
        <f t="shared" si="6"/>
        <v>241119</v>
      </c>
      <c r="AI39" s="46">
        <v>4798</v>
      </c>
      <c r="AJ39" s="46">
        <v>4849</v>
      </c>
      <c r="AK39" s="46">
        <f t="shared" si="7"/>
        <v>9647</v>
      </c>
      <c r="AL39" s="46">
        <v>454212</v>
      </c>
      <c r="AM39" s="46">
        <v>472499</v>
      </c>
      <c r="AN39" s="46">
        <f t="shared" si="8"/>
        <v>926711</v>
      </c>
      <c r="AO39" s="46">
        <v>103904</v>
      </c>
      <c r="AP39" s="46">
        <v>11458</v>
      </c>
      <c r="AQ39" s="46">
        <f t="shared" si="9"/>
        <v>115362</v>
      </c>
      <c r="AR39" s="46">
        <v>4200</v>
      </c>
      <c r="AS39" s="46">
        <v>4357</v>
      </c>
      <c r="AT39" s="46">
        <f t="shared" si="10"/>
        <v>8557</v>
      </c>
      <c r="AU39" s="46"/>
      <c r="AV39" s="46"/>
      <c r="AW39" s="46">
        <f t="shared" si="11"/>
        <v>0</v>
      </c>
      <c r="AX39" s="46"/>
      <c r="AY39" s="46"/>
      <c r="AZ39" s="46">
        <f t="shared" si="12"/>
        <v>0</v>
      </c>
      <c r="BA39" s="46"/>
      <c r="BB39" s="46"/>
      <c r="BC39" s="46">
        <f t="shared" si="13"/>
        <v>0</v>
      </c>
      <c r="BD39" s="46"/>
      <c r="BE39" s="46"/>
      <c r="BF39" s="46">
        <f t="shared" si="15"/>
        <v>0</v>
      </c>
      <c r="BG39" s="46"/>
      <c r="BH39" s="46"/>
      <c r="BI39" s="46">
        <f t="shared" si="17"/>
        <v>0</v>
      </c>
      <c r="BJ39" s="46"/>
      <c r="BK39" s="46"/>
      <c r="BL39" s="46">
        <f t="shared" si="19"/>
        <v>0</v>
      </c>
      <c r="BM39" s="46">
        <f t="shared" si="20"/>
        <v>0</v>
      </c>
      <c r="BN39" s="46">
        <f t="shared" si="21"/>
        <v>0</v>
      </c>
      <c r="BO39" s="46">
        <f t="shared" si="22"/>
        <v>0</v>
      </c>
      <c r="BP39" s="46">
        <f t="shared" si="23"/>
        <v>0</v>
      </c>
      <c r="BQ39" s="46">
        <f t="shared" si="24"/>
        <v>0</v>
      </c>
      <c r="BR39" s="46">
        <f t="shared" si="25"/>
        <v>0</v>
      </c>
      <c r="BS39" s="46">
        <f t="shared" si="26"/>
        <v>0</v>
      </c>
      <c r="BT39" s="46">
        <f t="shared" si="27"/>
        <v>0</v>
      </c>
      <c r="BU39" s="46">
        <f t="shared" si="28"/>
        <v>0</v>
      </c>
      <c r="BV39" s="46">
        <v>31867</v>
      </c>
      <c r="BW39" s="46">
        <v>11940</v>
      </c>
      <c r="BX39" s="46">
        <f t="shared" si="29"/>
        <v>43807</v>
      </c>
      <c r="BY39" s="46">
        <v>10394</v>
      </c>
      <c r="BZ39" s="46">
        <v>3967</v>
      </c>
      <c r="CA39" s="46">
        <f t="shared" si="76"/>
        <v>14361</v>
      </c>
      <c r="CB39" s="46">
        <v>327</v>
      </c>
      <c r="CC39" s="46">
        <v>150</v>
      </c>
      <c r="CD39" s="46">
        <f t="shared" si="31"/>
        <v>477</v>
      </c>
      <c r="CE39" s="46">
        <v>7495</v>
      </c>
      <c r="CF39" s="46">
        <v>4347</v>
      </c>
      <c r="CG39" s="46">
        <f t="shared" si="77"/>
        <v>11842</v>
      </c>
      <c r="CH39" s="46">
        <v>2183</v>
      </c>
      <c r="CI39" s="46">
        <v>1211</v>
      </c>
      <c r="CJ39" s="46">
        <f t="shared" si="33"/>
        <v>3394</v>
      </c>
      <c r="CK39" s="46">
        <v>69</v>
      </c>
      <c r="CL39" s="46">
        <v>46</v>
      </c>
      <c r="CM39" s="46">
        <f t="shared" si="34"/>
        <v>115</v>
      </c>
      <c r="CN39" s="46">
        <v>0</v>
      </c>
      <c r="CO39" s="46">
        <v>0</v>
      </c>
      <c r="CP39" s="46">
        <f t="shared" si="35"/>
        <v>0</v>
      </c>
      <c r="CQ39" s="46">
        <v>0</v>
      </c>
      <c r="CR39" s="46">
        <v>0</v>
      </c>
      <c r="CS39" s="46">
        <f t="shared" si="36"/>
        <v>0</v>
      </c>
      <c r="CT39" s="46">
        <v>0</v>
      </c>
      <c r="CU39" s="46">
        <v>0</v>
      </c>
      <c r="CV39" s="46">
        <f t="shared" si="37"/>
        <v>0</v>
      </c>
      <c r="CW39" s="46">
        <v>0</v>
      </c>
      <c r="CX39" s="46">
        <v>0</v>
      </c>
      <c r="CY39" s="46">
        <f t="shared" si="39"/>
        <v>0</v>
      </c>
      <c r="CZ39" s="46">
        <v>0</v>
      </c>
      <c r="DA39" s="46">
        <v>0</v>
      </c>
      <c r="DB39" s="46">
        <f t="shared" si="41"/>
        <v>0</v>
      </c>
      <c r="DC39" s="46">
        <v>0</v>
      </c>
      <c r="DD39" s="46">
        <v>0</v>
      </c>
      <c r="DE39" s="46">
        <f t="shared" si="43"/>
        <v>0</v>
      </c>
      <c r="DF39" s="46">
        <f t="shared" si="44"/>
        <v>0</v>
      </c>
      <c r="DG39" s="46">
        <f t="shared" si="45"/>
        <v>0</v>
      </c>
      <c r="DH39" s="46">
        <f t="shared" si="46"/>
        <v>0</v>
      </c>
      <c r="DI39" s="46">
        <f t="shared" si="47"/>
        <v>0</v>
      </c>
      <c r="DJ39" s="46">
        <f t="shared" si="48"/>
        <v>0</v>
      </c>
      <c r="DK39" s="46">
        <f t="shared" si="49"/>
        <v>0</v>
      </c>
      <c r="DL39" s="46">
        <f t="shared" si="50"/>
        <v>0</v>
      </c>
      <c r="DM39" s="46">
        <f t="shared" si="51"/>
        <v>0</v>
      </c>
      <c r="DN39" s="46">
        <f t="shared" si="52"/>
        <v>0</v>
      </c>
      <c r="DO39" s="46">
        <v>348603</v>
      </c>
      <c r="DP39" s="46">
        <v>406794</v>
      </c>
      <c r="DQ39" s="46">
        <f t="shared" si="78"/>
        <v>755397</v>
      </c>
      <c r="DR39" s="46">
        <v>69963</v>
      </c>
      <c r="DS39" s="46">
        <v>89856</v>
      </c>
      <c r="DT39" s="46">
        <f t="shared" si="79"/>
        <v>159819</v>
      </c>
      <c r="DU39" s="46">
        <v>2751</v>
      </c>
      <c r="DV39" s="46">
        <v>3029</v>
      </c>
      <c r="DW39" s="46">
        <f t="shared" si="80"/>
        <v>5780</v>
      </c>
      <c r="DX39" s="46">
        <v>105609</v>
      </c>
      <c r="DY39" s="46">
        <v>65705</v>
      </c>
      <c r="DZ39" s="46">
        <f t="shared" si="81"/>
        <v>171314</v>
      </c>
      <c r="EA39" s="46">
        <v>33941</v>
      </c>
      <c r="EB39" s="46">
        <v>25002</v>
      </c>
      <c r="EC39" s="46">
        <f t="shared" si="82"/>
        <v>58943</v>
      </c>
      <c r="ED39" s="46">
        <v>1449</v>
      </c>
      <c r="EE39" s="46">
        <v>1328</v>
      </c>
      <c r="EF39" s="46">
        <f t="shared" si="83"/>
        <v>2777</v>
      </c>
      <c r="EG39" s="46">
        <f t="shared" si="59"/>
        <v>-1025904</v>
      </c>
      <c r="EH39" s="46">
        <f t="shared" si="60"/>
        <v>283725</v>
      </c>
      <c r="EI39" s="46">
        <f t="shared" si="84"/>
        <v>926711</v>
      </c>
      <c r="EJ39" s="46">
        <f t="shared" si="62"/>
        <v>218762</v>
      </c>
      <c r="EK39" s="46">
        <f t="shared" si="63"/>
        <v>8557</v>
      </c>
    </row>
    <row r="40" spans="1:142" ht="30">
      <c r="A40" s="51">
        <v>26</v>
      </c>
      <c r="B40" s="45" t="s">
        <v>102</v>
      </c>
      <c r="C40" s="48" t="s">
        <v>103</v>
      </c>
      <c r="D40" s="64">
        <v>42797</v>
      </c>
      <c r="E40" s="64">
        <v>42817</v>
      </c>
      <c r="F40" s="65" t="s">
        <v>75</v>
      </c>
      <c r="G40" s="65" t="s">
        <v>75</v>
      </c>
      <c r="H40" s="46">
        <v>956</v>
      </c>
      <c r="I40" s="46">
        <v>0</v>
      </c>
      <c r="J40" s="46">
        <v>0</v>
      </c>
      <c r="K40" s="46">
        <f t="shared" si="0"/>
        <v>956</v>
      </c>
      <c r="L40" s="46">
        <v>49374</v>
      </c>
      <c r="M40" s="46">
        <v>0</v>
      </c>
      <c r="N40" s="46">
        <v>0</v>
      </c>
      <c r="O40" s="46">
        <f t="shared" si="1"/>
        <v>49374</v>
      </c>
      <c r="P40" s="46">
        <v>29289</v>
      </c>
      <c r="Q40" s="46">
        <v>0</v>
      </c>
      <c r="R40" s="46">
        <v>0</v>
      </c>
      <c r="S40" s="46">
        <f t="shared" si="2"/>
        <v>29289</v>
      </c>
      <c r="T40" s="46">
        <f t="shared" si="3"/>
        <v>59.32</v>
      </c>
      <c r="U40" s="46">
        <v>1598</v>
      </c>
      <c r="V40" s="46">
        <v>51</v>
      </c>
      <c r="W40" s="46">
        <v>67</v>
      </c>
      <c r="X40" s="46">
        <v>119</v>
      </c>
      <c r="Y40" s="46">
        <v>126</v>
      </c>
      <c r="Z40" s="46">
        <v>139</v>
      </c>
      <c r="AA40" s="46">
        <v>335</v>
      </c>
      <c r="AB40" s="47">
        <f t="shared" si="4"/>
        <v>-1479</v>
      </c>
      <c r="AC40" s="46">
        <v>23837</v>
      </c>
      <c r="AD40" s="46">
        <v>24516</v>
      </c>
      <c r="AE40" s="46">
        <f t="shared" si="5"/>
        <v>48353</v>
      </c>
      <c r="AF40" s="46">
        <v>4644</v>
      </c>
      <c r="AG40" s="46">
        <v>4581</v>
      </c>
      <c r="AH40" s="46">
        <f t="shared" si="6"/>
        <v>9225</v>
      </c>
      <c r="AI40" s="46">
        <v>7905</v>
      </c>
      <c r="AJ40" s="46">
        <v>7934</v>
      </c>
      <c r="AK40" s="46">
        <f t="shared" si="7"/>
        <v>15839</v>
      </c>
      <c r="AL40" s="46">
        <v>14724</v>
      </c>
      <c r="AM40" s="46">
        <v>14279</v>
      </c>
      <c r="AN40" s="46">
        <f t="shared" si="8"/>
        <v>29003</v>
      </c>
      <c r="AO40" s="46">
        <v>3091</v>
      </c>
      <c r="AP40" s="46">
        <v>2989</v>
      </c>
      <c r="AQ40" s="46">
        <f t="shared" si="9"/>
        <v>6080</v>
      </c>
      <c r="AR40" s="46">
        <v>3614</v>
      </c>
      <c r="AS40" s="46">
        <v>3023</v>
      </c>
      <c r="AT40" s="46">
        <f t="shared" si="10"/>
        <v>6637</v>
      </c>
      <c r="AU40" s="46">
        <v>0</v>
      </c>
      <c r="AV40" s="46">
        <v>0</v>
      </c>
      <c r="AW40" s="46">
        <f t="shared" si="11"/>
        <v>0</v>
      </c>
      <c r="AX40" s="46">
        <v>0</v>
      </c>
      <c r="AY40" s="46">
        <v>0</v>
      </c>
      <c r="AZ40" s="46">
        <f t="shared" si="12"/>
        <v>0</v>
      </c>
      <c r="BA40" s="46">
        <v>0</v>
      </c>
      <c r="BB40" s="46">
        <v>0</v>
      </c>
      <c r="BC40" s="46">
        <f t="shared" si="13"/>
        <v>0</v>
      </c>
      <c r="BD40" s="46">
        <f>AL40+AU40</f>
        <v>14724</v>
      </c>
      <c r="BE40" s="46">
        <f>AM40+AV40</f>
        <v>14279</v>
      </c>
      <c r="BF40" s="46">
        <f t="shared" si="15"/>
        <v>29003</v>
      </c>
      <c r="BG40" s="46">
        <f>AO40+AX40</f>
        <v>3091</v>
      </c>
      <c r="BH40" s="46">
        <f>AP40+AY40</f>
        <v>2989</v>
      </c>
      <c r="BI40" s="46">
        <f t="shared" si="17"/>
        <v>6080</v>
      </c>
      <c r="BJ40" s="46">
        <f>AR40+BA40</f>
        <v>3614</v>
      </c>
      <c r="BK40" s="46">
        <f>AS40+BB40</f>
        <v>3023</v>
      </c>
      <c r="BL40" s="46">
        <f t="shared" si="19"/>
        <v>6637</v>
      </c>
      <c r="BM40" s="46">
        <f t="shared" si="20"/>
        <v>61.77</v>
      </c>
      <c r="BN40" s="46">
        <f t="shared" si="21"/>
        <v>58.24</v>
      </c>
      <c r="BO40" s="46">
        <f t="shared" si="22"/>
        <v>59.98</v>
      </c>
      <c r="BP40" s="46">
        <f t="shared" si="23"/>
        <v>66.56</v>
      </c>
      <c r="BQ40" s="46">
        <f t="shared" si="24"/>
        <v>65.25</v>
      </c>
      <c r="BR40" s="46">
        <f t="shared" si="25"/>
        <v>65.91</v>
      </c>
      <c r="BS40" s="46">
        <f t="shared" si="26"/>
        <v>45.72</v>
      </c>
      <c r="BT40" s="46">
        <f t="shared" si="27"/>
        <v>38.1</v>
      </c>
      <c r="BU40" s="46">
        <f t="shared" si="28"/>
        <v>41.9</v>
      </c>
      <c r="BV40" s="46">
        <v>488</v>
      </c>
      <c r="BW40" s="46">
        <v>533</v>
      </c>
      <c r="BX40" s="46">
        <f t="shared" si="29"/>
        <v>1021</v>
      </c>
      <c r="BY40" s="46">
        <v>95</v>
      </c>
      <c r="BZ40" s="46">
        <v>84</v>
      </c>
      <c r="CA40" s="46">
        <f t="shared" si="76"/>
        <v>179</v>
      </c>
      <c r="CB40" s="46">
        <v>139</v>
      </c>
      <c r="CC40" s="46">
        <v>170</v>
      </c>
      <c r="CD40" s="46">
        <f t="shared" si="31"/>
        <v>309</v>
      </c>
      <c r="CE40" s="46">
        <v>98</v>
      </c>
      <c r="CF40" s="46">
        <v>188</v>
      </c>
      <c r="CG40" s="46">
        <f t="shared" si="77"/>
        <v>286</v>
      </c>
      <c r="CH40" s="46">
        <v>16</v>
      </c>
      <c r="CI40" s="46">
        <v>36</v>
      </c>
      <c r="CJ40" s="46">
        <f t="shared" si="33"/>
        <v>52</v>
      </c>
      <c r="CK40" s="46">
        <v>29</v>
      </c>
      <c r="CL40" s="46">
        <v>40</v>
      </c>
      <c r="CM40" s="46">
        <f t="shared" si="34"/>
        <v>69</v>
      </c>
      <c r="CN40" s="46">
        <v>0</v>
      </c>
      <c r="CO40" s="46">
        <v>0</v>
      </c>
      <c r="CP40" s="46">
        <f t="shared" si="35"/>
        <v>0</v>
      </c>
      <c r="CQ40" s="46">
        <v>0</v>
      </c>
      <c r="CR40" s="46">
        <v>0</v>
      </c>
      <c r="CS40" s="46">
        <f t="shared" si="36"/>
        <v>0</v>
      </c>
      <c r="CT40" s="46">
        <v>0</v>
      </c>
      <c r="CU40" s="46">
        <v>0</v>
      </c>
      <c r="CV40" s="2">
        <f t="shared" si="37"/>
        <v>0</v>
      </c>
      <c r="CW40" s="46">
        <f>CE40+CN40</f>
        <v>98</v>
      </c>
      <c r="CX40" s="46">
        <f>CF40+CO40</f>
        <v>188</v>
      </c>
      <c r="CY40" s="46">
        <f t="shared" si="39"/>
        <v>286</v>
      </c>
      <c r="CZ40" s="28">
        <f>CH40+CQ40</f>
        <v>16</v>
      </c>
      <c r="DA40" s="28">
        <f>CI40+CR40</f>
        <v>36</v>
      </c>
      <c r="DB40" s="2">
        <f t="shared" si="41"/>
        <v>52</v>
      </c>
      <c r="DC40" s="28">
        <f>CK40+CT40</f>
        <v>29</v>
      </c>
      <c r="DD40" s="28">
        <f>CL40+CU40</f>
        <v>40</v>
      </c>
      <c r="DE40" s="2">
        <f t="shared" si="43"/>
        <v>69</v>
      </c>
      <c r="DF40" s="46">
        <f t="shared" si="44"/>
        <v>20.079999999999998</v>
      </c>
      <c r="DG40" s="46">
        <f t="shared" si="45"/>
        <v>35.270000000000003</v>
      </c>
      <c r="DH40" s="46">
        <f t="shared" si="46"/>
        <v>28.01</v>
      </c>
      <c r="DI40" s="46">
        <f t="shared" si="47"/>
        <v>16.84</v>
      </c>
      <c r="DJ40" s="46">
        <f t="shared" si="48"/>
        <v>42.86</v>
      </c>
      <c r="DK40" s="46">
        <f t="shared" si="49"/>
        <v>29.05</v>
      </c>
      <c r="DL40" s="28">
        <f t="shared" si="50"/>
        <v>20.86</v>
      </c>
      <c r="DM40" s="28">
        <f t="shared" si="51"/>
        <v>23.53</v>
      </c>
      <c r="DN40" s="28">
        <f t="shared" si="52"/>
        <v>22.33</v>
      </c>
      <c r="DO40" s="46">
        <v>2325</v>
      </c>
      <c r="DP40" s="46">
        <v>2155</v>
      </c>
      <c r="DQ40" s="46">
        <f t="shared" si="78"/>
        <v>4480</v>
      </c>
      <c r="DR40" s="46">
        <v>510</v>
      </c>
      <c r="DS40" s="46">
        <v>456</v>
      </c>
      <c r="DT40" s="46">
        <f t="shared" si="79"/>
        <v>966</v>
      </c>
      <c r="DU40" s="46">
        <v>128</v>
      </c>
      <c r="DV40" s="46">
        <v>104</v>
      </c>
      <c r="DW40" s="46">
        <f t="shared" si="80"/>
        <v>232</v>
      </c>
      <c r="DX40" s="46">
        <v>12497</v>
      </c>
      <c r="DY40" s="46">
        <v>12312</v>
      </c>
      <c r="DZ40" s="46">
        <f t="shared" si="81"/>
        <v>24809</v>
      </c>
      <c r="EA40" s="46">
        <v>2597</v>
      </c>
      <c r="EB40" s="46">
        <v>2569</v>
      </c>
      <c r="EC40" s="46">
        <f t="shared" si="82"/>
        <v>5166</v>
      </c>
      <c r="ED40" s="46">
        <v>3515</v>
      </c>
      <c r="EE40" s="46">
        <v>2959</v>
      </c>
      <c r="EF40" s="46">
        <f t="shared" si="83"/>
        <v>6474</v>
      </c>
      <c r="EG40" s="46">
        <f t="shared" si="59"/>
        <v>0</v>
      </c>
      <c r="EH40" s="46">
        <f t="shared" si="60"/>
        <v>0</v>
      </c>
      <c r="EI40" s="46">
        <f t="shared" si="84"/>
        <v>0</v>
      </c>
      <c r="EJ40" s="46">
        <f t="shared" si="62"/>
        <v>0</v>
      </c>
      <c r="EK40" s="46">
        <f t="shared" si="63"/>
        <v>0</v>
      </c>
    </row>
    <row r="41" spans="1:142" ht="28.5">
      <c r="A41" s="50">
        <v>14</v>
      </c>
      <c r="B41" s="35" t="s">
        <v>73</v>
      </c>
      <c r="C41" s="27" t="s">
        <v>74</v>
      </c>
      <c r="D41" s="63">
        <v>42814</v>
      </c>
      <c r="E41" s="63">
        <v>42824</v>
      </c>
      <c r="F41" s="63">
        <v>42944</v>
      </c>
      <c r="G41" s="63">
        <v>42952</v>
      </c>
      <c r="H41" s="6"/>
      <c r="I41" s="6" t="s">
        <v>75</v>
      </c>
      <c r="J41" s="6"/>
      <c r="K41" s="2">
        <f t="shared" si="0"/>
        <v>0</v>
      </c>
      <c r="L41" s="6">
        <v>0</v>
      </c>
      <c r="M41" s="6">
        <v>162</v>
      </c>
      <c r="N41" s="6">
        <v>80</v>
      </c>
      <c r="O41" s="2">
        <f t="shared" si="1"/>
        <v>242</v>
      </c>
      <c r="P41" s="6">
        <v>0</v>
      </c>
      <c r="Q41" s="6">
        <v>159</v>
      </c>
      <c r="R41" s="6">
        <v>77</v>
      </c>
      <c r="S41" s="2">
        <f t="shared" si="2"/>
        <v>236</v>
      </c>
      <c r="T41" s="15">
        <f t="shared" si="3"/>
        <v>97.52</v>
      </c>
      <c r="U41" s="6"/>
      <c r="V41" s="6">
        <v>4</v>
      </c>
      <c r="W41" s="6"/>
      <c r="X41" s="6"/>
      <c r="Y41" s="6"/>
      <c r="Z41" s="6"/>
      <c r="AA41" s="6"/>
      <c r="AB41" s="29">
        <f t="shared" si="4"/>
        <v>-4</v>
      </c>
      <c r="AC41" s="30">
        <v>125</v>
      </c>
      <c r="AD41" s="30">
        <v>117</v>
      </c>
      <c r="AE41" s="2">
        <f t="shared" si="5"/>
        <v>242</v>
      </c>
      <c r="AF41" s="31">
        <v>20</v>
      </c>
      <c r="AG41" s="31">
        <v>20</v>
      </c>
      <c r="AH41" s="2">
        <f t="shared" si="6"/>
        <v>40</v>
      </c>
      <c r="AI41" s="31">
        <v>13</v>
      </c>
      <c r="AJ41" s="31">
        <v>20</v>
      </c>
      <c r="AK41" s="2">
        <f t="shared" si="7"/>
        <v>33</v>
      </c>
      <c r="AL41" s="30">
        <v>120</v>
      </c>
      <c r="AM41" s="30">
        <v>110</v>
      </c>
      <c r="AN41" s="2">
        <f t="shared" si="8"/>
        <v>230</v>
      </c>
      <c r="AO41" s="31">
        <v>19</v>
      </c>
      <c r="AP41" s="31">
        <v>17</v>
      </c>
      <c r="AQ41" s="2">
        <f t="shared" si="9"/>
        <v>36</v>
      </c>
      <c r="AR41" s="31">
        <v>12</v>
      </c>
      <c r="AS41" s="31">
        <v>19</v>
      </c>
      <c r="AT41" s="2">
        <f t="shared" si="10"/>
        <v>31</v>
      </c>
      <c r="AU41" s="31">
        <v>2</v>
      </c>
      <c r="AV41" s="31">
        <v>4</v>
      </c>
      <c r="AW41" s="2">
        <f t="shared" si="11"/>
        <v>6</v>
      </c>
      <c r="AX41" s="30">
        <v>1</v>
      </c>
      <c r="AY41" s="30">
        <v>1</v>
      </c>
      <c r="AZ41" s="2">
        <f t="shared" si="12"/>
        <v>2</v>
      </c>
      <c r="BA41" s="33">
        <v>0</v>
      </c>
      <c r="BB41" s="33">
        <v>0</v>
      </c>
      <c r="BC41" s="2">
        <f t="shared" si="13"/>
        <v>0</v>
      </c>
      <c r="BD41" s="28">
        <f>AL41+AU41</f>
        <v>122</v>
      </c>
      <c r="BE41" s="28">
        <f>AM41+AV41</f>
        <v>114</v>
      </c>
      <c r="BF41" s="2">
        <f t="shared" si="15"/>
        <v>236</v>
      </c>
      <c r="BG41" s="28">
        <f>AO41+AX41</f>
        <v>20</v>
      </c>
      <c r="BH41" s="28">
        <f>AP41+AY41</f>
        <v>18</v>
      </c>
      <c r="BI41" s="2">
        <f t="shared" si="17"/>
        <v>38</v>
      </c>
      <c r="BJ41" s="28">
        <f>AR41+BA41</f>
        <v>12</v>
      </c>
      <c r="BK41" s="28">
        <f>AS41+BB41</f>
        <v>19</v>
      </c>
      <c r="BL41" s="2">
        <f t="shared" si="19"/>
        <v>31</v>
      </c>
      <c r="BM41" s="28">
        <f t="shared" si="20"/>
        <v>97.6</v>
      </c>
      <c r="BN41" s="28">
        <f t="shared" si="21"/>
        <v>97.44</v>
      </c>
      <c r="BO41" s="28">
        <f t="shared" si="22"/>
        <v>97.52</v>
      </c>
      <c r="BP41" s="28">
        <f t="shared" si="23"/>
        <v>100</v>
      </c>
      <c r="BQ41" s="28">
        <f t="shared" si="24"/>
        <v>90</v>
      </c>
      <c r="BR41" s="28">
        <f t="shared" si="25"/>
        <v>95</v>
      </c>
      <c r="BS41" s="28">
        <f t="shared" si="26"/>
        <v>92.31</v>
      </c>
      <c r="BT41" s="28">
        <f t="shared" si="27"/>
        <v>95</v>
      </c>
      <c r="BU41" s="28">
        <f t="shared" si="28"/>
        <v>93.94</v>
      </c>
      <c r="BV41" s="30">
        <v>0</v>
      </c>
      <c r="BW41" s="30">
        <v>0</v>
      </c>
      <c r="BX41" s="2">
        <f t="shared" si="29"/>
        <v>0</v>
      </c>
      <c r="BY41" s="31">
        <v>0</v>
      </c>
      <c r="BZ41" s="31">
        <v>0</v>
      </c>
      <c r="CA41" s="2">
        <f t="shared" si="76"/>
        <v>0</v>
      </c>
      <c r="CB41" s="31">
        <v>0</v>
      </c>
      <c r="CC41" s="31">
        <v>0</v>
      </c>
      <c r="CD41" s="2">
        <f t="shared" si="31"/>
        <v>0</v>
      </c>
      <c r="CE41" s="30">
        <v>0</v>
      </c>
      <c r="CF41" s="30">
        <v>0</v>
      </c>
      <c r="CG41" s="2">
        <f t="shared" si="77"/>
        <v>0</v>
      </c>
      <c r="CH41" s="31">
        <v>0</v>
      </c>
      <c r="CI41" s="31">
        <v>0</v>
      </c>
      <c r="CJ41" s="2">
        <f t="shared" si="33"/>
        <v>0</v>
      </c>
      <c r="CK41" s="31">
        <v>0</v>
      </c>
      <c r="CL41" s="31">
        <v>0</v>
      </c>
      <c r="CM41" s="2">
        <f t="shared" si="34"/>
        <v>0</v>
      </c>
      <c r="CN41" s="31">
        <v>0</v>
      </c>
      <c r="CO41" s="31">
        <v>0</v>
      </c>
      <c r="CP41" s="2">
        <f t="shared" si="35"/>
        <v>0</v>
      </c>
      <c r="CQ41" s="31">
        <v>0</v>
      </c>
      <c r="CR41" s="31">
        <v>0</v>
      </c>
      <c r="CS41" s="2">
        <f t="shared" si="36"/>
        <v>0</v>
      </c>
      <c r="CT41" s="31">
        <v>0</v>
      </c>
      <c r="CU41" s="31">
        <v>0</v>
      </c>
      <c r="CV41" s="2">
        <f t="shared" si="37"/>
        <v>0</v>
      </c>
      <c r="CW41" s="28">
        <f>CE41+CN41</f>
        <v>0</v>
      </c>
      <c r="CX41" s="28">
        <f>CF41+CO41</f>
        <v>0</v>
      </c>
      <c r="CY41" s="2">
        <f t="shared" si="39"/>
        <v>0</v>
      </c>
      <c r="CZ41" s="28">
        <f>CH41+CQ41</f>
        <v>0</v>
      </c>
      <c r="DA41" s="28">
        <f>CI41+CR41</f>
        <v>0</v>
      </c>
      <c r="DB41" s="2">
        <f t="shared" si="41"/>
        <v>0</v>
      </c>
      <c r="DC41" s="28">
        <f>CK41+CT41</f>
        <v>0</v>
      </c>
      <c r="DD41" s="28">
        <f>CL41+CU41</f>
        <v>0</v>
      </c>
      <c r="DE41" s="2">
        <f t="shared" si="43"/>
        <v>0</v>
      </c>
      <c r="DF41" s="28" t="e">
        <f t="shared" si="44"/>
        <v>#DIV/0!</v>
      </c>
      <c r="DG41" s="28" t="e">
        <f t="shared" si="45"/>
        <v>#DIV/0!</v>
      </c>
      <c r="DH41" s="28" t="e">
        <f t="shared" si="46"/>
        <v>#DIV/0!</v>
      </c>
      <c r="DI41" s="28" t="e">
        <f t="shared" si="47"/>
        <v>#DIV/0!</v>
      </c>
      <c r="DJ41" s="28" t="e">
        <f t="shared" si="48"/>
        <v>#DIV/0!</v>
      </c>
      <c r="DK41" s="28" t="e">
        <f t="shared" si="49"/>
        <v>#DIV/0!</v>
      </c>
      <c r="DL41" s="28" t="e">
        <f t="shared" si="50"/>
        <v>#DIV/0!</v>
      </c>
      <c r="DM41" s="28" t="e">
        <f t="shared" si="51"/>
        <v>#DIV/0!</v>
      </c>
      <c r="DN41" s="28" t="e">
        <f t="shared" si="52"/>
        <v>#DIV/0!</v>
      </c>
      <c r="DO41" s="32">
        <v>93</v>
      </c>
      <c r="DP41" s="32">
        <v>94</v>
      </c>
      <c r="DQ41" s="2">
        <f t="shared" si="78"/>
        <v>187</v>
      </c>
      <c r="DR41" s="32">
        <v>15</v>
      </c>
      <c r="DS41" s="32">
        <v>12</v>
      </c>
      <c r="DT41" s="2">
        <f t="shared" si="79"/>
        <v>27</v>
      </c>
      <c r="DU41" s="32">
        <v>9</v>
      </c>
      <c r="DV41" s="32">
        <v>13</v>
      </c>
      <c r="DW41" s="2">
        <f t="shared" si="80"/>
        <v>22</v>
      </c>
      <c r="DX41" s="32">
        <v>29</v>
      </c>
      <c r="DY41" s="32">
        <v>20</v>
      </c>
      <c r="DZ41" s="2">
        <f t="shared" si="81"/>
        <v>49</v>
      </c>
      <c r="EA41" s="32">
        <v>5</v>
      </c>
      <c r="EB41" s="32">
        <v>6</v>
      </c>
      <c r="EC41" s="2">
        <f t="shared" si="82"/>
        <v>11</v>
      </c>
      <c r="ED41" s="32">
        <v>3</v>
      </c>
      <c r="EE41" s="32">
        <v>6</v>
      </c>
      <c r="EF41" s="2">
        <f t="shared" si="83"/>
        <v>9</v>
      </c>
      <c r="EG41" s="4">
        <f t="shared" si="59"/>
        <v>0</v>
      </c>
      <c r="EH41" s="4">
        <f t="shared" si="60"/>
        <v>0</v>
      </c>
      <c r="EI41" s="4">
        <f t="shared" si="84"/>
        <v>0</v>
      </c>
      <c r="EJ41" s="4">
        <f t="shared" si="62"/>
        <v>0</v>
      </c>
      <c r="EK41" s="4">
        <f t="shared" si="63"/>
        <v>0</v>
      </c>
      <c r="EL41" s="34"/>
    </row>
    <row r="42" spans="1:142">
      <c r="A42" s="51">
        <v>43</v>
      </c>
      <c r="B42" s="1" t="s">
        <v>129</v>
      </c>
      <c r="C42" s="27" t="s">
        <v>72</v>
      </c>
      <c r="D42" s="70">
        <v>42843</v>
      </c>
      <c r="E42" s="70">
        <v>42852</v>
      </c>
      <c r="F42" s="46" t="s">
        <v>101</v>
      </c>
      <c r="G42" s="46" t="s">
        <v>101</v>
      </c>
      <c r="H42" s="46">
        <v>2</v>
      </c>
      <c r="I42" s="46">
        <v>971</v>
      </c>
      <c r="J42" s="46">
        <v>118</v>
      </c>
      <c r="K42" s="46">
        <f t="shared" si="0"/>
        <v>1091</v>
      </c>
      <c r="L42" s="46">
        <v>25</v>
      </c>
      <c r="M42" s="46">
        <v>12957</v>
      </c>
      <c r="N42" s="46">
        <v>5900</v>
      </c>
      <c r="O42" s="46">
        <f t="shared" si="1"/>
        <v>18882</v>
      </c>
      <c r="P42" s="46">
        <v>20</v>
      </c>
      <c r="Q42" s="46">
        <v>12245</v>
      </c>
      <c r="R42" s="46">
        <v>5892</v>
      </c>
      <c r="S42" s="46">
        <f t="shared" si="2"/>
        <v>18157</v>
      </c>
      <c r="T42" s="46">
        <f t="shared" si="3"/>
        <v>96.16</v>
      </c>
      <c r="U42" s="46">
        <v>0</v>
      </c>
      <c r="V42" s="46">
        <v>598</v>
      </c>
      <c r="W42" s="46">
        <v>349</v>
      </c>
      <c r="X42" s="46">
        <v>46</v>
      </c>
      <c r="Y42" s="46">
        <v>97</v>
      </c>
      <c r="Z42" s="46">
        <v>1</v>
      </c>
      <c r="AA42" s="46">
        <v>0</v>
      </c>
      <c r="AB42" s="47">
        <f t="shared" si="4"/>
        <v>0</v>
      </c>
      <c r="AC42" s="46">
        <v>11829</v>
      </c>
      <c r="AD42" s="46">
        <v>4870</v>
      </c>
      <c r="AE42" s="46">
        <f t="shared" si="5"/>
        <v>16699</v>
      </c>
      <c r="AF42" s="46">
        <v>1499</v>
      </c>
      <c r="AG42" s="46">
        <v>787</v>
      </c>
      <c r="AH42" s="46">
        <f t="shared" si="6"/>
        <v>2286</v>
      </c>
      <c r="AI42" s="46">
        <v>5</v>
      </c>
      <c r="AJ42" s="46">
        <v>0</v>
      </c>
      <c r="AK42" s="46">
        <f t="shared" si="7"/>
        <v>5</v>
      </c>
      <c r="AL42" s="46">
        <v>11328</v>
      </c>
      <c r="AM42" s="46">
        <v>4673</v>
      </c>
      <c r="AN42" s="46">
        <f t="shared" si="8"/>
        <v>16001</v>
      </c>
      <c r="AO42" s="46">
        <v>1280</v>
      </c>
      <c r="AP42" s="46">
        <v>702</v>
      </c>
      <c r="AQ42" s="46">
        <f t="shared" si="9"/>
        <v>1982</v>
      </c>
      <c r="AR42" s="46">
        <v>4</v>
      </c>
      <c r="AS42" s="46">
        <v>0</v>
      </c>
      <c r="AT42" s="46">
        <f t="shared" si="10"/>
        <v>4</v>
      </c>
      <c r="AU42" s="46">
        <v>0</v>
      </c>
      <c r="AV42" s="46">
        <v>0</v>
      </c>
      <c r="AW42" s="46">
        <f t="shared" si="11"/>
        <v>0</v>
      </c>
      <c r="AX42" s="46">
        <v>0</v>
      </c>
      <c r="AY42" s="46">
        <v>0</v>
      </c>
      <c r="AZ42" s="46">
        <f t="shared" si="12"/>
        <v>0</v>
      </c>
      <c r="BA42" s="46">
        <v>0</v>
      </c>
      <c r="BB42" s="46">
        <v>0</v>
      </c>
      <c r="BC42" s="46">
        <f t="shared" si="13"/>
        <v>0</v>
      </c>
      <c r="BD42" s="46">
        <v>11328</v>
      </c>
      <c r="BE42" s="46">
        <v>4673</v>
      </c>
      <c r="BF42" s="46">
        <f t="shared" si="15"/>
        <v>16001</v>
      </c>
      <c r="BG42" s="46">
        <v>1280</v>
      </c>
      <c r="BH42" s="46">
        <v>702</v>
      </c>
      <c r="BI42" s="46">
        <f t="shared" si="17"/>
        <v>1982</v>
      </c>
      <c r="BJ42" s="46">
        <v>4</v>
      </c>
      <c r="BK42" s="46">
        <v>0</v>
      </c>
      <c r="BL42" s="46">
        <f t="shared" si="19"/>
        <v>4</v>
      </c>
      <c r="BM42" s="46">
        <f t="shared" si="20"/>
        <v>95.76</v>
      </c>
      <c r="BN42" s="46">
        <f t="shared" si="21"/>
        <v>95.95</v>
      </c>
      <c r="BO42" s="46">
        <f t="shared" si="22"/>
        <v>95.82</v>
      </c>
      <c r="BP42" s="46">
        <f t="shared" si="23"/>
        <v>85.39</v>
      </c>
      <c r="BQ42" s="46">
        <f t="shared" si="24"/>
        <v>89.2</v>
      </c>
      <c r="BR42" s="46">
        <f t="shared" si="25"/>
        <v>86.7</v>
      </c>
      <c r="BS42" s="46">
        <f t="shared" si="26"/>
        <v>80</v>
      </c>
      <c r="BT42" s="46" t="e">
        <f t="shared" si="27"/>
        <v>#DIV/0!</v>
      </c>
      <c r="BU42" s="46">
        <f t="shared" si="28"/>
        <v>80</v>
      </c>
      <c r="BV42" s="46">
        <v>1128</v>
      </c>
      <c r="BW42" s="46">
        <v>516</v>
      </c>
      <c r="BX42" s="46">
        <f t="shared" si="29"/>
        <v>1644</v>
      </c>
      <c r="BY42" s="46">
        <v>63</v>
      </c>
      <c r="BZ42" s="46">
        <v>60</v>
      </c>
      <c r="CA42" s="46">
        <f t="shared" si="76"/>
        <v>123</v>
      </c>
      <c r="CB42" s="46">
        <v>0</v>
      </c>
      <c r="CC42" s="46">
        <v>0</v>
      </c>
      <c r="CD42" s="46">
        <f t="shared" si="31"/>
        <v>0</v>
      </c>
      <c r="CE42" s="46">
        <v>917</v>
      </c>
      <c r="CF42" s="46">
        <v>423</v>
      </c>
      <c r="CG42" s="46">
        <f t="shared" si="77"/>
        <v>1340</v>
      </c>
      <c r="CH42" s="46">
        <v>44</v>
      </c>
      <c r="CI42" s="46">
        <v>53</v>
      </c>
      <c r="CJ42" s="46">
        <f t="shared" si="33"/>
        <v>97</v>
      </c>
      <c r="CK42" s="46">
        <v>0</v>
      </c>
      <c r="CL42" s="46">
        <v>0</v>
      </c>
      <c r="CM42" s="46">
        <f t="shared" si="34"/>
        <v>0</v>
      </c>
      <c r="CN42" s="46">
        <v>0</v>
      </c>
      <c r="CO42" s="46">
        <v>0</v>
      </c>
      <c r="CP42" s="46">
        <f t="shared" si="35"/>
        <v>0</v>
      </c>
      <c r="CQ42" s="46">
        <v>0</v>
      </c>
      <c r="CR42" s="46">
        <v>0</v>
      </c>
      <c r="CS42" s="46">
        <f t="shared" si="36"/>
        <v>0</v>
      </c>
      <c r="CT42" s="46">
        <v>0</v>
      </c>
      <c r="CU42" s="46">
        <v>0</v>
      </c>
      <c r="CV42" s="46">
        <f t="shared" si="37"/>
        <v>0</v>
      </c>
      <c r="CW42" s="46">
        <v>917</v>
      </c>
      <c r="CX42" s="46">
        <v>423</v>
      </c>
      <c r="CY42" s="46">
        <f t="shared" si="39"/>
        <v>1340</v>
      </c>
      <c r="CZ42" s="46">
        <v>44</v>
      </c>
      <c r="DA42" s="46">
        <v>53</v>
      </c>
      <c r="DB42" s="46">
        <f t="shared" si="41"/>
        <v>97</v>
      </c>
      <c r="DC42" s="46">
        <v>0</v>
      </c>
      <c r="DD42" s="46">
        <v>0</v>
      </c>
      <c r="DE42" s="46">
        <f t="shared" si="43"/>
        <v>0</v>
      </c>
      <c r="DF42" s="46">
        <f t="shared" si="44"/>
        <v>81.290000000000006</v>
      </c>
      <c r="DG42" s="46">
        <f t="shared" si="45"/>
        <v>81.98</v>
      </c>
      <c r="DH42" s="46">
        <f t="shared" si="46"/>
        <v>81.510000000000005</v>
      </c>
      <c r="DI42" s="46">
        <f t="shared" si="47"/>
        <v>69.84</v>
      </c>
      <c r="DJ42" s="46">
        <f t="shared" si="48"/>
        <v>88.33</v>
      </c>
      <c r="DK42" s="46">
        <f t="shared" si="49"/>
        <v>78.86</v>
      </c>
      <c r="DL42" s="46" t="e">
        <f t="shared" si="50"/>
        <v>#DIV/0!</v>
      </c>
      <c r="DM42" s="46" t="e">
        <f t="shared" si="51"/>
        <v>#DIV/0!</v>
      </c>
      <c r="DN42" s="46" t="e">
        <f t="shared" si="52"/>
        <v>#DIV/0!</v>
      </c>
      <c r="DO42" s="46">
        <v>6530</v>
      </c>
      <c r="DP42" s="46">
        <v>3080</v>
      </c>
      <c r="DQ42" s="46">
        <f t="shared" si="78"/>
        <v>9610</v>
      </c>
      <c r="DR42" s="46">
        <v>550</v>
      </c>
      <c r="DS42" s="46">
        <v>680</v>
      </c>
      <c r="DT42" s="46">
        <f t="shared" si="79"/>
        <v>1230</v>
      </c>
      <c r="DU42" s="46">
        <v>3</v>
      </c>
      <c r="DV42" s="46">
        <v>0</v>
      </c>
      <c r="DW42" s="46">
        <f t="shared" si="80"/>
        <v>3</v>
      </c>
      <c r="DX42" s="46">
        <v>5715</v>
      </c>
      <c r="DY42" s="46">
        <v>2016</v>
      </c>
      <c r="DZ42" s="46">
        <f t="shared" si="81"/>
        <v>7731</v>
      </c>
      <c r="EA42" s="46">
        <v>774</v>
      </c>
      <c r="EB42" s="46">
        <v>75</v>
      </c>
      <c r="EC42" s="46">
        <f t="shared" si="82"/>
        <v>849</v>
      </c>
      <c r="ED42" s="46">
        <v>1</v>
      </c>
      <c r="EE42" s="46">
        <v>0</v>
      </c>
      <c r="EF42" s="46">
        <f t="shared" si="83"/>
        <v>1</v>
      </c>
      <c r="EG42" s="46">
        <f t="shared" si="59"/>
        <v>539</v>
      </c>
      <c r="EH42" s="46">
        <f t="shared" si="60"/>
        <v>816</v>
      </c>
      <c r="EI42" s="46">
        <f t="shared" si="84"/>
        <v>0</v>
      </c>
      <c r="EJ42" s="46">
        <f t="shared" si="62"/>
        <v>0</v>
      </c>
      <c r="EK42" s="46">
        <f t="shared" si="63"/>
        <v>0</v>
      </c>
      <c r="EL42" s="71"/>
    </row>
    <row r="43" spans="1:142">
      <c r="A43" s="76">
        <v>1</v>
      </c>
      <c r="B43" s="1" t="s">
        <v>85</v>
      </c>
      <c r="C43" s="27" t="s">
        <v>72</v>
      </c>
      <c r="D43" s="63">
        <v>42826</v>
      </c>
      <c r="E43" s="63">
        <v>42810</v>
      </c>
      <c r="F43" s="63">
        <v>42947</v>
      </c>
      <c r="G43" s="63">
        <v>42947</v>
      </c>
      <c r="H43" s="6">
        <v>1910</v>
      </c>
      <c r="I43" s="6">
        <v>4531</v>
      </c>
      <c r="J43" s="6">
        <v>17901</v>
      </c>
      <c r="K43" s="2">
        <f t="shared" si="0"/>
        <v>24342</v>
      </c>
      <c r="L43" s="6">
        <v>116274</v>
      </c>
      <c r="M43" s="6">
        <v>805412</v>
      </c>
      <c r="N43" s="6">
        <v>1936785</v>
      </c>
      <c r="O43" s="2">
        <f t="shared" si="1"/>
        <v>2858471</v>
      </c>
      <c r="P43" s="6">
        <v>85435</v>
      </c>
      <c r="Q43" s="6">
        <v>616662</v>
      </c>
      <c r="R43" s="6">
        <v>1625513</v>
      </c>
      <c r="S43" s="2">
        <f t="shared" si="2"/>
        <v>2327610</v>
      </c>
      <c r="T43" s="15">
        <f t="shared" si="3"/>
        <v>81.430000000000007</v>
      </c>
      <c r="U43" s="6">
        <v>1911</v>
      </c>
      <c r="V43" s="6">
        <v>7053</v>
      </c>
      <c r="W43" s="6">
        <v>5598</v>
      </c>
      <c r="X43" s="6">
        <v>4013</v>
      </c>
      <c r="Y43" s="6">
        <v>2685</v>
      </c>
      <c r="Z43" s="6">
        <v>1551</v>
      </c>
      <c r="AA43" s="6">
        <v>1531</v>
      </c>
      <c r="AB43" s="18">
        <f t="shared" si="4"/>
        <v>0</v>
      </c>
      <c r="AC43" s="21">
        <v>1520426</v>
      </c>
      <c r="AD43" s="21">
        <v>1338045</v>
      </c>
      <c r="AE43" s="2">
        <f t="shared" si="5"/>
        <v>2858471</v>
      </c>
      <c r="AF43" s="21">
        <v>345966</v>
      </c>
      <c r="AG43" s="21">
        <v>301752</v>
      </c>
      <c r="AH43" s="2">
        <f t="shared" si="6"/>
        <v>647718</v>
      </c>
      <c r="AI43" s="21">
        <v>11391</v>
      </c>
      <c r="AJ43" s="21">
        <v>9445</v>
      </c>
      <c r="AK43" s="2">
        <f t="shared" si="7"/>
        <v>20836</v>
      </c>
      <c r="AL43" s="21">
        <v>1167948</v>
      </c>
      <c r="AM43" s="21">
        <v>1159662</v>
      </c>
      <c r="AN43" s="2">
        <f t="shared" si="8"/>
        <v>2327610</v>
      </c>
      <c r="AO43" s="21">
        <v>242066</v>
      </c>
      <c r="AP43" s="21">
        <v>238925</v>
      </c>
      <c r="AQ43" s="2">
        <f t="shared" si="9"/>
        <v>480991</v>
      </c>
      <c r="AR43" s="21">
        <v>8118</v>
      </c>
      <c r="AS43" s="21">
        <v>7552</v>
      </c>
      <c r="AT43" s="2">
        <f t="shared" si="10"/>
        <v>15670</v>
      </c>
      <c r="AU43" s="21">
        <v>181</v>
      </c>
      <c r="AV43" s="21">
        <v>64</v>
      </c>
      <c r="AW43" s="2">
        <f t="shared" si="11"/>
        <v>245</v>
      </c>
      <c r="AX43" s="21">
        <v>27</v>
      </c>
      <c r="AY43" s="21">
        <v>16</v>
      </c>
      <c r="AZ43" s="2">
        <f t="shared" si="12"/>
        <v>43</v>
      </c>
      <c r="BA43" s="21">
        <v>1</v>
      </c>
      <c r="BB43" s="21">
        <v>1</v>
      </c>
      <c r="BC43" s="2">
        <f t="shared" si="13"/>
        <v>2</v>
      </c>
      <c r="BD43" s="21">
        <v>1168129</v>
      </c>
      <c r="BE43" s="21">
        <v>1159726</v>
      </c>
      <c r="BF43" s="2">
        <f t="shared" si="15"/>
        <v>2327855</v>
      </c>
      <c r="BG43" s="21">
        <v>242093</v>
      </c>
      <c r="BH43" s="21">
        <v>238941</v>
      </c>
      <c r="BI43" s="2">
        <f t="shared" si="17"/>
        <v>481034</v>
      </c>
      <c r="BJ43" s="21">
        <v>8119</v>
      </c>
      <c r="BK43" s="21">
        <v>7553</v>
      </c>
      <c r="BL43" s="2">
        <f t="shared" si="19"/>
        <v>15672</v>
      </c>
      <c r="BM43" s="15">
        <f t="shared" si="20"/>
        <v>76.83</v>
      </c>
      <c r="BN43" s="15">
        <f t="shared" si="21"/>
        <v>86.67</v>
      </c>
      <c r="BO43" s="15">
        <f t="shared" si="22"/>
        <v>81.44</v>
      </c>
      <c r="BP43" s="15">
        <f t="shared" si="23"/>
        <v>69.98</v>
      </c>
      <c r="BQ43" s="15">
        <f t="shared" si="24"/>
        <v>79.180000000000007</v>
      </c>
      <c r="BR43" s="15">
        <f t="shared" si="25"/>
        <v>74.27</v>
      </c>
      <c r="BS43" s="15">
        <f t="shared" si="26"/>
        <v>71.28</v>
      </c>
      <c r="BT43" s="15">
        <f t="shared" si="27"/>
        <v>79.97</v>
      </c>
      <c r="BU43" s="15">
        <f t="shared" si="28"/>
        <v>75.22</v>
      </c>
      <c r="BV43" s="23">
        <v>113777</v>
      </c>
      <c r="BW43" s="23">
        <v>26244</v>
      </c>
      <c r="BX43" s="2">
        <f t="shared" si="29"/>
        <v>140021</v>
      </c>
      <c r="BY43" s="23">
        <v>20183</v>
      </c>
      <c r="BZ43" s="23">
        <v>4238</v>
      </c>
      <c r="CA43" s="2">
        <f t="shared" si="76"/>
        <v>24421</v>
      </c>
      <c r="CB43" s="23">
        <v>1207</v>
      </c>
      <c r="CC43" s="23">
        <v>259</v>
      </c>
      <c r="CD43" s="2">
        <f t="shared" si="31"/>
        <v>1466</v>
      </c>
      <c r="CE43" s="23">
        <v>86223</v>
      </c>
      <c r="CF43" s="23">
        <v>20409</v>
      </c>
      <c r="CG43" s="2">
        <f t="shared" si="77"/>
        <v>106632</v>
      </c>
      <c r="CH43" s="23">
        <v>12768</v>
      </c>
      <c r="CI43" s="23">
        <v>2781</v>
      </c>
      <c r="CJ43" s="2">
        <f t="shared" si="33"/>
        <v>15549</v>
      </c>
      <c r="CK43" s="23">
        <v>808</v>
      </c>
      <c r="CL43" s="23">
        <v>177</v>
      </c>
      <c r="CM43" s="2">
        <f t="shared" si="34"/>
        <v>985</v>
      </c>
      <c r="CN43" s="23">
        <v>25</v>
      </c>
      <c r="CO43" s="23">
        <v>3</v>
      </c>
      <c r="CP43" s="2">
        <f t="shared" si="35"/>
        <v>28</v>
      </c>
      <c r="CQ43" s="23">
        <v>5</v>
      </c>
      <c r="CR43" s="23">
        <v>1</v>
      </c>
      <c r="CS43" s="2">
        <f t="shared" si="36"/>
        <v>6</v>
      </c>
      <c r="CT43" s="23">
        <v>6</v>
      </c>
      <c r="CU43" s="23">
        <v>1</v>
      </c>
      <c r="CV43" s="2">
        <f t="shared" si="37"/>
        <v>7</v>
      </c>
      <c r="CW43" s="23">
        <v>86248</v>
      </c>
      <c r="CX43" s="23">
        <v>20412</v>
      </c>
      <c r="CY43" s="2">
        <f t="shared" si="39"/>
        <v>106660</v>
      </c>
      <c r="CZ43" s="23">
        <v>12773</v>
      </c>
      <c r="DA43" s="23">
        <v>2782</v>
      </c>
      <c r="DB43" s="2">
        <f t="shared" si="41"/>
        <v>15555</v>
      </c>
      <c r="DC43" s="23">
        <v>809</v>
      </c>
      <c r="DD43" s="23">
        <v>177</v>
      </c>
      <c r="DE43" s="2">
        <f t="shared" si="43"/>
        <v>986</v>
      </c>
      <c r="DF43" s="15">
        <f t="shared" si="44"/>
        <v>75.8</v>
      </c>
      <c r="DG43" s="15">
        <f t="shared" si="45"/>
        <v>77.78</v>
      </c>
      <c r="DH43" s="15">
        <f t="shared" si="46"/>
        <v>76.17</v>
      </c>
      <c r="DI43" s="15">
        <f t="shared" si="47"/>
        <v>63.29</v>
      </c>
      <c r="DJ43" s="15">
        <f t="shared" si="48"/>
        <v>65.64</v>
      </c>
      <c r="DK43" s="15">
        <f t="shared" si="49"/>
        <v>63.7</v>
      </c>
      <c r="DL43" s="15">
        <f t="shared" si="50"/>
        <v>67.03</v>
      </c>
      <c r="DM43" s="15">
        <f t="shared" si="51"/>
        <v>68.34</v>
      </c>
      <c r="DN43" s="15">
        <f t="shared" si="52"/>
        <v>67.260000000000005</v>
      </c>
      <c r="DO43" s="5">
        <v>823632</v>
      </c>
      <c r="DP43" s="5">
        <v>887607</v>
      </c>
      <c r="DQ43" s="2">
        <f t="shared" si="78"/>
        <v>1711239</v>
      </c>
      <c r="DR43" s="5">
        <v>154120</v>
      </c>
      <c r="DS43" s="5">
        <v>164020</v>
      </c>
      <c r="DT43" s="2">
        <f t="shared" si="79"/>
        <v>318140</v>
      </c>
      <c r="DU43" s="5">
        <v>6079</v>
      </c>
      <c r="DV43" s="5">
        <v>5450</v>
      </c>
      <c r="DW43" s="2">
        <f t="shared" si="80"/>
        <v>11529</v>
      </c>
      <c r="DX43" s="5">
        <v>430745</v>
      </c>
      <c r="DY43" s="5">
        <v>292531</v>
      </c>
      <c r="DZ43" s="2">
        <f t="shared" si="81"/>
        <v>723276</v>
      </c>
      <c r="EA43" s="5">
        <v>100746</v>
      </c>
      <c r="EB43" s="5">
        <v>77703</v>
      </c>
      <c r="EC43" s="2">
        <f t="shared" si="82"/>
        <v>178449</v>
      </c>
      <c r="ED43" s="5">
        <v>2849</v>
      </c>
      <c r="EE43" s="5">
        <v>2280</v>
      </c>
      <c r="EF43" s="2">
        <f t="shared" si="83"/>
        <v>5129</v>
      </c>
      <c r="EG43" s="4">
        <f t="shared" si="59"/>
        <v>-140021</v>
      </c>
      <c r="EH43" s="4">
        <f t="shared" si="60"/>
        <v>-106905</v>
      </c>
      <c r="EI43" s="4">
        <f t="shared" si="84"/>
        <v>0</v>
      </c>
      <c r="EJ43" s="4">
        <f t="shared" si="62"/>
        <v>0</v>
      </c>
      <c r="EK43" s="4">
        <f t="shared" si="63"/>
        <v>0</v>
      </c>
      <c r="EL43"/>
    </row>
    <row r="44" spans="1:142" ht="28.5">
      <c r="A44" s="50">
        <v>16</v>
      </c>
      <c r="B44" s="35" t="s">
        <v>78</v>
      </c>
      <c r="C44" s="27" t="s">
        <v>74</v>
      </c>
      <c r="D44" s="63">
        <v>42812</v>
      </c>
      <c r="E44" s="63">
        <v>42835</v>
      </c>
      <c r="F44" s="62" t="s">
        <v>101</v>
      </c>
      <c r="G44" s="62" t="s">
        <v>101</v>
      </c>
      <c r="H44" s="6">
        <v>0</v>
      </c>
      <c r="I44" s="6">
        <v>0</v>
      </c>
      <c r="J44" s="6">
        <v>0</v>
      </c>
      <c r="K44" s="2">
        <f t="shared" si="0"/>
        <v>0</v>
      </c>
      <c r="L44" s="6">
        <v>0</v>
      </c>
      <c r="M44" s="6">
        <v>0</v>
      </c>
      <c r="N44" s="6">
        <v>0</v>
      </c>
      <c r="O44" s="2">
        <f t="shared" si="1"/>
        <v>0</v>
      </c>
      <c r="P44" s="6">
        <v>0</v>
      </c>
      <c r="Q44" s="6">
        <v>0</v>
      </c>
      <c r="R44" s="6">
        <v>0</v>
      </c>
      <c r="S44" s="2">
        <f t="shared" si="2"/>
        <v>0</v>
      </c>
      <c r="T44" s="15" t="e">
        <f t="shared" si="3"/>
        <v>#DIV/0!</v>
      </c>
      <c r="U44" s="6">
        <v>262</v>
      </c>
      <c r="V44" s="6">
        <v>390</v>
      </c>
      <c r="W44" s="6">
        <v>710</v>
      </c>
      <c r="X44" s="6">
        <v>649</v>
      </c>
      <c r="Y44" s="6">
        <v>388</v>
      </c>
      <c r="Z44" s="6">
        <v>235</v>
      </c>
      <c r="AA44" s="6">
        <v>636</v>
      </c>
      <c r="AB44" s="29">
        <f t="shared" si="4"/>
        <v>-3270</v>
      </c>
      <c r="AC44" s="30">
        <v>71473</v>
      </c>
      <c r="AD44" s="30">
        <v>73962</v>
      </c>
      <c r="AE44" s="2">
        <f t="shared" si="5"/>
        <v>145435</v>
      </c>
      <c r="AF44" s="31">
        <v>20476</v>
      </c>
      <c r="AG44" s="31">
        <v>21219</v>
      </c>
      <c r="AH44" s="2">
        <f t="shared" si="6"/>
        <v>41695</v>
      </c>
      <c r="AI44" s="31">
        <v>2455</v>
      </c>
      <c r="AJ44" s="31">
        <v>2676</v>
      </c>
      <c r="AK44" s="2">
        <f t="shared" si="7"/>
        <v>5131</v>
      </c>
      <c r="AL44" s="30">
        <v>50328</v>
      </c>
      <c r="AM44" s="30">
        <v>58810</v>
      </c>
      <c r="AN44" s="2">
        <f t="shared" si="8"/>
        <v>109138</v>
      </c>
      <c r="AO44" s="31">
        <v>12974</v>
      </c>
      <c r="AP44" s="31">
        <v>15369</v>
      </c>
      <c r="AQ44" s="2">
        <f t="shared" si="9"/>
        <v>28343</v>
      </c>
      <c r="AR44" s="31">
        <v>1711</v>
      </c>
      <c r="AS44" s="31">
        <v>2124</v>
      </c>
      <c r="AT44" s="2">
        <f t="shared" si="10"/>
        <v>3835</v>
      </c>
      <c r="AU44" s="31">
        <v>0</v>
      </c>
      <c r="AV44" s="31">
        <v>0</v>
      </c>
      <c r="AW44" s="2">
        <f t="shared" si="11"/>
        <v>0</v>
      </c>
      <c r="AX44" s="33">
        <v>0</v>
      </c>
      <c r="AY44" s="33">
        <v>0</v>
      </c>
      <c r="AZ44" s="2">
        <f t="shared" si="12"/>
        <v>0</v>
      </c>
      <c r="BA44" s="33">
        <v>0</v>
      </c>
      <c r="BB44" s="33">
        <v>0</v>
      </c>
      <c r="BC44" s="2">
        <f t="shared" si="13"/>
        <v>0</v>
      </c>
      <c r="BD44" s="28">
        <f t="shared" ref="BD44:BE47" si="91">AL44+AU44</f>
        <v>50328</v>
      </c>
      <c r="BE44" s="28">
        <f t="shared" si="91"/>
        <v>58810</v>
      </c>
      <c r="BF44" s="2">
        <f t="shared" si="15"/>
        <v>109138</v>
      </c>
      <c r="BG44" s="28">
        <f t="shared" ref="BG44:BH47" si="92">AO44+AX44</f>
        <v>12974</v>
      </c>
      <c r="BH44" s="28">
        <f t="shared" si="92"/>
        <v>15369</v>
      </c>
      <c r="BI44" s="2">
        <f t="shared" si="17"/>
        <v>28343</v>
      </c>
      <c r="BJ44" s="28">
        <f t="shared" ref="BJ44:BK47" si="93">AR44+BA44</f>
        <v>1711</v>
      </c>
      <c r="BK44" s="28">
        <f t="shared" si="93"/>
        <v>2124</v>
      </c>
      <c r="BL44" s="2">
        <f t="shared" si="19"/>
        <v>3835</v>
      </c>
      <c r="BM44" s="28">
        <f t="shared" si="20"/>
        <v>70.42</v>
      </c>
      <c r="BN44" s="28">
        <f t="shared" si="21"/>
        <v>79.510000000000005</v>
      </c>
      <c r="BO44" s="28">
        <f t="shared" si="22"/>
        <v>75.040000000000006</v>
      </c>
      <c r="BP44" s="28">
        <f t="shared" si="23"/>
        <v>63.36</v>
      </c>
      <c r="BQ44" s="28">
        <f t="shared" si="24"/>
        <v>72.430000000000007</v>
      </c>
      <c r="BR44" s="28">
        <f t="shared" si="25"/>
        <v>67.98</v>
      </c>
      <c r="BS44" s="28">
        <f t="shared" si="26"/>
        <v>69.69</v>
      </c>
      <c r="BT44" s="28">
        <f t="shared" si="27"/>
        <v>79.37</v>
      </c>
      <c r="BU44" s="28">
        <f t="shared" si="28"/>
        <v>74.739999999999995</v>
      </c>
      <c r="BV44" s="30">
        <v>3141</v>
      </c>
      <c r="BW44" s="30">
        <v>1997</v>
      </c>
      <c r="BX44" s="2">
        <f t="shared" si="29"/>
        <v>5138</v>
      </c>
      <c r="BY44" s="31">
        <v>1207</v>
      </c>
      <c r="BZ44" s="31">
        <v>782</v>
      </c>
      <c r="CA44" s="2">
        <f t="shared" si="76"/>
        <v>1989</v>
      </c>
      <c r="CB44" s="31">
        <v>85</v>
      </c>
      <c r="CC44" s="31">
        <v>71</v>
      </c>
      <c r="CD44" s="2">
        <f t="shared" si="31"/>
        <v>156</v>
      </c>
      <c r="CE44" s="30">
        <v>977</v>
      </c>
      <c r="CF44" s="30">
        <v>826</v>
      </c>
      <c r="CG44" s="2">
        <f t="shared" si="77"/>
        <v>1803</v>
      </c>
      <c r="CH44" s="31">
        <v>351</v>
      </c>
      <c r="CI44" s="31">
        <v>279</v>
      </c>
      <c r="CJ44" s="2">
        <f t="shared" si="33"/>
        <v>630</v>
      </c>
      <c r="CK44" s="31">
        <v>26</v>
      </c>
      <c r="CL44" s="31">
        <v>33</v>
      </c>
      <c r="CM44" s="2">
        <f t="shared" si="34"/>
        <v>59</v>
      </c>
      <c r="CN44" s="31">
        <v>0</v>
      </c>
      <c r="CO44" s="31">
        <v>0</v>
      </c>
      <c r="CP44" s="2">
        <f t="shared" si="35"/>
        <v>0</v>
      </c>
      <c r="CQ44" s="31">
        <v>0</v>
      </c>
      <c r="CR44" s="31">
        <v>0</v>
      </c>
      <c r="CS44" s="2">
        <f t="shared" si="36"/>
        <v>0</v>
      </c>
      <c r="CT44" s="33">
        <v>0</v>
      </c>
      <c r="CU44" s="33">
        <v>0</v>
      </c>
      <c r="CV44" s="2">
        <f t="shared" si="37"/>
        <v>0</v>
      </c>
      <c r="CW44" s="28">
        <f t="shared" ref="CW44:CX47" si="94">CE44+CN44</f>
        <v>977</v>
      </c>
      <c r="CX44" s="28">
        <f t="shared" si="94"/>
        <v>826</v>
      </c>
      <c r="CY44" s="2">
        <f t="shared" si="39"/>
        <v>1803</v>
      </c>
      <c r="CZ44" s="28">
        <f t="shared" ref="CZ44:DA47" si="95">CH44+CQ44</f>
        <v>351</v>
      </c>
      <c r="DA44" s="28">
        <f t="shared" si="95"/>
        <v>279</v>
      </c>
      <c r="DB44" s="2">
        <f t="shared" si="41"/>
        <v>630</v>
      </c>
      <c r="DC44" s="28">
        <f t="shared" ref="DC44:DD47" si="96">CK44+CT44</f>
        <v>26</v>
      </c>
      <c r="DD44" s="28">
        <f t="shared" si="96"/>
        <v>33</v>
      </c>
      <c r="DE44" s="2">
        <f t="shared" si="43"/>
        <v>59</v>
      </c>
      <c r="DF44" s="28">
        <f t="shared" si="44"/>
        <v>31.1</v>
      </c>
      <c r="DG44" s="28">
        <f t="shared" si="45"/>
        <v>41.36</v>
      </c>
      <c r="DH44" s="28">
        <f t="shared" si="46"/>
        <v>35.090000000000003</v>
      </c>
      <c r="DI44" s="28">
        <f t="shared" si="47"/>
        <v>29.08</v>
      </c>
      <c r="DJ44" s="28">
        <f t="shared" si="48"/>
        <v>35.68</v>
      </c>
      <c r="DK44" s="28">
        <f t="shared" si="49"/>
        <v>31.67</v>
      </c>
      <c r="DL44" s="28">
        <f t="shared" si="50"/>
        <v>30.59</v>
      </c>
      <c r="DM44" s="28">
        <f t="shared" si="51"/>
        <v>46.48</v>
      </c>
      <c r="DN44" s="28">
        <f t="shared" si="52"/>
        <v>37.82</v>
      </c>
      <c r="DO44" s="32">
        <v>12783</v>
      </c>
      <c r="DP44" s="32">
        <v>18737</v>
      </c>
      <c r="DQ44" s="2">
        <f t="shared" si="78"/>
        <v>31520</v>
      </c>
      <c r="DR44" s="32">
        <v>2194</v>
      </c>
      <c r="DS44" s="32">
        <v>3389</v>
      </c>
      <c r="DT44" s="2">
        <f t="shared" si="79"/>
        <v>5583</v>
      </c>
      <c r="DU44" s="32">
        <v>454</v>
      </c>
      <c r="DV44" s="32">
        <v>632</v>
      </c>
      <c r="DW44" s="2">
        <f t="shared" si="80"/>
        <v>1086</v>
      </c>
      <c r="DX44" s="32">
        <v>38522</v>
      </c>
      <c r="DY44" s="32">
        <v>40899</v>
      </c>
      <c r="DZ44" s="2">
        <f t="shared" si="81"/>
        <v>79421</v>
      </c>
      <c r="EA44" s="32">
        <v>11131</v>
      </c>
      <c r="EB44" s="32">
        <v>12259</v>
      </c>
      <c r="EC44" s="2">
        <f t="shared" si="82"/>
        <v>23390</v>
      </c>
      <c r="ED44" s="32">
        <v>1283</v>
      </c>
      <c r="EE44" s="32">
        <v>1525</v>
      </c>
      <c r="EF44" s="2">
        <f t="shared" si="83"/>
        <v>2808</v>
      </c>
      <c r="EG44" s="4">
        <f t="shared" si="59"/>
        <v>-150573</v>
      </c>
      <c r="EH44" s="4">
        <f t="shared" si="60"/>
        <v>-110941</v>
      </c>
      <c r="EI44" s="4">
        <f t="shared" si="84"/>
        <v>0</v>
      </c>
      <c r="EJ44" s="4">
        <f t="shared" si="62"/>
        <v>0</v>
      </c>
      <c r="EK44" s="4">
        <f t="shared" si="63"/>
        <v>0</v>
      </c>
      <c r="EL44" s="34"/>
    </row>
    <row r="45" spans="1:142" ht="28.5">
      <c r="A45" s="76">
        <v>15</v>
      </c>
      <c r="B45" s="35" t="s">
        <v>76</v>
      </c>
      <c r="C45" s="27" t="s">
        <v>77</v>
      </c>
      <c r="D45" s="63">
        <v>42461</v>
      </c>
      <c r="E45" s="63">
        <v>42896</v>
      </c>
      <c r="F45" s="83" t="s">
        <v>101</v>
      </c>
      <c r="G45" s="62" t="s">
        <v>101</v>
      </c>
      <c r="H45" s="6">
        <v>3</v>
      </c>
      <c r="I45" s="6">
        <v>73</v>
      </c>
      <c r="J45" s="6">
        <v>11</v>
      </c>
      <c r="K45" s="2">
        <f t="shared" si="0"/>
        <v>87</v>
      </c>
      <c r="L45" s="6">
        <v>9</v>
      </c>
      <c r="M45" s="6">
        <v>740</v>
      </c>
      <c r="N45" s="6">
        <v>103</v>
      </c>
      <c r="O45" s="2">
        <f t="shared" si="1"/>
        <v>852</v>
      </c>
      <c r="P45" s="6">
        <v>0</v>
      </c>
      <c r="Q45" s="6">
        <v>0</v>
      </c>
      <c r="R45" s="6">
        <v>0</v>
      </c>
      <c r="S45" s="2">
        <f t="shared" si="2"/>
        <v>0</v>
      </c>
      <c r="T45" s="15">
        <f t="shared" si="3"/>
        <v>0</v>
      </c>
      <c r="U45" s="6">
        <v>34</v>
      </c>
      <c r="V45" s="6">
        <v>10</v>
      </c>
      <c r="W45" s="6">
        <v>17</v>
      </c>
      <c r="X45" s="6">
        <v>9</v>
      </c>
      <c r="Y45" s="6">
        <v>7</v>
      </c>
      <c r="Z45" s="6">
        <v>5</v>
      </c>
      <c r="AA45" s="6">
        <v>5</v>
      </c>
      <c r="AB45" s="29">
        <f t="shared" si="4"/>
        <v>0</v>
      </c>
      <c r="AC45" s="30">
        <v>752</v>
      </c>
      <c r="AD45" s="30">
        <v>56</v>
      </c>
      <c r="AE45" s="2">
        <f t="shared" si="5"/>
        <v>808</v>
      </c>
      <c r="AF45" s="31">
        <v>20</v>
      </c>
      <c r="AG45" s="31">
        <v>7</v>
      </c>
      <c r="AH45" s="2">
        <f t="shared" si="6"/>
        <v>27</v>
      </c>
      <c r="AI45" s="31">
        <v>10</v>
      </c>
      <c r="AJ45" s="31">
        <v>2</v>
      </c>
      <c r="AK45" s="2">
        <f t="shared" si="7"/>
        <v>12</v>
      </c>
      <c r="AL45" s="30">
        <v>667</v>
      </c>
      <c r="AM45" s="30">
        <v>49</v>
      </c>
      <c r="AN45" s="2">
        <f t="shared" si="8"/>
        <v>716</v>
      </c>
      <c r="AO45" s="31">
        <v>14</v>
      </c>
      <c r="AP45" s="31">
        <v>5</v>
      </c>
      <c r="AQ45" s="2">
        <f t="shared" si="9"/>
        <v>19</v>
      </c>
      <c r="AR45" s="31">
        <v>9</v>
      </c>
      <c r="AS45" s="31">
        <v>2</v>
      </c>
      <c r="AT45" s="2">
        <f t="shared" si="10"/>
        <v>11</v>
      </c>
      <c r="AU45" s="31">
        <v>0</v>
      </c>
      <c r="AV45" s="31">
        <v>0</v>
      </c>
      <c r="AW45" s="2">
        <f t="shared" si="11"/>
        <v>0</v>
      </c>
      <c r="AX45" s="33">
        <v>0</v>
      </c>
      <c r="AY45" s="33">
        <v>0</v>
      </c>
      <c r="AZ45" s="2">
        <f t="shared" si="12"/>
        <v>0</v>
      </c>
      <c r="BA45" s="33">
        <v>0</v>
      </c>
      <c r="BB45" s="33">
        <v>0</v>
      </c>
      <c r="BC45" s="2">
        <f t="shared" si="13"/>
        <v>0</v>
      </c>
      <c r="BD45" s="28">
        <f t="shared" si="91"/>
        <v>667</v>
      </c>
      <c r="BE45" s="28">
        <f t="shared" si="91"/>
        <v>49</v>
      </c>
      <c r="BF45" s="2">
        <f t="shared" si="15"/>
        <v>716</v>
      </c>
      <c r="BG45" s="28">
        <f t="shared" si="92"/>
        <v>14</v>
      </c>
      <c r="BH45" s="28">
        <f t="shared" si="92"/>
        <v>5</v>
      </c>
      <c r="BI45" s="2">
        <f t="shared" si="17"/>
        <v>19</v>
      </c>
      <c r="BJ45" s="28">
        <f t="shared" si="93"/>
        <v>9</v>
      </c>
      <c r="BK45" s="28">
        <f t="shared" si="93"/>
        <v>2</v>
      </c>
      <c r="BL45" s="2">
        <f t="shared" si="19"/>
        <v>11</v>
      </c>
      <c r="BM45" s="28">
        <f t="shared" si="20"/>
        <v>88.7</v>
      </c>
      <c r="BN45" s="28">
        <f t="shared" si="21"/>
        <v>87.5</v>
      </c>
      <c r="BO45" s="28">
        <f t="shared" si="22"/>
        <v>88.61</v>
      </c>
      <c r="BP45" s="28">
        <f t="shared" si="23"/>
        <v>70</v>
      </c>
      <c r="BQ45" s="28">
        <f t="shared" si="24"/>
        <v>71.430000000000007</v>
      </c>
      <c r="BR45" s="28">
        <f t="shared" si="25"/>
        <v>70.37</v>
      </c>
      <c r="BS45" s="28">
        <f t="shared" si="26"/>
        <v>90</v>
      </c>
      <c r="BT45" s="28">
        <f t="shared" si="27"/>
        <v>100</v>
      </c>
      <c r="BU45" s="28">
        <f t="shared" si="28"/>
        <v>91.67</v>
      </c>
      <c r="BV45" s="30">
        <v>42</v>
      </c>
      <c r="BW45" s="30">
        <v>2</v>
      </c>
      <c r="BX45" s="2">
        <f t="shared" si="29"/>
        <v>44</v>
      </c>
      <c r="BY45" s="31">
        <v>0</v>
      </c>
      <c r="BZ45" s="31">
        <v>0</v>
      </c>
      <c r="CA45" s="2">
        <f t="shared" si="76"/>
        <v>0</v>
      </c>
      <c r="CB45" s="31">
        <v>0</v>
      </c>
      <c r="CC45" s="31">
        <v>0</v>
      </c>
      <c r="CD45" s="2">
        <f t="shared" si="31"/>
        <v>0</v>
      </c>
      <c r="CE45" s="30">
        <v>30</v>
      </c>
      <c r="CF45" s="30">
        <v>2</v>
      </c>
      <c r="CG45" s="2">
        <f t="shared" si="77"/>
        <v>32</v>
      </c>
      <c r="CH45" s="31">
        <v>0</v>
      </c>
      <c r="CI45" s="31">
        <v>0</v>
      </c>
      <c r="CJ45" s="2">
        <f t="shared" si="33"/>
        <v>0</v>
      </c>
      <c r="CK45" s="31">
        <v>0</v>
      </c>
      <c r="CL45" s="31">
        <v>0</v>
      </c>
      <c r="CM45" s="2">
        <f t="shared" si="34"/>
        <v>0</v>
      </c>
      <c r="CN45" s="31">
        <v>0</v>
      </c>
      <c r="CO45" s="31">
        <v>0</v>
      </c>
      <c r="CP45" s="2">
        <f t="shared" si="35"/>
        <v>0</v>
      </c>
      <c r="CQ45" s="31">
        <v>0</v>
      </c>
      <c r="CR45" s="31">
        <v>0</v>
      </c>
      <c r="CS45" s="2">
        <f t="shared" si="36"/>
        <v>0</v>
      </c>
      <c r="CT45" s="31">
        <v>0</v>
      </c>
      <c r="CU45" s="31">
        <v>0</v>
      </c>
      <c r="CV45" s="2">
        <f t="shared" si="37"/>
        <v>0</v>
      </c>
      <c r="CW45" s="28">
        <f t="shared" si="94"/>
        <v>30</v>
      </c>
      <c r="CX45" s="28">
        <f t="shared" si="94"/>
        <v>2</v>
      </c>
      <c r="CY45" s="2">
        <f t="shared" si="39"/>
        <v>32</v>
      </c>
      <c r="CZ45" s="28">
        <f t="shared" si="95"/>
        <v>0</v>
      </c>
      <c r="DA45" s="28">
        <f t="shared" si="95"/>
        <v>0</v>
      </c>
      <c r="DB45" s="2">
        <f t="shared" si="41"/>
        <v>0</v>
      </c>
      <c r="DC45" s="28">
        <f t="shared" si="96"/>
        <v>0</v>
      </c>
      <c r="DD45" s="28">
        <f t="shared" si="96"/>
        <v>0</v>
      </c>
      <c r="DE45" s="2">
        <f t="shared" si="43"/>
        <v>0</v>
      </c>
      <c r="DF45" s="28">
        <f t="shared" si="44"/>
        <v>71.430000000000007</v>
      </c>
      <c r="DG45" s="28">
        <f t="shared" si="45"/>
        <v>100</v>
      </c>
      <c r="DH45" s="28">
        <f t="shared" si="46"/>
        <v>72.73</v>
      </c>
      <c r="DI45" s="28" t="e">
        <f t="shared" si="47"/>
        <v>#DIV/0!</v>
      </c>
      <c r="DJ45" s="28" t="e">
        <f t="shared" si="48"/>
        <v>#DIV/0!</v>
      </c>
      <c r="DK45" s="28" t="e">
        <f t="shared" si="49"/>
        <v>#DIV/0!</v>
      </c>
      <c r="DL45" s="28" t="e">
        <f t="shared" si="50"/>
        <v>#DIV/0!</v>
      </c>
      <c r="DM45" s="28" t="e">
        <f t="shared" si="51"/>
        <v>#DIV/0!</v>
      </c>
      <c r="DN45" s="28" t="e">
        <f t="shared" si="52"/>
        <v>#DIV/0!</v>
      </c>
      <c r="DO45" s="32">
        <v>145</v>
      </c>
      <c r="DP45" s="32">
        <v>13</v>
      </c>
      <c r="DQ45" s="2">
        <f t="shared" si="78"/>
        <v>158</v>
      </c>
      <c r="DR45" s="32">
        <v>0</v>
      </c>
      <c r="DS45" s="32">
        <v>0</v>
      </c>
      <c r="DT45" s="2">
        <f t="shared" si="79"/>
        <v>0</v>
      </c>
      <c r="DU45" s="32">
        <v>0</v>
      </c>
      <c r="DV45" s="32">
        <v>0</v>
      </c>
      <c r="DW45" s="2">
        <f t="shared" si="80"/>
        <v>0</v>
      </c>
      <c r="DX45" s="32">
        <v>649</v>
      </c>
      <c r="DY45" s="32">
        <v>45</v>
      </c>
      <c r="DZ45" s="2">
        <f t="shared" si="81"/>
        <v>694</v>
      </c>
      <c r="EA45" s="32">
        <v>20</v>
      </c>
      <c r="EB45" s="32">
        <v>7</v>
      </c>
      <c r="EC45" s="2">
        <f t="shared" si="82"/>
        <v>27</v>
      </c>
      <c r="ED45" s="32">
        <v>10</v>
      </c>
      <c r="EE45" s="32">
        <v>2</v>
      </c>
      <c r="EF45" s="2">
        <f t="shared" si="83"/>
        <v>12</v>
      </c>
      <c r="EG45" s="4">
        <f t="shared" si="59"/>
        <v>0</v>
      </c>
      <c r="EH45" s="4">
        <f t="shared" si="60"/>
        <v>-748</v>
      </c>
      <c r="EI45" s="4">
        <f t="shared" si="84"/>
        <v>104</v>
      </c>
      <c r="EJ45" s="4">
        <f t="shared" si="62"/>
        <v>8</v>
      </c>
      <c r="EK45" s="4">
        <f t="shared" si="63"/>
        <v>1</v>
      </c>
      <c r="EL45" s="34"/>
    </row>
    <row r="46" spans="1:142" ht="30">
      <c r="A46" s="51">
        <v>32</v>
      </c>
      <c r="B46" s="48" t="s">
        <v>111</v>
      </c>
      <c r="C46" s="46" t="s">
        <v>112</v>
      </c>
      <c r="D46" s="64">
        <v>42772</v>
      </c>
      <c r="E46" s="64">
        <v>42784</v>
      </c>
      <c r="F46" s="64">
        <v>42772</v>
      </c>
      <c r="G46" s="64">
        <v>42784</v>
      </c>
      <c r="H46" s="46">
        <v>0</v>
      </c>
      <c r="I46" s="46">
        <v>404</v>
      </c>
      <c r="J46" s="46">
        <v>4</v>
      </c>
      <c r="K46" s="46">
        <f t="shared" si="0"/>
        <v>408</v>
      </c>
      <c r="L46" s="46">
        <v>0</v>
      </c>
      <c r="M46" s="46">
        <v>52058</v>
      </c>
      <c r="N46" s="46">
        <v>57</v>
      </c>
      <c r="O46" s="46">
        <f t="shared" si="1"/>
        <v>52115</v>
      </c>
      <c r="P46" s="46">
        <v>0</v>
      </c>
      <c r="Q46" s="46">
        <v>40085</v>
      </c>
      <c r="R46" s="46">
        <v>31</v>
      </c>
      <c r="S46" s="46">
        <f t="shared" si="2"/>
        <v>40116</v>
      </c>
      <c r="T46" s="46">
        <f t="shared" si="3"/>
        <v>76.98</v>
      </c>
      <c r="U46" s="46">
        <v>8</v>
      </c>
      <c r="V46" s="46">
        <v>100</v>
      </c>
      <c r="W46" s="46">
        <v>103</v>
      </c>
      <c r="X46" s="46">
        <v>79</v>
      </c>
      <c r="Y46" s="46">
        <v>59</v>
      </c>
      <c r="Z46" s="46">
        <v>32</v>
      </c>
      <c r="AA46" s="46">
        <v>27</v>
      </c>
      <c r="AB46" s="47">
        <f t="shared" si="4"/>
        <v>0</v>
      </c>
      <c r="AC46" s="46">
        <v>14322</v>
      </c>
      <c r="AD46" s="46">
        <v>35489</v>
      </c>
      <c r="AE46" s="46">
        <f t="shared" si="5"/>
        <v>49811</v>
      </c>
      <c r="AF46" s="46">
        <v>308</v>
      </c>
      <c r="AG46" s="46">
        <v>602</v>
      </c>
      <c r="AH46" s="46">
        <f t="shared" si="6"/>
        <v>910</v>
      </c>
      <c r="AI46" s="46">
        <v>150</v>
      </c>
      <c r="AJ46" s="46">
        <v>183</v>
      </c>
      <c r="AK46" s="46">
        <f t="shared" si="7"/>
        <v>333</v>
      </c>
      <c r="AL46" s="46">
        <v>11937</v>
      </c>
      <c r="AM46" s="46">
        <v>26315</v>
      </c>
      <c r="AN46" s="46">
        <f t="shared" si="8"/>
        <v>38252</v>
      </c>
      <c r="AO46" s="46">
        <v>244</v>
      </c>
      <c r="AP46" s="46">
        <v>394</v>
      </c>
      <c r="AQ46" s="46">
        <f t="shared" si="9"/>
        <v>638</v>
      </c>
      <c r="AR46" s="46">
        <v>114</v>
      </c>
      <c r="AS46" s="46">
        <v>98</v>
      </c>
      <c r="AT46" s="46">
        <f t="shared" si="10"/>
        <v>212</v>
      </c>
      <c r="AU46" s="46">
        <v>0</v>
      </c>
      <c r="AV46" s="46">
        <v>0</v>
      </c>
      <c r="AW46" s="46">
        <f t="shared" si="11"/>
        <v>0</v>
      </c>
      <c r="AX46" s="46">
        <v>0</v>
      </c>
      <c r="AY46" s="46">
        <v>0</v>
      </c>
      <c r="AZ46" s="46">
        <f t="shared" si="12"/>
        <v>0</v>
      </c>
      <c r="BA46" s="46">
        <v>0</v>
      </c>
      <c r="BB46" s="46">
        <v>0</v>
      </c>
      <c r="BC46" s="46">
        <f t="shared" si="13"/>
        <v>0</v>
      </c>
      <c r="BD46" s="46">
        <f t="shared" si="91"/>
        <v>11937</v>
      </c>
      <c r="BE46" s="46">
        <f t="shared" si="91"/>
        <v>26315</v>
      </c>
      <c r="BF46" s="46">
        <f t="shared" si="15"/>
        <v>38252</v>
      </c>
      <c r="BG46" s="46">
        <f t="shared" si="92"/>
        <v>244</v>
      </c>
      <c r="BH46" s="46">
        <f t="shared" si="92"/>
        <v>394</v>
      </c>
      <c r="BI46" s="46">
        <f t="shared" si="17"/>
        <v>638</v>
      </c>
      <c r="BJ46" s="46">
        <f t="shared" si="93"/>
        <v>114</v>
      </c>
      <c r="BK46" s="46">
        <f t="shared" si="93"/>
        <v>98</v>
      </c>
      <c r="BL46" s="46">
        <f t="shared" si="19"/>
        <v>212</v>
      </c>
      <c r="BM46" s="46">
        <f t="shared" si="20"/>
        <v>83.35</v>
      </c>
      <c r="BN46" s="46">
        <f t="shared" si="21"/>
        <v>74.150000000000006</v>
      </c>
      <c r="BO46" s="46">
        <f t="shared" si="22"/>
        <v>76.790000000000006</v>
      </c>
      <c r="BP46" s="46">
        <f t="shared" si="23"/>
        <v>79.22</v>
      </c>
      <c r="BQ46" s="46">
        <f t="shared" si="24"/>
        <v>65.45</v>
      </c>
      <c r="BR46" s="46">
        <f t="shared" si="25"/>
        <v>70.11</v>
      </c>
      <c r="BS46" s="46">
        <f t="shared" si="26"/>
        <v>76</v>
      </c>
      <c r="BT46" s="46">
        <f t="shared" si="27"/>
        <v>53.55</v>
      </c>
      <c r="BU46" s="46">
        <f t="shared" si="28"/>
        <v>63.66</v>
      </c>
      <c r="BV46" s="46">
        <v>1517</v>
      </c>
      <c r="BW46" s="46">
        <v>787</v>
      </c>
      <c r="BX46" s="46">
        <f t="shared" si="29"/>
        <v>2304</v>
      </c>
      <c r="BY46" s="46">
        <v>104</v>
      </c>
      <c r="BZ46" s="46">
        <v>36</v>
      </c>
      <c r="CA46" s="46">
        <f t="shared" si="76"/>
        <v>140</v>
      </c>
      <c r="CB46" s="46">
        <v>39</v>
      </c>
      <c r="CC46" s="46">
        <v>26</v>
      </c>
      <c r="CD46" s="46">
        <f t="shared" si="31"/>
        <v>65</v>
      </c>
      <c r="CE46" s="46">
        <v>1212</v>
      </c>
      <c r="CF46" s="46">
        <v>652</v>
      </c>
      <c r="CG46" s="46">
        <f t="shared" si="77"/>
        <v>1864</v>
      </c>
      <c r="CH46" s="46">
        <v>58</v>
      </c>
      <c r="CI46" s="46">
        <v>23</v>
      </c>
      <c r="CJ46" s="46">
        <f t="shared" si="33"/>
        <v>81</v>
      </c>
      <c r="CK46" s="46">
        <v>24</v>
      </c>
      <c r="CL46" s="46">
        <v>15</v>
      </c>
      <c r="CM46" s="46">
        <f t="shared" si="34"/>
        <v>39</v>
      </c>
      <c r="CN46" s="46">
        <v>0</v>
      </c>
      <c r="CO46" s="46">
        <v>0</v>
      </c>
      <c r="CP46" s="46">
        <f t="shared" si="35"/>
        <v>0</v>
      </c>
      <c r="CQ46" s="46">
        <v>0</v>
      </c>
      <c r="CR46" s="46">
        <v>0</v>
      </c>
      <c r="CS46" s="46">
        <f t="shared" si="36"/>
        <v>0</v>
      </c>
      <c r="CT46" s="46">
        <v>0</v>
      </c>
      <c r="CU46" s="46">
        <v>0</v>
      </c>
      <c r="CV46" s="46">
        <f t="shared" si="37"/>
        <v>0</v>
      </c>
      <c r="CW46" s="46">
        <f t="shared" si="94"/>
        <v>1212</v>
      </c>
      <c r="CX46" s="46">
        <f t="shared" si="94"/>
        <v>652</v>
      </c>
      <c r="CY46" s="46">
        <f t="shared" si="39"/>
        <v>1864</v>
      </c>
      <c r="CZ46" s="28">
        <f t="shared" si="95"/>
        <v>58</v>
      </c>
      <c r="DA46" s="28">
        <f t="shared" si="95"/>
        <v>23</v>
      </c>
      <c r="DB46" s="2">
        <f t="shared" si="41"/>
        <v>81</v>
      </c>
      <c r="DC46" s="28">
        <f t="shared" si="96"/>
        <v>24</v>
      </c>
      <c r="DD46" s="28">
        <f t="shared" si="96"/>
        <v>15</v>
      </c>
      <c r="DE46" s="2">
        <f t="shared" si="43"/>
        <v>39</v>
      </c>
      <c r="DF46" s="46">
        <f t="shared" si="44"/>
        <v>79.89</v>
      </c>
      <c r="DG46" s="46">
        <f t="shared" si="45"/>
        <v>82.85</v>
      </c>
      <c r="DH46" s="46">
        <f t="shared" si="46"/>
        <v>80.900000000000006</v>
      </c>
      <c r="DI46" s="46">
        <f t="shared" si="47"/>
        <v>55.77</v>
      </c>
      <c r="DJ46" s="46">
        <f t="shared" si="48"/>
        <v>63.89</v>
      </c>
      <c r="DK46" s="46">
        <f t="shared" si="49"/>
        <v>57.86</v>
      </c>
      <c r="DL46" s="46">
        <f t="shared" si="50"/>
        <v>61.54</v>
      </c>
      <c r="DM46" s="46">
        <f t="shared" si="51"/>
        <v>57.69</v>
      </c>
      <c r="DN46" s="46">
        <f t="shared" si="52"/>
        <v>60</v>
      </c>
      <c r="DO46" s="46">
        <v>1307</v>
      </c>
      <c r="DP46" s="46">
        <v>1846</v>
      </c>
      <c r="DQ46" s="46">
        <f t="shared" si="78"/>
        <v>3153</v>
      </c>
      <c r="DR46" s="46">
        <v>10</v>
      </c>
      <c r="DS46" s="46">
        <v>11</v>
      </c>
      <c r="DT46" s="46">
        <f t="shared" si="79"/>
        <v>21</v>
      </c>
      <c r="DU46" s="46">
        <v>2</v>
      </c>
      <c r="DV46" s="46">
        <v>5</v>
      </c>
      <c r="DW46" s="46">
        <f t="shared" si="80"/>
        <v>7</v>
      </c>
      <c r="DX46" s="46">
        <v>11842</v>
      </c>
      <c r="DY46" s="46">
        <v>25121</v>
      </c>
      <c r="DZ46" s="46">
        <f t="shared" si="81"/>
        <v>36963</v>
      </c>
      <c r="EA46" s="46">
        <v>292</v>
      </c>
      <c r="EB46" s="46">
        <v>406</v>
      </c>
      <c r="EC46" s="46">
        <f t="shared" si="82"/>
        <v>698</v>
      </c>
      <c r="ED46" s="46">
        <v>136</v>
      </c>
      <c r="EE46" s="46">
        <v>108</v>
      </c>
      <c r="EF46" s="46">
        <f t="shared" si="83"/>
        <v>244</v>
      </c>
      <c r="EG46" s="46">
        <f t="shared" si="59"/>
        <v>0</v>
      </c>
      <c r="EH46" s="46">
        <f t="shared" si="60"/>
        <v>0</v>
      </c>
      <c r="EI46" s="46">
        <f t="shared" si="84"/>
        <v>0</v>
      </c>
      <c r="EJ46" s="46">
        <f t="shared" si="62"/>
        <v>0</v>
      </c>
      <c r="EK46" s="46">
        <f t="shared" si="63"/>
        <v>0</v>
      </c>
    </row>
    <row r="47" spans="1:142" ht="28.5">
      <c r="A47" s="51">
        <v>27</v>
      </c>
      <c r="B47" s="45" t="s">
        <v>104</v>
      </c>
      <c r="C47" s="48" t="s">
        <v>105</v>
      </c>
      <c r="D47" s="65" t="s">
        <v>75</v>
      </c>
      <c r="E47" s="65" t="s">
        <v>75</v>
      </c>
      <c r="F47" s="65" t="s">
        <v>75</v>
      </c>
      <c r="G47" s="65" t="s">
        <v>75</v>
      </c>
      <c r="H47" s="46">
        <v>0</v>
      </c>
      <c r="I47" s="46">
        <v>0</v>
      </c>
      <c r="J47" s="46">
        <v>0</v>
      </c>
      <c r="K47" s="46">
        <f t="shared" si="0"/>
        <v>0</v>
      </c>
      <c r="L47" s="46">
        <v>0</v>
      </c>
      <c r="M47" s="46">
        <v>0</v>
      </c>
      <c r="N47" s="46">
        <v>0</v>
      </c>
      <c r="O47" s="46">
        <f t="shared" si="1"/>
        <v>0</v>
      </c>
      <c r="P47" s="46">
        <v>0</v>
      </c>
      <c r="Q47" s="46">
        <v>0</v>
      </c>
      <c r="R47" s="46">
        <v>0</v>
      </c>
      <c r="S47" s="46">
        <f t="shared" si="2"/>
        <v>0</v>
      </c>
      <c r="T47" s="46" t="e">
        <f t="shared" si="3"/>
        <v>#DIV/0!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7">
        <f t="shared" si="4"/>
        <v>0</v>
      </c>
      <c r="AC47" s="46">
        <v>473003</v>
      </c>
      <c r="AD47" s="46">
        <v>587495</v>
      </c>
      <c r="AE47" s="46">
        <f t="shared" si="5"/>
        <v>1060498</v>
      </c>
      <c r="AF47" s="46">
        <v>139447</v>
      </c>
      <c r="AG47" s="46">
        <v>164679</v>
      </c>
      <c r="AH47" s="46">
        <f t="shared" si="6"/>
        <v>304126</v>
      </c>
      <c r="AI47" s="46">
        <v>27618</v>
      </c>
      <c r="AJ47" s="46">
        <v>35521</v>
      </c>
      <c r="AK47" s="46">
        <f t="shared" si="7"/>
        <v>63139</v>
      </c>
      <c r="AL47" s="46">
        <v>412446</v>
      </c>
      <c r="AM47" s="46">
        <v>462117</v>
      </c>
      <c r="AN47" s="46">
        <f t="shared" si="8"/>
        <v>874563</v>
      </c>
      <c r="AO47" s="46">
        <v>116600</v>
      </c>
      <c r="AP47" s="46">
        <v>122050</v>
      </c>
      <c r="AQ47" s="46">
        <f t="shared" si="9"/>
        <v>238650</v>
      </c>
      <c r="AR47" s="46">
        <v>20038</v>
      </c>
      <c r="AS47" s="46">
        <v>21529</v>
      </c>
      <c r="AT47" s="46">
        <f t="shared" si="10"/>
        <v>41567</v>
      </c>
      <c r="AU47" s="46">
        <v>0</v>
      </c>
      <c r="AV47" s="46">
        <v>0</v>
      </c>
      <c r="AW47" s="46">
        <f t="shared" si="11"/>
        <v>0</v>
      </c>
      <c r="AX47" s="46">
        <v>0</v>
      </c>
      <c r="AY47" s="46">
        <v>0</v>
      </c>
      <c r="AZ47" s="46">
        <f t="shared" si="12"/>
        <v>0</v>
      </c>
      <c r="BA47" s="46">
        <v>0</v>
      </c>
      <c r="BB47" s="46">
        <v>0</v>
      </c>
      <c r="BC47" s="46">
        <f t="shared" si="13"/>
        <v>0</v>
      </c>
      <c r="BD47" s="46">
        <f t="shared" si="91"/>
        <v>412446</v>
      </c>
      <c r="BE47" s="46">
        <f t="shared" si="91"/>
        <v>462117</v>
      </c>
      <c r="BF47" s="46">
        <f t="shared" si="15"/>
        <v>874563</v>
      </c>
      <c r="BG47" s="46">
        <f t="shared" si="92"/>
        <v>116600</v>
      </c>
      <c r="BH47" s="46">
        <f t="shared" si="92"/>
        <v>122050</v>
      </c>
      <c r="BI47" s="46">
        <f t="shared" si="17"/>
        <v>238650</v>
      </c>
      <c r="BJ47" s="46">
        <f t="shared" si="93"/>
        <v>20038</v>
      </c>
      <c r="BK47" s="46">
        <f t="shared" si="93"/>
        <v>21529</v>
      </c>
      <c r="BL47" s="46">
        <f t="shared" si="19"/>
        <v>41567</v>
      </c>
      <c r="BM47" s="46">
        <f t="shared" si="20"/>
        <v>87.2</v>
      </c>
      <c r="BN47" s="46">
        <f t="shared" si="21"/>
        <v>78.66</v>
      </c>
      <c r="BO47" s="46">
        <f t="shared" si="22"/>
        <v>82.47</v>
      </c>
      <c r="BP47" s="46">
        <f t="shared" si="23"/>
        <v>83.62</v>
      </c>
      <c r="BQ47" s="46">
        <f t="shared" si="24"/>
        <v>74.11</v>
      </c>
      <c r="BR47" s="46">
        <f t="shared" si="25"/>
        <v>78.47</v>
      </c>
      <c r="BS47" s="46">
        <f t="shared" si="26"/>
        <v>72.55</v>
      </c>
      <c r="BT47" s="46">
        <f t="shared" si="27"/>
        <v>60.61</v>
      </c>
      <c r="BU47" s="46">
        <f t="shared" si="28"/>
        <v>65.83</v>
      </c>
      <c r="BV47" s="46">
        <v>466</v>
      </c>
      <c r="BW47" s="46">
        <v>159</v>
      </c>
      <c r="BX47" s="46">
        <f t="shared" si="29"/>
        <v>625</v>
      </c>
      <c r="BY47" s="46">
        <v>83</v>
      </c>
      <c r="BZ47" s="46">
        <v>22</v>
      </c>
      <c r="CA47" s="46">
        <f t="shared" si="76"/>
        <v>105</v>
      </c>
      <c r="CB47" s="46">
        <v>28</v>
      </c>
      <c r="CC47" s="46">
        <v>10</v>
      </c>
      <c r="CD47" s="46">
        <f t="shared" si="31"/>
        <v>38</v>
      </c>
      <c r="CE47" s="46">
        <v>358</v>
      </c>
      <c r="CF47" s="46">
        <v>63</v>
      </c>
      <c r="CG47" s="46">
        <f t="shared" si="77"/>
        <v>421</v>
      </c>
      <c r="CH47" s="46">
        <v>70</v>
      </c>
      <c r="CI47" s="46">
        <v>10</v>
      </c>
      <c r="CJ47" s="46">
        <f t="shared" si="33"/>
        <v>80</v>
      </c>
      <c r="CK47" s="46">
        <v>13</v>
      </c>
      <c r="CL47" s="46">
        <v>5</v>
      </c>
      <c r="CM47" s="46">
        <f t="shared" si="34"/>
        <v>18</v>
      </c>
      <c r="CN47" s="46">
        <v>0</v>
      </c>
      <c r="CO47" s="46">
        <v>0</v>
      </c>
      <c r="CP47" s="46">
        <f t="shared" si="35"/>
        <v>0</v>
      </c>
      <c r="CQ47" s="46">
        <v>0</v>
      </c>
      <c r="CR47" s="46">
        <v>0</v>
      </c>
      <c r="CS47" s="46">
        <f t="shared" si="36"/>
        <v>0</v>
      </c>
      <c r="CT47" s="46">
        <v>0</v>
      </c>
      <c r="CU47" s="46">
        <v>0</v>
      </c>
      <c r="CV47" s="46">
        <f t="shared" si="37"/>
        <v>0</v>
      </c>
      <c r="CW47" s="46">
        <f t="shared" si="94"/>
        <v>358</v>
      </c>
      <c r="CX47" s="46">
        <f t="shared" si="94"/>
        <v>63</v>
      </c>
      <c r="CY47" s="46">
        <f t="shared" si="39"/>
        <v>421</v>
      </c>
      <c r="CZ47" s="28">
        <f t="shared" si="95"/>
        <v>70</v>
      </c>
      <c r="DA47" s="28">
        <f t="shared" si="95"/>
        <v>10</v>
      </c>
      <c r="DB47" s="2">
        <f t="shared" si="41"/>
        <v>80</v>
      </c>
      <c r="DC47" s="28">
        <f t="shared" si="96"/>
        <v>13</v>
      </c>
      <c r="DD47" s="28">
        <f t="shared" si="96"/>
        <v>5</v>
      </c>
      <c r="DE47" s="2">
        <f t="shared" si="43"/>
        <v>18</v>
      </c>
      <c r="DF47" s="46">
        <f t="shared" si="44"/>
        <v>76.819999999999993</v>
      </c>
      <c r="DG47" s="46">
        <f t="shared" si="45"/>
        <v>39.619999999999997</v>
      </c>
      <c r="DH47" s="46">
        <f t="shared" si="46"/>
        <v>67.36</v>
      </c>
      <c r="DI47" s="46">
        <f t="shared" si="47"/>
        <v>84.34</v>
      </c>
      <c r="DJ47" s="46">
        <f t="shared" si="48"/>
        <v>45.45</v>
      </c>
      <c r="DK47" s="46">
        <f t="shared" si="49"/>
        <v>76.19</v>
      </c>
      <c r="DL47" s="46">
        <f t="shared" si="50"/>
        <v>46.43</v>
      </c>
      <c r="DM47" s="46">
        <f t="shared" si="51"/>
        <v>50</v>
      </c>
      <c r="DN47" s="46">
        <f t="shared" si="52"/>
        <v>47.37</v>
      </c>
      <c r="DO47" s="46">
        <v>27813</v>
      </c>
      <c r="DP47" s="46">
        <v>20599</v>
      </c>
      <c r="DQ47" s="46">
        <f t="shared" si="78"/>
        <v>48412</v>
      </c>
      <c r="DR47" s="46">
        <v>4152</v>
      </c>
      <c r="DS47" s="46">
        <v>2688</v>
      </c>
      <c r="DT47" s="46">
        <f t="shared" si="79"/>
        <v>6840</v>
      </c>
      <c r="DU47" s="46">
        <v>253</v>
      </c>
      <c r="DV47" s="46">
        <v>180</v>
      </c>
      <c r="DW47" s="46">
        <f t="shared" si="80"/>
        <v>433</v>
      </c>
      <c r="DX47" s="46">
        <v>36860</v>
      </c>
      <c r="DY47" s="46">
        <v>33974</v>
      </c>
      <c r="DZ47" s="46">
        <f t="shared" si="81"/>
        <v>70834</v>
      </c>
      <c r="EA47" s="46">
        <v>7165</v>
      </c>
      <c r="EB47" s="46">
        <v>5667</v>
      </c>
      <c r="EC47" s="46">
        <f t="shared" si="82"/>
        <v>12832</v>
      </c>
      <c r="ED47" s="46">
        <v>722</v>
      </c>
      <c r="EE47" s="46">
        <v>517</v>
      </c>
      <c r="EF47" s="46">
        <f t="shared" si="83"/>
        <v>1239</v>
      </c>
      <c r="EG47" s="46">
        <f t="shared" si="59"/>
        <v>-1061123</v>
      </c>
      <c r="EH47" s="46">
        <f t="shared" si="60"/>
        <v>-874984</v>
      </c>
      <c r="EI47" s="46">
        <f t="shared" si="84"/>
        <v>-755738</v>
      </c>
      <c r="EJ47" s="46">
        <f t="shared" si="62"/>
        <v>-219058</v>
      </c>
      <c r="EK47" s="46">
        <f t="shared" si="63"/>
        <v>-39913</v>
      </c>
    </row>
    <row r="48" spans="1:142">
      <c r="A48" s="51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 t="e">
        <f t="shared" si="3"/>
        <v>#DIV/0!</v>
      </c>
      <c r="U48" s="46">
        <v>5059</v>
      </c>
      <c r="V48" s="46">
        <v>4841</v>
      </c>
      <c r="W48" s="46">
        <v>1506</v>
      </c>
      <c r="X48" s="46">
        <v>489</v>
      </c>
      <c r="Y48" s="46">
        <v>182</v>
      </c>
      <c r="Z48" s="46">
        <v>69</v>
      </c>
      <c r="AA48" s="46">
        <v>42</v>
      </c>
      <c r="AB48" s="47">
        <f t="shared" si="4"/>
        <v>-12188</v>
      </c>
      <c r="AC48" s="46">
        <v>125</v>
      </c>
      <c r="AD48" s="46">
        <v>117</v>
      </c>
      <c r="AE48" s="46">
        <f t="shared" si="5"/>
        <v>242</v>
      </c>
      <c r="AF48" s="46">
        <v>20</v>
      </c>
      <c r="AG48" s="46">
        <v>20</v>
      </c>
      <c r="AH48" s="46">
        <f t="shared" si="6"/>
        <v>40</v>
      </c>
      <c r="AI48" s="46">
        <v>13</v>
      </c>
      <c r="AJ48" s="46">
        <v>20</v>
      </c>
      <c r="AK48" s="46">
        <f t="shared" si="7"/>
        <v>33</v>
      </c>
      <c r="AL48" s="46">
        <v>120</v>
      </c>
      <c r="AM48" s="46">
        <v>110</v>
      </c>
      <c r="AN48" s="46">
        <f t="shared" si="8"/>
        <v>230</v>
      </c>
      <c r="AO48" s="46">
        <v>19</v>
      </c>
      <c r="AP48" s="46">
        <v>17</v>
      </c>
      <c r="AQ48" s="46">
        <f t="shared" si="9"/>
        <v>36</v>
      </c>
      <c r="AR48" s="46">
        <v>12</v>
      </c>
      <c r="AS48" s="46">
        <v>19</v>
      </c>
      <c r="AT48" s="46">
        <f t="shared" si="10"/>
        <v>31</v>
      </c>
      <c r="AU48" s="46">
        <v>2</v>
      </c>
      <c r="AV48" s="46">
        <v>4</v>
      </c>
      <c r="AW48" s="46">
        <f t="shared" si="11"/>
        <v>6</v>
      </c>
      <c r="AX48" s="46">
        <v>1</v>
      </c>
      <c r="AY48" s="46">
        <v>1</v>
      </c>
      <c r="AZ48" s="46">
        <f t="shared" si="12"/>
        <v>2</v>
      </c>
      <c r="BA48" s="46"/>
      <c r="BB48" s="46"/>
      <c r="BC48" s="46">
        <f t="shared" si="13"/>
        <v>0</v>
      </c>
      <c r="BD48" s="46">
        <v>122</v>
      </c>
      <c r="BE48" s="46">
        <v>114</v>
      </c>
      <c r="BF48" s="46">
        <f t="shared" si="15"/>
        <v>236</v>
      </c>
      <c r="BG48" s="46">
        <v>20</v>
      </c>
      <c r="BH48" s="46">
        <v>18</v>
      </c>
      <c r="BI48" s="46">
        <f t="shared" si="17"/>
        <v>38</v>
      </c>
      <c r="BJ48" s="46">
        <v>12</v>
      </c>
      <c r="BK48" s="46">
        <v>19</v>
      </c>
      <c r="BL48" s="46">
        <f t="shared" si="19"/>
        <v>31</v>
      </c>
      <c r="BM48" s="46">
        <f t="shared" si="20"/>
        <v>97.6</v>
      </c>
      <c r="BN48" s="46">
        <f t="shared" si="21"/>
        <v>97.44</v>
      </c>
      <c r="BO48" s="46">
        <f t="shared" si="22"/>
        <v>97.52</v>
      </c>
      <c r="BP48" s="46">
        <f t="shared" si="23"/>
        <v>100</v>
      </c>
      <c r="BQ48" s="46">
        <f t="shared" si="24"/>
        <v>90</v>
      </c>
      <c r="BR48" s="46">
        <f t="shared" si="25"/>
        <v>95</v>
      </c>
      <c r="BS48" s="46">
        <f t="shared" si="26"/>
        <v>92.31</v>
      </c>
      <c r="BT48" s="46">
        <f t="shared" si="27"/>
        <v>95</v>
      </c>
      <c r="BU48" s="46">
        <f t="shared" si="28"/>
        <v>93.94</v>
      </c>
      <c r="BV48" s="46">
        <v>0</v>
      </c>
      <c r="BW48" s="46">
        <v>0</v>
      </c>
      <c r="BX48" s="46">
        <f t="shared" si="29"/>
        <v>0</v>
      </c>
      <c r="BY48" s="46">
        <v>0</v>
      </c>
      <c r="BZ48" s="46">
        <v>0</v>
      </c>
      <c r="CA48" s="46">
        <f t="shared" si="76"/>
        <v>0</v>
      </c>
      <c r="CB48" s="46">
        <v>0</v>
      </c>
      <c r="CC48" s="46">
        <v>0</v>
      </c>
      <c r="CD48" s="46">
        <f t="shared" si="31"/>
        <v>0</v>
      </c>
      <c r="CE48" s="46">
        <v>0</v>
      </c>
      <c r="CF48" s="46">
        <v>0</v>
      </c>
      <c r="CG48" s="46">
        <f t="shared" si="77"/>
        <v>0</v>
      </c>
      <c r="CH48" s="46">
        <v>0</v>
      </c>
      <c r="CI48" s="46">
        <v>0</v>
      </c>
      <c r="CJ48" s="46">
        <f t="shared" si="33"/>
        <v>0</v>
      </c>
      <c r="CK48" s="46">
        <v>0</v>
      </c>
      <c r="CL48" s="46">
        <v>0</v>
      </c>
      <c r="CM48" s="46">
        <f t="shared" si="34"/>
        <v>0</v>
      </c>
      <c r="CN48" s="46">
        <v>0</v>
      </c>
      <c r="CO48" s="46">
        <v>0</v>
      </c>
      <c r="CP48" s="46">
        <f t="shared" si="35"/>
        <v>0</v>
      </c>
      <c r="CQ48" s="46">
        <v>0</v>
      </c>
      <c r="CR48" s="46">
        <v>0</v>
      </c>
      <c r="CS48" s="46">
        <f t="shared" si="36"/>
        <v>0</v>
      </c>
      <c r="CT48" s="46">
        <v>0</v>
      </c>
      <c r="CU48" s="46">
        <v>0</v>
      </c>
      <c r="CV48" s="46">
        <f t="shared" si="37"/>
        <v>0</v>
      </c>
      <c r="CW48" s="46">
        <v>0</v>
      </c>
      <c r="CX48" s="46">
        <v>0</v>
      </c>
      <c r="CY48" s="46">
        <f t="shared" si="39"/>
        <v>0</v>
      </c>
      <c r="CZ48" s="46">
        <v>0</v>
      </c>
      <c r="DA48" s="46">
        <v>0</v>
      </c>
      <c r="DB48" s="46">
        <f t="shared" si="41"/>
        <v>0</v>
      </c>
      <c r="DC48" s="46">
        <v>0</v>
      </c>
      <c r="DD48" s="46">
        <v>0</v>
      </c>
      <c r="DE48" s="46">
        <f t="shared" si="43"/>
        <v>0</v>
      </c>
      <c r="DF48" s="46" t="e">
        <f t="shared" si="44"/>
        <v>#DIV/0!</v>
      </c>
      <c r="DG48" s="46" t="e">
        <f t="shared" si="45"/>
        <v>#DIV/0!</v>
      </c>
      <c r="DH48" s="46" t="e">
        <f t="shared" si="46"/>
        <v>#DIV/0!</v>
      </c>
      <c r="DI48" s="46" t="e">
        <f t="shared" si="47"/>
        <v>#DIV/0!</v>
      </c>
      <c r="DJ48" s="46" t="e">
        <f t="shared" si="48"/>
        <v>#DIV/0!</v>
      </c>
      <c r="DK48" s="46" t="e">
        <f t="shared" si="49"/>
        <v>#DIV/0!</v>
      </c>
      <c r="DL48" s="46" t="e">
        <f t="shared" si="50"/>
        <v>#DIV/0!</v>
      </c>
      <c r="DM48" s="46" t="e">
        <f t="shared" si="51"/>
        <v>#DIV/0!</v>
      </c>
      <c r="DN48" s="46" t="e">
        <f t="shared" si="52"/>
        <v>#DIV/0!</v>
      </c>
      <c r="DO48" s="46">
        <v>93</v>
      </c>
      <c r="DP48" s="46">
        <v>94</v>
      </c>
      <c r="DQ48" s="46">
        <f t="shared" si="78"/>
        <v>187</v>
      </c>
      <c r="DR48" s="46">
        <v>15</v>
      </c>
      <c r="DS48" s="46">
        <v>12</v>
      </c>
      <c r="DT48" s="46">
        <f t="shared" si="79"/>
        <v>27</v>
      </c>
      <c r="DU48" s="46">
        <v>9</v>
      </c>
      <c r="DV48" s="46">
        <v>13</v>
      </c>
      <c r="DW48" s="46">
        <f t="shared" si="80"/>
        <v>22</v>
      </c>
      <c r="DX48" s="46">
        <v>29</v>
      </c>
      <c r="DY48" s="46">
        <v>20</v>
      </c>
      <c r="DZ48" s="46">
        <f t="shared" si="81"/>
        <v>49</v>
      </c>
      <c r="EA48" s="46">
        <v>5</v>
      </c>
      <c r="EB48" s="46">
        <v>6</v>
      </c>
      <c r="EC48" s="46">
        <f t="shared" si="82"/>
        <v>11</v>
      </c>
      <c r="ED48" s="46">
        <v>3</v>
      </c>
      <c r="EE48" s="46">
        <v>6</v>
      </c>
      <c r="EF48" s="46">
        <f t="shared" si="83"/>
        <v>9</v>
      </c>
      <c r="EG48" s="46">
        <f t="shared" si="59"/>
        <v>-242</v>
      </c>
      <c r="EH48" s="46">
        <f t="shared" si="60"/>
        <v>-236</v>
      </c>
      <c r="EI48" s="46">
        <f t="shared" si="84"/>
        <v>0</v>
      </c>
      <c r="EJ48" s="46">
        <f t="shared" si="62"/>
        <v>0</v>
      </c>
      <c r="EK48" s="46">
        <f t="shared" si="63"/>
        <v>0</v>
      </c>
    </row>
    <row r="49" spans="1:14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 t="e">
        <f t="shared" si="3"/>
        <v>#DIV/0!</v>
      </c>
      <c r="U49" s="46">
        <v>5059</v>
      </c>
      <c r="V49" s="46">
        <v>4841</v>
      </c>
      <c r="W49" s="46">
        <v>1506</v>
      </c>
      <c r="X49" s="46">
        <v>489</v>
      </c>
      <c r="Y49" s="46">
        <v>182</v>
      </c>
      <c r="Z49" s="46">
        <v>69</v>
      </c>
      <c r="AA49" s="46">
        <v>42</v>
      </c>
      <c r="AB49" s="47">
        <f t="shared" si="4"/>
        <v>-12188</v>
      </c>
      <c r="AC49" s="46">
        <v>125</v>
      </c>
      <c r="AD49" s="46">
        <v>117</v>
      </c>
      <c r="AE49" s="46">
        <f t="shared" si="5"/>
        <v>242</v>
      </c>
      <c r="AF49" s="46">
        <v>20</v>
      </c>
      <c r="AG49" s="46">
        <v>20</v>
      </c>
      <c r="AH49" s="46">
        <f t="shared" si="6"/>
        <v>40</v>
      </c>
      <c r="AI49" s="46">
        <v>13</v>
      </c>
      <c r="AJ49" s="46">
        <v>20</v>
      </c>
      <c r="AK49" s="46">
        <f t="shared" si="7"/>
        <v>33</v>
      </c>
      <c r="AL49" s="46">
        <v>120</v>
      </c>
      <c r="AM49" s="46">
        <v>110</v>
      </c>
      <c r="AN49" s="46">
        <f t="shared" si="8"/>
        <v>230</v>
      </c>
      <c r="AO49" s="46">
        <v>19</v>
      </c>
      <c r="AP49" s="46">
        <v>17</v>
      </c>
      <c r="AQ49" s="46">
        <f t="shared" si="9"/>
        <v>36</v>
      </c>
      <c r="AR49" s="46">
        <v>12</v>
      </c>
      <c r="AS49" s="46">
        <v>19</v>
      </c>
      <c r="AT49" s="46">
        <f t="shared" si="10"/>
        <v>31</v>
      </c>
      <c r="AU49" s="46">
        <v>2</v>
      </c>
      <c r="AV49" s="46">
        <v>4</v>
      </c>
      <c r="AW49" s="46">
        <f t="shared" si="11"/>
        <v>6</v>
      </c>
      <c r="AX49" s="46">
        <v>1</v>
      </c>
      <c r="AY49" s="46">
        <v>1</v>
      </c>
      <c r="AZ49" s="46">
        <f t="shared" si="12"/>
        <v>2</v>
      </c>
      <c r="BA49" s="46"/>
      <c r="BB49" s="46"/>
      <c r="BC49" s="46">
        <f t="shared" si="13"/>
        <v>0</v>
      </c>
      <c r="BD49" s="46">
        <v>122</v>
      </c>
      <c r="BE49" s="46">
        <v>114</v>
      </c>
      <c r="BF49" s="46">
        <f t="shared" si="15"/>
        <v>236</v>
      </c>
      <c r="BG49" s="46">
        <v>20</v>
      </c>
      <c r="BH49" s="46">
        <v>18</v>
      </c>
      <c r="BI49" s="46">
        <f t="shared" si="17"/>
        <v>38</v>
      </c>
      <c r="BJ49" s="46">
        <v>12</v>
      </c>
      <c r="BK49" s="46">
        <v>19</v>
      </c>
      <c r="BL49" s="46">
        <f t="shared" si="19"/>
        <v>31</v>
      </c>
      <c r="BM49" s="46">
        <f t="shared" si="20"/>
        <v>97.6</v>
      </c>
      <c r="BN49" s="46">
        <f t="shared" si="21"/>
        <v>97.44</v>
      </c>
      <c r="BO49" s="46">
        <f t="shared" si="22"/>
        <v>97.52</v>
      </c>
      <c r="BP49" s="46">
        <f t="shared" si="23"/>
        <v>100</v>
      </c>
      <c r="BQ49" s="46">
        <f t="shared" si="24"/>
        <v>90</v>
      </c>
      <c r="BR49" s="46">
        <f t="shared" si="25"/>
        <v>95</v>
      </c>
      <c r="BS49" s="46">
        <f t="shared" si="26"/>
        <v>92.31</v>
      </c>
      <c r="BT49" s="46">
        <f t="shared" si="27"/>
        <v>95</v>
      </c>
      <c r="BU49" s="46">
        <f t="shared" si="28"/>
        <v>93.94</v>
      </c>
      <c r="BV49" s="46">
        <v>0</v>
      </c>
      <c r="BW49" s="46">
        <v>0</v>
      </c>
      <c r="BX49" s="46">
        <f t="shared" si="29"/>
        <v>0</v>
      </c>
      <c r="BY49" s="46">
        <v>0</v>
      </c>
      <c r="BZ49" s="46">
        <v>0</v>
      </c>
      <c r="CA49" s="46">
        <f t="shared" si="76"/>
        <v>0</v>
      </c>
      <c r="CB49" s="46">
        <v>0</v>
      </c>
      <c r="CC49" s="46">
        <v>0</v>
      </c>
      <c r="CD49" s="46">
        <f t="shared" si="31"/>
        <v>0</v>
      </c>
      <c r="CE49" s="46">
        <v>0</v>
      </c>
      <c r="CF49" s="46">
        <v>0</v>
      </c>
      <c r="CG49" s="46">
        <f t="shared" si="77"/>
        <v>0</v>
      </c>
      <c r="CH49" s="46">
        <v>0</v>
      </c>
      <c r="CI49" s="46">
        <v>0</v>
      </c>
      <c r="CJ49" s="46">
        <f t="shared" si="33"/>
        <v>0</v>
      </c>
      <c r="CK49" s="46">
        <v>0</v>
      </c>
      <c r="CL49" s="46">
        <v>0</v>
      </c>
      <c r="CM49" s="46">
        <f t="shared" si="34"/>
        <v>0</v>
      </c>
      <c r="CN49" s="46">
        <v>0</v>
      </c>
      <c r="CO49" s="46">
        <v>0</v>
      </c>
      <c r="CP49" s="46">
        <f t="shared" si="35"/>
        <v>0</v>
      </c>
      <c r="CQ49" s="46">
        <v>0</v>
      </c>
      <c r="CR49" s="46">
        <v>0</v>
      </c>
      <c r="CS49" s="46">
        <f t="shared" si="36"/>
        <v>0</v>
      </c>
      <c r="CT49" s="46">
        <v>0</v>
      </c>
      <c r="CU49" s="46">
        <v>0</v>
      </c>
      <c r="CV49" s="46">
        <f t="shared" si="37"/>
        <v>0</v>
      </c>
      <c r="CW49" s="46">
        <v>0</v>
      </c>
      <c r="CX49" s="46">
        <v>0</v>
      </c>
      <c r="CY49" s="46">
        <f t="shared" si="39"/>
        <v>0</v>
      </c>
      <c r="CZ49" s="46">
        <v>0</v>
      </c>
      <c r="DA49" s="46">
        <v>0</v>
      </c>
      <c r="DB49" s="46">
        <f t="shared" si="41"/>
        <v>0</v>
      </c>
      <c r="DC49" s="46">
        <v>0</v>
      </c>
      <c r="DD49" s="46">
        <v>0</v>
      </c>
      <c r="DE49" s="46">
        <f t="shared" si="43"/>
        <v>0</v>
      </c>
      <c r="DF49" s="46" t="e">
        <f t="shared" si="44"/>
        <v>#DIV/0!</v>
      </c>
      <c r="DG49" s="46" t="e">
        <f t="shared" si="45"/>
        <v>#DIV/0!</v>
      </c>
      <c r="DH49" s="46" t="e">
        <f t="shared" si="46"/>
        <v>#DIV/0!</v>
      </c>
      <c r="DI49" s="46" t="e">
        <f t="shared" si="47"/>
        <v>#DIV/0!</v>
      </c>
      <c r="DJ49" s="46" t="e">
        <f t="shared" si="48"/>
        <v>#DIV/0!</v>
      </c>
      <c r="DK49" s="46" t="e">
        <f t="shared" si="49"/>
        <v>#DIV/0!</v>
      </c>
      <c r="DL49" s="46" t="e">
        <f t="shared" si="50"/>
        <v>#DIV/0!</v>
      </c>
      <c r="DM49" s="46" t="e">
        <f t="shared" si="51"/>
        <v>#DIV/0!</v>
      </c>
      <c r="DN49" s="46" t="e">
        <f t="shared" si="52"/>
        <v>#DIV/0!</v>
      </c>
      <c r="DO49" s="46">
        <v>93</v>
      </c>
      <c r="DP49" s="46">
        <v>94</v>
      </c>
      <c r="DQ49" s="46">
        <f t="shared" si="78"/>
        <v>187</v>
      </c>
      <c r="DR49" s="46">
        <v>15</v>
      </c>
      <c r="DS49" s="46">
        <v>12</v>
      </c>
      <c r="DT49" s="46">
        <f t="shared" si="79"/>
        <v>27</v>
      </c>
      <c r="DU49" s="46">
        <v>9</v>
      </c>
      <c r="DV49" s="46">
        <v>13</v>
      </c>
      <c r="DW49" s="46">
        <f t="shared" si="80"/>
        <v>22</v>
      </c>
      <c r="DX49" s="46">
        <v>29</v>
      </c>
      <c r="DY49" s="46">
        <v>20</v>
      </c>
      <c r="DZ49" s="46">
        <f t="shared" si="81"/>
        <v>49</v>
      </c>
      <c r="EA49" s="46">
        <v>5</v>
      </c>
      <c r="EB49" s="46">
        <v>6</v>
      </c>
      <c r="EC49" s="46">
        <f t="shared" si="82"/>
        <v>11</v>
      </c>
      <c r="ED49" s="46">
        <v>3</v>
      </c>
      <c r="EE49" s="46">
        <v>6</v>
      </c>
      <c r="EF49" s="46">
        <f t="shared" si="83"/>
        <v>9</v>
      </c>
      <c r="EG49" s="46">
        <f t="shared" si="59"/>
        <v>-242</v>
      </c>
      <c r="EH49" s="46">
        <f t="shared" si="60"/>
        <v>-236</v>
      </c>
      <c r="EI49" s="46">
        <f t="shared" si="84"/>
        <v>0</v>
      </c>
      <c r="EJ49" s="46">
        <f t="shared" si="62"/>
        <v>0</v>
      </c>
      <c r="EK49" s="46">
        <f t="shared" si="63"/>
        <v>0</v>
      </c>
    </row>
    <row r="50" spans="1:14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 t="e">
        <f t="shared" si="3"/>
        <v>#DIV/0!</v>
      </c>
      <c r="U50" s="46">
        <v>5059</v>
      </c>
      <c r="V50" s="46">
        <v>4841</v>
      </c>
      <c r="W50" s="46">
        <v>1506</v>
      </c>
      <c r="X50" s="46">
        <v>489</v>
      </c>
      <c r="Y50" s="46">
        <v>182</v>
      </c>
      <c r="Z50" s="46">
        <v>69</v>
      </c>
      <c r="AA50" s="46">
        <v>42</v>
      </c>
      <c r="AB50" s="47">
        <f t="shared" si="4"/>
        <v>-12188</v>
      </c>
      <c r="AC50" s="46">
        <v>125</v>
      </c>
      <c r="AD50" s="46">
        <v>117</v>
      </c>
      <c r="AE50" s="46">
        <f t="shared" si="5"/>
        <v>242</v>
      </c>
      <c r="AF50" s="46">
        <v>20</v>
      </c>
      <c r="AG50" s="46">
        <v>20</v>
      </c>
      <c r="AH50" s="46">
        <f t="shared" si="6"/>
        <v>40</v>
      </c>
      <c r="AI50" s="46">
        <v>13</v>
      </c>
      <c r="AJ50" s="46">
        <v>20</v>
      </c>
      <c r="AK50" s="46">
        <f t="shared" si="7"/>
        <v>33</v>
      </c>
      <c r="AL50" s="46">
        <v>120</v>
      </c>
      <c r="AM50" s="46">
        <v>110</v>
      </c>
      <c r="AN50" s="46">
        <f t="shared" si="8"/>
        <v>230</v>
      </c>
      <c r="AO50" s="46">
        <v>19</v>
      </c>
      <c r="AP50" s="46">
        <v>17</v>
      </c>
      <c r="AQ50" s="46">
        <f t="shared" si="9"/>
        <v>36</v>
      </c>
      <c r="AR50" s="46">
        <v>12</v>
      </c>
      <c r="AS50" s="46">
        <v>19</v>
      </c>
      <c r="AT50" s="46">
        <f t="shared" si="10"/>
        <v>31</v>
      </c>
      <c r="AU50" s="46">
        <v>2</v>
      </c>
      <c r="AV50" s="46">
        <v>4</v>
      </c>
      <c r="AW50" s="46">
        <f t="shared" si="11"/>
        <v>6</v>
      </c>
      <c r="AX50" s="46">
        <v>1</v>
      </c>
      <c r="AY50" s="46">
        <v>1</v>
      </c>
      <c r="AZ50" s="46">
        <f t="shared" si="12"/>
        <v>2</v>
      </c>
      <c r="BA50" s="46"/>
      <c r="BB50" s="46"/>
      <c r="BC50" s="46">
        <f t="shared" si="13"/>
        <v>0</v>
      </c>
      <c r="BD50" s="46">
        <v>122</v>
      </c>
      <c r="BE50" s="46">
        <v>114</v>
      </c>
      <c r="BF50" s="46">
        <f t="shared" si="15"/>
        <v>236</v>
      </c>
      <c r="BG50" s="46">
        <v>20</v>
      </c>
      <c r="BH50" s="46">
        <v>18</v>
      </c>
      <c r="BI50" s="46">
        <f t="shared" si="17"/>
        <v>38</v>
      </c>
      <c r="BJ50" s="46">
        <v>12</v>
      </c>
      <c r="BK50" s="46">
        <v>19</v>
      </c>
      <c r="BL50" s="46">
        <f t="shared" si="19"/>
        <v>31</v>
      </c>
      <c r="BM50" s="46">
        <f t="shared" si="20"/>
        <v>97.6</v>
      </c>
      <c r="BN50" s="46">
        <f t="shared" si="21"/>
        <v>97.44</v>
      </c>
      <c r="BO50" s="46">
        <f t="shared" si="22"/>
        <v>97.52</v>
      </c>
      <c r="BP50" s="46">
        <f t="shared" si="23"/>
        <v>100</v>
      </c>
      <c r="BQ50" s="46">
        <f t="shared" si="24"/>
        <v>90</v>
      </c>
      <c r="BR50" s="46">
        <f t="shared" si="25"/>
        <v>95</v>
      </c>
      <c r="BS50" s="46">
        <f t="shared" si="26"/>
        <v>92.31</v>
      </c>
      <c r="BT50" s="46">
        <f t="shared" si="27"/>
        <v>95</v>
      </c>
      <c r="BU50" s="46">
        <f t="shared" si="28"/>
        <v>93.94</v>
      </c>
      <c r="BV50" s="46">
        <v>0</v>
      </c>
      <c r="BW50" s="46">
        <v>0</v>
      </c>
      <c r="BX50" s="46">
        <f t="shared" si="29"/>
        <v>0</v>
      </c>
      <c r="BY50" s="46">
        <v>0</v>
      </c>
      <c r="BZ50" s="46">
        <v>0</v>
      </c>
      <c r="CA50" s="46">
        <f t="shared" si="76"/>
        <v>0</v>
      </c>
      <c r="CB50" s="46">
        <v>0</v>
      </c>
      <c r="CC50" s="46">
        <v>0</v>
      </c>
      <c r="CD50" s="46">
        <f t="shared" si="31"/>
        <v>0</v>
      </c>
      <c r="CE50" s="46">
        <v>0</v>
      </c>
      <c r="CF50" s="46">
        <v>0</v>
      </c>
      <c r="CG50" s="46">
        <f t="shared" si="77"/>
        <v>0</v>
      </c>
      <c r="CH50" s="46">
        <v>0</v>
      </c>
      <c r="CI50" s="46">
        <v>0</v>
      </c>
      <c r="CJ50" s="46">
        <f t="shared" si="33"/>
        <v>0</v>
      </c>
      <c r="CK50" s="46">
        <v>0</v>
      </c>
      <c r="CL50" s="46">
        <v>0</v>
      </c>
      <c r="CM50" s="46">
        <f t="shared" si="34"/>
        <v>0</v>
      </c>
      <c r="CN50" s="46">
        <v>0</v>
      </c>
      <c r="CO50" s="46">
        <v>0</v>
      </c>
      <c r="CP50" s="46">
        <f t="shared" si="35"/>
        <v>0</v>
      </c>
      <c r="CQ50" s="46">
        <v>0</v>
      </c>
      <c r="CR50" s="46">
        <v>0</v>
      </c>
      <c r="CS50" s="46">
        <f t="shared" si="36"/>
        <v>0</v>
      </c>
      <c r="CT50" s="46">
        <v>0</v>
      </c>
      <c r="CU50" s="46">
        <v>0</v>
      </c>
      <c r="CV50" s="46">
        <f t="shared" si="37"/>
        <v>0</v>
      </c>
      <c r="CW50" s="46">
        <v>0</v>
      </c>
      <c r="CX50" s="46">
        <v>0</v>
      </c>
      <c r="CY50" s="46">
        <f t="shared" si="39"/>
        <v>0</v>
      </c>
      <c r="CZ50" s="46">
        <v>0</v>
      </c>
      <c r="DA50" s="46">
        <v>0</v>
      </c>
      <c r="DB50" s="46">
        <f t="shared" si="41"/>
        <v>0</v>
      </c>
      <c r="DC50" s="46">
        <v>0</v>
      </c>
      <c r="DD50" s="46">
        <v>0</v>
      </c>
      <c r="DE50" s="46">
        <f t="shared" si="43"/>
        <v>0</v>
      </c>
      <c r="DF50" s="46" t="e">
        <f t="shared" si="44"/>
        <v>#DIV/0!</v>
      </c>
      <c r="DG50" s="46" t="e">
        <f t="shared" si="45"/>
        <v>#DIV/0!</v>
      </c>
      <c r="DH50" s="46" t="e">
        <f t="shared" si="46"/>
        <v>#DIV/0!</v>
      </c>
      <c r="DI50" s="46" t="e">
        <f t="shared" si="47"/>
        <v>#DIV/0!</v>
      </c>
      <c r="DJ50" s="46" t="e">
        <f t="shared" si="48"/>
        <v>#DIV/0!</v>
      </c>
      <c r="DK50" s="46" t="e">
        <f t="shared" si="49"/>
        <v>#DIV/0!</v>
      </c>
      <c r="DL50" s="46" t="e">
        <f t="shared" si="50"/>
        <v>#DIV/0!</v>
      </c>
      <c r="DM50" s="46" t="e">
        <f t="shared" si="51"/>
        <v>#DIV/0!</v>
      </c>
      <c r="DN50" s="46" t="e">
        <f t="shared" si="52"/>
        <v>#DIV/0!</v>
      </c>
      <c r="DO50" s="46">
        <v>93</v>
      </c>
      <c r="DP50" s="46">
        <v>94</v>
      </c>
      <c r="DQ50" s="46">
        <f t="shared" si="78"/>
        <v>187</v>
      </c>
      <c r="DR50" s="46">
        <v>15</v>
      </c>
      <c r="DS50" s="46">
        <v>12</v>
      </c>
      <c r="DT50" s="46">
        <f t="shared" si="79"/>
        <v>27</v>
      </c>
      <c r="DU50" s="46">
        <v>9</v>
      </c>
      <c r="DV50" s="46">
        <v>13</v>
      </c>
      <c r="DW50" s="46">
        <f t="shared" si="80"/>
        <v>22</v>
      </c>
      <c r="DX50" s="46">
        <v>29</v>
      </c>
      <c r="DY50" s="46">
        <v>20</v>
      </c>
      <c r="DZ50" s="46">
        <f t="shared" si="81"/>
        <v>49</v>
      </c>
      <c r="EA50" s="46">
        <v>5</v>
      </c>
      <c r="EB50" s="46">
        <v>6</v>
      </c>
      <c r="EC50" s="46">
        <f t="shared" si="82"/>
        <v>11</v>
      </c>
      <c r="ED50" s="46">
        <v>3</v>
      </c>
      <c r="EE50" s="46">
        <v>6</v>
      </c>
      <c r="EF50" s="46">
        <f t="shared" si="83"/>
        <v>9</v>
      </c>
      <c r="EG50" s="46">
        <f t="shared" si="59"/>
        <v>-242</v>
      </c>
      <c r="EH50" s="46">
        <f t="shared" si="60"/>
        <v>-236</v>
      </c>
      <c r="EI50" s="46">
        <f t="shared" si="84"/>
        <v>0</v>
      </c>
      <c r="EJ50" s="46">
        <f t="shared" si="62"/>
        <v>0</v>
      </c>
      <c r="EK50" s="46">
        <f t="shared" si="63"/>
        <v>0</v>
      </c>
    </row>
  </sheetData>
  <protectedRanges>
    <protectedRange sqref="AC4:AD4 AC10:AD12 AC6:AD6 AC16:AD18" name="Range1_1"/>
    <protectedRange sqref="AC7:AD7" name="Range1_1_2"/>
    <protectedRange sqref="AC8:AD8" name="Range1_1_3"/>
    <protectedRange sqref="AC9:AD9" name="Range1_1_4"/>
    <protectedRange sqref="AC13:AD14" name="Range1_1_5"/>
    <protectedRange sqref="AC15:AD15" name="Range1_1_6"/>
    <protectedRange sqref="AC5:AD5" name="Range1_1_7"/>
    <protectedRange sqref="AC19:AD19" name="Range1_1_8"/>
  </protectedRanges>
  <autoFilter ref="A2:EL2">
    <sortState ref="A3:EL50">
      <sortCondition ref="B2"/>
    </sortState>
  </autoFilter>
  <mergeCells count="20">
    <mergeCell ref="CW1:DE1"/>
    <mergeCell ref="D1:E1"/>
    <mergeCell ref="F1:G1"/>
    <mergeCell ref="DO1:DW1"/>
    <mergeCell ref="DX1:EF1"/>
    <mergeCell ref="EI1:EK1"/>
    <mergeCell ref="H1:K1"/>
    <mergeCell ref="L1:O1"/>
    <mergeCell ref="P1:T1"/>
    <mergeCell ref="U1:AB1"/>
    <mergeCell ref="DF1:DN1"/>
    <mergeCell ref="EG1:EH1"/>
    <mergeCell ref="AC1:AK1"/>
    <mergeCell ref="AL1:AT1"/>
    <mergeCell ref="AU1:BC1"/>
    <mergeCell ref="BD1:BL1"/>
    <mergeCell ref="BV1:CD1"/>
    <mergeCell ref="CE1:CM1"/>
    <mergeCell ref="BM1:BU1"/>
    <mergeCell ref="CN1:CV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Z10"/>
  <sheetViews>
    <sheetView topLeftCell="P1" workbookViewId="0">
      <selection activeCell="O42" sqref="O42"/>
    </sheetView>
  </sheetViews>
  <sheetFormatPr defaultRowHeight="15"/>
  <cols>
    <col min="3" max="4" width="9.140625" customWidth="1"/>
  </cols>
  <sheetData>
    <row r="4" spans="2:26">
      <c r="C4" s="674" t="s">
        <v>403</v>
      </c>
      <c r="D4" s="674"/>
      <c r="E4" s="674"/>
      <c r="F4" s="674"/>
      <c r="G4" s="674"/>
      <c r="H4" s="674"/>
      <c r="I4" s="674" t="s">
        <v>37</v>
      </c>
      <c r="J4" s="674"/>
      <c r="K4" s="674"/>
      <c r="L4" s="674"/>
      <c r="M4" s="674"/>
      <c r="N4" s="674"/>
      <c r="O4" s="674" t="s">
        <v>38</v>
      </c>
      <c r="P4" s="674"/>
      <c r="Q4" s="674"/>
      <c r="R4" s="674"/>
      <c r="S4" s="674"/>
      <c r="T4" s="674"/>
      <c r="U4" s="674" t="s">
        <v>368</v>
      </c>
      <c r="V4" s="674"/>
      <c r="W4" s="674"/>
      <c r="X4" s="674"/>
      <c r="Y4" s="674"/>
      <c r="Z4" s="674"/>
    </row>
    <row r="5" spans="2:26">
      <c r="C5" s="600" t="s">
        <v>5</v>
      </c>
      <c r="D5" s="600"/>
      <c r="E5" s="600"/>
      <c r="F5" s="600" t="s">
        <v>6</v>
      </c>
      <c r="G5" s="600"/>
      <c r="H5" s="600"/>
      <c r="I5" s="600" t="s">
        <v>5</v>
      </c>
      <c r="J5" s="600"/>
      <c r="K5" s="600"/>
      <c r="L5" s="600" t="s">
        <v>6</v>
      </c>
      <c r="M5" s="600"/>
      <c r="N5" s="600"/>
      <c r="O5" s="600" t="s">
        <v>5</v>
      </c>
      <c r="P5" s="600"/>
      <c r="Q5" s="600"/>
      <c r="R5" s="600" t="s">
        <v>6</v>
      </c>
      <c r="S5" s="600"/>
      <c r="T5" s="600"/>
      <c r="U5" s="600" t="s">
        <v>5</v>
      </c>
      <c r="V5" s="600"/>
      <c r="W5" s="600"/>
      <c r="X5" s="600" t="s">
        <v>6</v>
      </c>
      <c r="Y5" s="600"/>
      <c r="Z5" s="600"/>
    </row>
    <row r="6" spans="2:26"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</row>
    <row r="7" spans="2:26">
      <c r="C7" s="465" t="s">
        <v>43</v>
      </c>
      <c r="D7" s="465" t="s">
        <v>44</v>
      </c>
      <c r="E7" s="465" t="s">
        <v>3</v>
      </c>
      <c r="F7" s="465" t="s">
        <v>43</v>
      </c>
      <c r="G7" s="465" t="s">
        <v>44</v>
      </c>
      <c r="H7" s="465" t="s">
        <v>3</v>
      </c>
      <c r="I7" s="465" t="s">
        <v>43</v>
      </c>
      <c r="J7" s="465" t="s">
        <v>44</v>
      </c>
      <c r="K7" s="465" t="s">
        <v>3</v>
      </c>
      <c r="L7" s="465" t="s">
        <v>43</v>
      </c>
      <c r="M7" s="465" t="s">
        <v>44</v>
      </c>
      <c r="N7" s="465" t="s">
        <v>3</v>
      </c>
      <c r="O7" s="465" t="s">
        <v>43</v>
      </c>
      <c r="P7" s="465" t="s">
        <v>44</v>
      </c>
      <c r="Q7" s="465" t="s">
        <v>3</v>
      </c>
      <c r="R7" s="465" t="s">
        <v>43</v>
      </c>
      <c r="S7" s="465" t="s">
        <v>44</v>
      </c>
      <c r="T7" s="465" t="s">
        <v>3</v>
      </c>
      <c r="U7" s="465" t="s">
        <v>43</v>
      </c>
      <c r="V7" s="465" t="s">
        <v>44</v>
      </c>
      <c r="W7" s="465" t="s">
        <v>3</v>
      </c>
      <c r="X7" s="465" t="s">
        <v>43</v>
      </c>
      <c r="Y7" s="465" t="s">
        <v>44</v>
      </c>
      <c r="Z7" s="465" t="s">
        <v>3</v>
      </c>
    </row>
    <row r="8" spans="2:26">
      <c r="B8" t="s">
        <v>404</v>
      </c>
      <c r="C8">
        <v>9424869</v>
      </c>
      <c r="D8">
        <v>8387614</v>
      </c>
      <c r="E8">
        <v>17812483</v>
      </c>
      <c r="F8">
        <v>7289826</v>
      </c>
      <c r="G8">
        <v>6636470</v>
      </c>
      <c r="H8">
        <v>14357458</v>
      </c>
      <c r="I8">
        <v>1653874</v>
      </c>
      <c r="J8">
        <v>1494270</v>
      </c>
      <c r="K8">
        <v>3192129</v>
      </c>
      <c r="L8">
        <v>1211617</v>
      </c>
      <c r="M8">
        <v>1112799</v>
      </c>
      <c r="N8">
        <v>2366289</v>
      </c>
      <c r="O8">
        <v>663907</v>
      </c>
      <c r="P8">
        <v>656576</v>
      </c>
      <c r="Q8">
        <v>1328591</v>
      </c>
      <c r="R8">
        <v>475339</v>
      </c>
      <c r="S8">
        <v>470160</v>
      </c>
      <c r="T8">
        <v>952554</v>
      </c>
      <c r="U8">
        <v>3385321</v>
      </c>
      <c r="V8">
        <v>3023699</v>
      </c>
      <c r="W8">
        <v>6705040</v>
      </c>
      <c r="X8">
        <v>2783118</v>
      </c>
      <c r="Y8">
        <v>2540370</v>
      </c>
      <c r="Z8">
        <v>5623502</v>
      </c>
    </row>
    <row r="9" spans="2:26">
      <c r="B9" t="s">
        <v>402</v>
      </c>
      <c r="C9">
        <v>464600</v>
      </c>
      <c r="D9">
        <v>260884</v>
      </c>
      <c r="E9">
        <v>725484</v>
      </c>
      <c r="F9">
        <v>240922</v>
      </c>
      <c r="G9">
        <v>148726</v>
      </c>
      <c r="H9">
        <v>389648</v>
      </c>
      <c r="I9">
        <v>75174</v>
      </c>
      <c r="J9">
        <v>37986</v>
      </c>
      <c r="K9">
        <v>113160</v>
      </c>
      <c r="L9">
        <v>37623</v>
      </c>
      <c r="M9">
        <v>22858</v>
      </c>
      <c r="N9">
        <v>60481</v>
      </c>
      <c r="O9">
        <v>44918</v>
      </c>
      <c r="P9">
        <v>37553</v>
      </c>
      <c r="Q9">
        <v>82471</v>
      </c>
      <c r="R9">
        <v>25552</v>
      </c>
      <c r="S9">
        <v>22282</v>
      </c>
      <c r="T9">
        <v>47834</v>
      </c>
      <c r="U9">
        <v>82155</v>
      </c>
      <c r="V9">
        <v>42230</v>
      </c>
      <c r="W9">
        <v>124385</v>
      </c>
      <c r="X9">
        <v>49154</v>
      </c>
      <c r="Y9">
        <v>32231</v>
      </c>
      <c r="Z9">
        <v>81385</v>
      </c>
    </row>
    <row r="10" spans="2:26">
      <c r="B10" t="s">
        <v>405</v>
      </c>
      <c r="C10">
        <f>SUM(C8:C9)</f>
        <v>9889469</v>
      </c>
      <c r="D10">
        <f t="shared" ref="D10:Z10" si="0">SUM(D8:D9)</f>
        <v>8648498</v>
      </c>
      <c r="E10">
        <f t="shared" si="0"/>
        <v>18537967</v>
      </c>
      <c r="F10">
        <f t="shared" si="0"/>
        <v>7530748</v>
      </c>
      <c r="G10">
        <f t="shared" si="0"/>
        <v>6785196</v>
      </c>
      <c r="H10">
        <f t="shared" si="0"/>
        <v>14747106</v>
      </c>
      <c r="I10">
        <f t="shared" si="0"/>
        <v>1729048</v>
      </c>
      <c r="J10">
        <f t="shared" si="0"/>
        <v>1532256</v>
      </c>
      <c r="K10">
        <f t="shared" si="0"/>
        <v>3305289</v>
      </c>
      <c r="L10">
        <f t="shared" si="0"/>
        <v>1249240</v>
      </c>
      <c r="M10">
        <f t="shared" si="0"/>
        <v>1135657</v>
      </c>
      <c r="N10">
        <f t="shared" si="0"/>
        <v>2426770</v>
      </c>
      <c r="O10">
        <f t="shared" si="0"/>
        <v>708825</v>
      </c>
      <c r="P10">
        <f t="shared" si="0"/>
        <v>694129</v>
      </c>
      <c r="Q10">
        <f t="shared" si="0"/>
        <v>1411062</v>
      </c>
      <c r="R10">
        <f t="shared" si="0"/>
        <v>500891</v>
      </c>
      <c r="S10">
        <f t="shared" si="0"/>
        <v>492442</v>
      </c>
      <c r="T10">
        <f t="shared" si="0"/>
        <v>1000388</v>
      </c>
      <c r="U10">
        <f t="shared" si="0"/>
        <v>3467476</v>
      </c>
      <c r="V10">
        <f t="shared" si="0"/>
        <v>3065929</v>
      </c>
      <c r="W10">
        <f t="shared" si="0"/>
        <v>6829425</v>
      </c>
      <c r="X10">
        <f t="shared" si="0"/>
        <v>2832272</v>
      </c>
      <c r="Y10">
        <f t="shared" si="0"/>
        <v>2572601</v>
      </c>
      <c r="Z10">
        <f t="shared" si="0"/>
        <v>5704887</v>
      </c>
    </row>
  </sheetData>
  <mergeCells count="12">
    <mergeCell ref="C4:H4"/>
    <mergeCell ref="I4:N4"/>
    <mergeCell ref="O4:T4"/>
    <mergeCell ref="U4:Z4"/>
    <mergeCell ref="U5:W6"/>
    <mergeCell ref="X5:Z6"/>
    <mergeCell ref="C5:E6"/>
    <mergeCell ref="F5:H6"/>
    <mergeCell ref="I5:K6"/>
    <mergeCell ref="L5:N6"/>
    <mergeCell ref="O5:Q6"/>
    <mergeCell ref="R5:T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1"/>
  <sheetViews>
    <sheetView workbookViewId="0">
      <selection activeCell="O42" sqref="O42"/>
    </sheetView>
  </sheetViews>
  <sheetFormatPr defaultRowHeight="15"/>
  <cols>
    <col min="4" max="4" width="10.85546875" customWidth="1"/>
    <col min="5" max="5" width="10.5703125" customWidth="1"/>
    <col min="7" max="7" width="10.5703125" customWidth="1"/>
  </cols>
  <sheetData>
    <row r="2" spans="1:10">
      <c r="B2" t="s">
        <v>412</v>
      </c>
      <c r="E2" t="s">
        <v>413</v>
      </c>
    </row>
    <row r="3" spans="1:10" ht="15.75" thickBot="1">
      <c r="B3" t="s">
        <v>409</v>
      </c>
      <c r="C3" t="s">
        <v>410</v>
      </c>
      <c r="D3" t="s">
        <v>411</v>
      </c>
      <c r="E3" t="s">
        <v>409</v>
      </c>
      <c r="F3" t="s">
        <v>410</v>
      </c>
      <c r="G3" t="s">
        <v>411</v>
      </c>
    </row>
    <row r="4" spans="1:10" ht="15.75" thickBot="1">
      <c r="A4">
        <v>2018</v>
      </c>
      <c r="B4" s="477">
        <v>9889469</v>
      </c>
      <c r="C4" s="478">
        <v>8648498</v>
      </c>
      <c r="D4" s="478">
        <v>18537967</v>
      </c>
      <c r="E4" s="478">
        <v>7530748</v>
      </c>
      <c r="F4" s="478">
        <v>6785196</v>
      </c>
      <c r="G4" s="478">
        <v>14747106</v>
      </c>
      <c r="H4" s="479">
        <f>E4/B4</f>
        <v>0.76149164328236429</v>
      </c>
      <c r="I4" s="479">
        <f>F4/C4</f>
        <v>0.78455195341433859</v>
      </c>
      <c r="J4" s="479">
        <f t="shared" ref="J4" si="0">G4/D4</f>
        <v>0.79550826689895393</v>
      </c>
    </row>
    <row r="5" spans="1:10" ht="15.75" thickBot="1"/>
    <row r="6" spans="1:10" ht="15.75" thickBot="1">
      <c r="B6" s="480">
        <v>7236431</v>
      </c>
      <c r="C6" s="481">
        <v>6318212</v>
      </c>
      <c r="D6" s="481">
        <v>13914895</v>
      </c>
      <c r="E6" s="481">
        <v>5500051</v>
      </c>
      <c r="F6" s="481">
        <v>5374003</v>
      </c>
      <c r="G6" s="481">
        <v>10874054</v>
      </c>
      <c r="H6" s="479">
        <f>E6/B6</f>
        <v>0.76005022365306873</v>
      </c>
      <c r="I6" s="479">
        <f>F6/C6</f>
        <v>0.85055756280416039</v>
      </c>
      <c r="J6" s="479">
        <f t="shared" ref="J6" si="1">G6/D6</f>
        <v>0.78146863486932527</v>
      </c>
    </row>
    <row r="10" spans="1:10">
      <c r="B10">
        <f>49.73/45.53</f>
        <v>1.0922468701954755</v>
      </c>
    </row>
    <row r="11" spans="1:10">
      <c r="B11">
        <f>48.25/41.81</f>
        <v>1.1540301363310213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S51"/>
  <sheetViews>
    <sheetView topLeftCell="B1" workbookViewId="0">
      <selection activeCell="O10" sqref="O10"/>
    </sheetView>
  </sheetViews>
  <sheetFormatPr defaultRowHeight="15"/>
  <cols>
    <col min="2" max="2" width="9.140625" style="521"/>
    <col min="3" max="3" width="33.85546875" style="521" customWidth="1"/>
  </cols>
  <sheetData>
    <row r="3" spans="2:19" ht="15" customHeight="1">
      <c r="B3" s="675" t="s">
        <v>192</v>
      </c>
      <c r="C3" s="676" t="s">
        <v>42</v>
      </c>
      <c r="D3" s="522" t="s">
        <v>188</v>
      </c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 t="s">
        <v>189</v>
      </c>
      <c r="Q3" s="522"/>
      <c r="R3" s="522"/>
    </row>
    <row r="4" spans="2:19">
      <c r="B4" s="675"/>
      <c r="C4" s="676"/>
      <c r="D4" s="522" t="s">
        <v>5</v>
      </c>
      <c r="E4" s="522"/>
      <c r="F4" s="522"/>
      <c r="G4" s="522" t="s">
        <v>6</v>
      </c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</row>
    <row r="5" spans="2:19">
      <c r="B5" s="675"/>
      <c r="C5" s="676"/>
      <c r="D5" s="522"/>
      <c r="E5" s="522"/>
      <c r="F5" s="522"/>
      <c r="G5" s="522" t="s">
        <v>51</v>
      </c>
      <c r="H5" s="522"/>
      <c r="I5" s="522"/>
      <c r="J5" s="522" t="s">
        <v>190</v>
      </c>
      <c r="K5" s="522"/>
      <c r="L5" s="522"/>
      <c r="M5" s="522" t="s">
        <v>191</v>
      </c>
      <c r="N5" s="522"/>
      <c r="O5" s="522"/>
      <c r="P5" s="522"/>
      <c r="Q5" s="522"/>
      <c r="R5" s="522"/>
    </row>
    <row r="6" spans="2:19">
      <c r="B6" s="675"/>
      <c r="C6" s="676"/>
      <c r="D6" s="522" t="s">
        <v>43</v>
      </c>
      <c r="E6" s="522" t="s">
        <v>44</v>
      </c>
      <c r="F6" s="522" t="s">
        <v>3</v>
      </c>
      <c r="G6" s="522" t="s">
        <v>43</v>
      </c>
      <c r="H6" s="522" t="s">
        <v>44</v>
      </c>
      <c r="I6" s="522" t="s">
        <v>3</v>
      </c>
      <c r="J6" s="522" t="s">
        <v>43</v>
      </c>
      <c r="K6" s="522" t="s">
        <v>44</v>
      </c>
      <c r="L6" s="522" t="s">
        <v>3</v>
      </c>
      <c r="M6" s="522" t="s">
        <v>43</v>
      </c>
      <c r="N6" s="522" t="s">
        <v>44</v>
      </c>
      <c r="O6" s="522" t="s">
        <v>3</v>
      </c>
      <c r="P6" s="522" t="s">
        <v>43</v>
      </c>
      <c r="Q6" s="522" t="s">
        <v>44</v>
      </c>
      <c r="R6" s="522" t="s">
        <v>3</v>
      </c>
      <c r="S6" s="523" t="s">
        <v>435</v>
      </c>
    </row>
    <row r="7" spans="2:19">
      <c r="B7" s="517">
        <v>1</v>
      </c>
      <c r="C7" s="518">
        <v>2</v>
      </c>
      <c r="D7" s="522">
        <v>3</v>
      </c>
      <c r="E7" s="522">
        <v>4</v>
      </c>
      <c r="F7" s="522">
        <v>5</v>
      </c>
      <c r="G7" s="522">
        <v>6</v>
      </c>
      <c r="H7" s="522">
        <v>7</v>
      </c>
      <c r="I7" s="522">
        <v>8</v>
      </c>
      <c r="J7" s="522">
        <v>9</v>
      </c>
      <c r="K7" s="522">
        <v>10</v>
      </c>
      <c r="L7" s="522">
        <v>11</v>
      </c>
      <c r="M7" s="522">
        <v>12</v>
      </c>
      <c r="N7" s="522">
        <v>13</v>
      </c>
      <c r="O7" s="522">
        <v>14</v>
      </c>
      <c r="P7" s="522">
        <v>15</v>
      </c>
      <c r="Q7" s="522">
        <v>16</v>
      </c>
      <c r="R7" s="522">
        <v>17</v>
      </c>
    </row>
    <row r="8" spans="2:19">
      <c r="B8" s="677" t="s">
        <v>216</v>
      </c>
      <c r="C8" s="677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2:19" ht="28.5">
      <c r="B9" s="519">
        <v>1</v>
      </c>
      <c r="C9" s="514" t="s">
        <v>143</v>
      </c>
      <c r="D9" s="522">
        <v>945952</v>
      </c>
      <c r="E9" s="522">
        <v>655044</v>
      </c>
      <c r="F9" s="522">
        <v>1600996</v>
      </c>
      <c r="G9" s="522">
        <v>805600</v>
      </c>
      <c r="H9" s="522">
        <v>579618</v>
      </c>
      <c r="I9" s="522">
        <v>1385218</v>
      </c>
      <c r="J9" s="522">
        <v>40099</v>
      </c>
      <c r="K9" s="522">
        <v>23764</v>
      </c>
      <c r="L9" s="522">
        <v>63863</v>
      </c>
      <c r="M9" s="522">
        <v>845699</v>
      </c>
      <c r="N9" s="522">
        <v>603382</v>
      </c>
      <c r="O9" s="522">
        <v>1449081</v>
      </c>
      <c r="P9" s="116">
        <f t="shared" ref="P9:R10" si="0">M9/D9</f>
        <v>0.89401893542167044</v>
      </c>
      <c r="Q9" s="116">
        <f t="shared" si="0"/>
        <v>0.92113201555926016</v>
      </c>
      <c r="R9" s="116">
        <f t="shared" si="0"/>
        <v>0.90511219266006915</v>
      </c>
      <c r="S9" s="100">
        <v>64.48562916772768</v>
      </c>
    </row>
    <row r="10" spans="2:19" ht="28.5">
      <c r="B10" s="519">
        <v>2</v>
      </c>
      <c r="C10" s="514" t="s">
        <v>215</v>
      </c>
      <c r="D10" s="522">
        <v>100363</v>
      </c>
      <c r="E10" s="522">
        <v>83024</v>
      </c>
      <c r="F10" s="522">
        <v>183387</v>
      </c>
      <c r="G10" s="522">
        <v>98523</v>
      </c>
      <c r="H10" s="522">
        <v>82156</v>
      </c>
      <c r="I10" s="522">
        <v>180679</v>
      </c>
      <c r="J10" s="522"/>
      <c r="K10" s="522"/>
      <c r="L10" s="522"/>
      <c r="M10" s="522">
        <v>98523</v>
      </c>
      <c r="N10" s="522">
        <v>82156</v>
      </c>
      <c r="O10" s="522">
        <v>180679</v>
      </c>
      <c r="P10" s="116">
        <f t="shared" si="0"/>
        <v>0.98166655042196826</v>
      </c>
      <c r="Q10" s="116">
        <f t="shared" si="0"/>
        <v>0.98954519175178257</v>
      </c>
      <c r="R10" s="116">
        <f t="shared" si="0"/>
        <v>0.98523341349168703</v>
      </c>
      <c r="S10" s="100">
        <v>90.640306842521824</v>
      </c>
    </row>
    <row r="11" spans="2:19" ht="28.5">
      <c r="B11" s="519">
        <v>3</v>
      </c>
      <c r="C11" s="515" t="s">
        <v>424</v>
      </c>
      <c r="D11" s="522">
        <v>329337</v>
      </c>
      <c r="E11" s="522">
        <v>312071</v>
      </c>
      <c r="F11" s="522">
        <v>641408</v>
      </c>
      <c r="G11" s="522">
        <v>302846</v>
      </c>
      <c r="H11" s="522">
        <v>287528</v>
      </c>
      <c r="I11" s="522">
        <v>590374</v>
      </c>
      <c r="J11" s="522"/>
      <c r="K11" s="522"/>
      <c r="L11" s="522"/>
      <c r="M11" s="522">
        <v>302846</v>
      </c>
      <c r="N11" s="522">
        <v>287528</v>
      </c>
      <c r="O11" s="522">
        <v>590374</v>
      </c>
      <c r="P11" s="116">
        <f>M11/D11</f>
        <v>0.91956263644837966</v>
      </c>
      <c r="Q11" s="116">
        <f>N11/E11</f>
        <v>0.9213544353688744</v>
      </c>
      <c r="R11" s="116">
        <f>O11/F11</f>
        <v>0.92043441927758929</v>
      </c>
      <c r="S11" s="379">
        <v>95.454406867511096</v>
      </c>
    </row>
    <row r="12" spans="2:19" ht="28.5">
      <c r="B12" s="519">
        <v>4</v>
      </c>
      <c r="C12" s="514" t="s">
        <v>388</v>
      </c>
      <c r="D12" s="522">
        <v>274451</v>
      </c>
      <c r="E12" s="522">
        <v>260275</v>
      </c>
      <c r="F12" s="522">
        <v>534726</v>
      </c>
      <c r="G12" s="522">
        <v>215551</v>
      </c>
      <c r="H12" s="522">
        <v>215589</v>
      </c>
      <c r="I12" s="522">
        <v>431140</v>
      </c>
      <c r="J12" s="522">
        <v>26505</v>
      </c>
      <c r="K12" s="522">
        <v>22158</v>
      </c>
      <c r="L12" s="522">
        <v>48663</v>
      </c>
      <c r="M12" s="522">
        <v>242056</v>
      </c>
      <c r="N12" s="522">
        <v>237747</v>
      </c>
      <c r="O12" s="522">
        <v>479803</v>
      </c>
      <c r="P12" s="116">
        <f t="shared" ref="P12" si="1">M12/D12</f>
        <v>0.88196435793638939</v>
      </c>
      <c r="Q12" s="116">
        <f>N12/E12</f>
        <v>0.91344539429449623</v>
      </c>
      <c r="R12" s="116">
        <f>O12/F12</f>
        <v>0.89728758279941501</v>
      </c>
      <c r="S12" s="407"/>
    </row>
    <row r="13" spans="2:19" ht="28.5">
      <c r="B13" s="519">
        <v>5</v>
      </c>
      <c r="C13" s="514" t="s">
        <v>134</v>
      </c>
      <c r="D13" s="522">
        <v>172012</v>
      </c>
      <c r="E13" s="522">
        <v>181546</v>
      </c>
      <c r="F13" s="522">
        <v>353558</v>
      </c>
      <c r="G13" s="522">
        <v>99282</v>
      </c>
      <c r="H13" s="522">
        <v>94567</v>
      </c>
      <c r="I13" s="522">
        <v>193849</v>
      </c>
      <c r="J13" s="522">
        <v>9628</v>
      </c>
      <c r="K13" s="522">
        <v>11899</v>
      </c>
      <c r="L13" s="522">
        <v>21527</v>
      </c>
      <c r="M13" s="522">
        <v>108910</v>
      </c>
      <c r="N13" s="522">
        <v>106466</v>
      </c>
      <c r="O13" s="522">
        <v>215376</v>
      </c>
      <c r="P13" s="116">
        <f>M13/D13</f>
        <v>0.63315350091854061</v>
      </c>
      <c r="Q13" s="116">
        <f>N13/E13</f>
        <v>0.58644090203033938</v>
      </c>
      <c r="R13" s="116">
        <f>O13/F13</f>
        <v>0.6091673784782129</v>
      </c>
      <c r="S13" s="100">
        <v>28.90479904910482</v>
      </c>
    </row>
    <row r="14" spans="2:19">
      <c r="B14" s="519">
        <v>6</v>
      </c>
      <c r="C14" s="514" t="s">
        <v>136</v>
      </c>
      <c r="D14" s="522">
        <v>20</v>
      </c>
      <c r="E14" s="522">
        <v>295</v>
      </c>
      <c r="F14" s="522">
        <v>315</v>
      </c>
      <c r="G14" s="522">
        <v>20</v>
      </c>
      <c r="H14" s="522">
        <v>290</v>
      </c>
      <c r="I14" s="522">
        <v>310</v>
      </c>
      <c r="J14" s="522"/>
      <c r="K14" s="522"/>
      <c r="L14" s="522"/>
      <c r="M14" s="522">
        <v>20</v>
      </c>
      <c r="N14" s="522">
        <v>290</v>
      </c>
      <c r="O14" s="522">
        <v>310</v>
      </c>
      <c r="P14" s="116">
        <f t="shared" ref="P14:R43" si="2">M14/D14</f>
        <v>1</v>
      </c>
      <c r="Q14" s="116">
        <f t="shared" si="2"/>
        <v>0.98305084745762716</v>
      </c>
      <c r="R14" s="116">
        <f t="shared" si="2"/>
        <v>0.98412698412698407</v>
      </c>
      <c r="S14" s="100">
        <v>82.258064516129039</v>
      </c>
    </row>
    <row r="15" spans="2:19" ht="28.5">
      <c r="B15" s="519">
        <v>7</v>
      </c>
      <c r="C15" s="514" t="s">
        <v>376</v>
      </c>
      <c r="D15" s="522">
        <v>892283</v>
      </c>
      <c r="E15" s="522">
        <v>877542</v>
      </c>
      <c r="F15" s="522">
        <v>1769825</v>
      </c>
      <c r="G15" s="522">
        <v>665319</v>
      </c>
      <c r="H15" s="522">
        <v>550275</v>
      </c>
      <c r="I15" s="522">
        <v>1215594</v>
      </c>
      <c r="J15" s="522">
        <v>23858</v>
      </c>
      <c r="K15" s="522">
        <v>34477</v>
      </c>
      <c r="L15" s="522">
        <v>58335</v>
      </c>
      <c r="M15" s="522">
        <v>689177</v>
      </c>
      <c r="N15" s="522">
        <v>584752</v>
      </c>
      <c r="O15" s="522">
        <v>1273929</v>
      </c>
      <c r="P15" s="116">
        <f t="shared" si="2"/>
        <v>0.77237490796081509</v>
      </c>
      <c r="Q15" s="116">
        <f t="shared" si="2"/>
        <v>0.66635215180583951</v>
      </c>
      <c r="R15" s="116">
        <f t="shared" si="2"/>
        <v>0.71980506547257495</v>
      </c>
      <c r="S15" s="100">
        <v>17.765275772825643</v>
      </c>
    </row>
    <row r="16" spans="2:19" ht="28.5">
      <c r="B16" s="519">
        <v>8</v>
      </c>
      <c r="C16" s="516" t="s">
        <v>139</v>
      </c>
      <c r="D16" s="522">
        <v>19670</v>
      </c>
      <c r="E16" s="522">
        <v>40031</v>
      </c>
      <c r="F16" s="522">
        <v>59701</v>
      </c>
      <c r="G16" s="522">
        <v>16717</v>
      </c>
      <c r="H16" s="522">
        <v>31750</v>
      </c>
      <c r="I16" s="522">
        <v>48467</v>
      </c>
      <c r="J16" s="522"/>
      <c r="K16" s="522"/>
      <c r="L16" s="522"/>
      <c r="M16" s="522">
        <v>16717</v>
      </c>
      <c r="N16" s="522">
        <v>31750</v>
      </c>
      <c r="O16" s="522">
        <v>48467</v>
      </c>
      <c r="P16" s="116">
        <f>M16/D16</f>
        <v>0.84987290289781392</v>
      </c>
      <c r="Q16" s="116">
        <f t="shared" si="2"/>
        <v>0.79313532012690169</v>
      </c>
      <c r="R16" s="116">
        <f t="shared" si="2"/>
        <v>0.81182894758881763</v>
      </c>
      <c r="S16" s="100">
        <v>2.4614686281387335</v>
      </c>
    </row>
    <row r="17" spans="2:19">
      <c r="B17" s="519">
        <v>9</v>
      </c>
      <c r="C17" s="516" t="s">
        <v>384</v>
      </c>
      <c r="D17" s="522">
        <v>6361</v>
      </c>
      <c r="E17" s="522">
        <v>6387</v>
      </c>
      <c r="F17" s="522">
        <v>12748</v>
      </c>
      <c r="G17" s="522">
        <v>4507</v>
      </c>
      <c r="H17" s="522">
        <v>4746</v>
      </c>
      <c r="I17" s="522">
        <v>9253</v>
      </c>
      <c r="J17" s="522"/>
      <c r="K17" s="522"/>
      <c r="L17" s="522"/>
      <c r="M17" s="522">
        <v>4507</v>
      </c>
      <c r="N17" s="522">
        <v>4746</v>
      </c>
      <c r="O17" s="522">
        <v>9253</v>
      </c>
      <c r="P17" s="116">
        <f>M17/D17</f>
        <v>0.70853639364879739</v>
      </c>
      <c r="Q17" s="116">
        <f t="shared" si="2"/>
        <v>0.74307186472522313</v>
      </c>
      <c r="R17" s="116">
        <f t="shared" si="2"/>
        <v>0.72583934734860367</v>
      </c>
      <c r="S17" s="100">
        <v>2.6369826002377605</v>
      </c>
    </row>
    <row r="18" spans="2:19" ht="28.5">
      <c r="B18" s="519">
        <v>10</v>
      </c>
      <c r="C18" s="514" t="s">
        <v>145</v>
      </c>
      <c r="D18" s="522">
        <v>180315</v>
      </c>
      <c r="E18" s="522">
        <v>208115</v>
      </c>
      <c r="F18" s="522">
        <v>388430</v>
      </c>
      <c r="G18" s="522">
        <v>118179</v>
      </c>
      <c r="H18" s="522">
        <v>143250</v>
      </c>
      <c r="I18" s="522">
        <v>261429</v>
      </c>
      <c r="J18" s="522">
        <v>5751</v>
      </c>
      <c r="K18" s="522">
        <v>6770</v>
      </c>
      <c r="L18" s="522">
        <v>12521</v>
      </c>
      <c r="M18" s="522">
        <v>123930</v>
      </c>
      <c r="N18" s="522">
        <v>150020</v>
      </c>
      <c r="O18" s="522">
        <v>273950</v>
      </c>
      <c r="P18" s="116">
        <f>M18/D18</f>
        <v>0.68729722984776642</v>
      </c>
      <c r="Q18" s="116">
        <f t="shared" si="2"/>
        <v>0.72085145232203351</v>
      </c>
      <c r="R18" s="116">
        <f t="shared" si="2"/>
        <v>0.70527508173930953</v>
      </c>
      <c r="S18" s="100">
        <v>35.390764738090894</v>
      </c>
    </row>
    <row r="19" spans="2:19">
      <c r="B19" s="519">
        <v>11</v>
      </c>
      <c r="C19" s="516" t="s">
        <v>377</v>
      </c>
      <c r="D19" s="522">
        <v>114</v>
      </c>
      <c r="E19" s="522">
        <v>65</v>
      </c>
      <c r="F19" s="522">
        <v>179</v>
      </c>
      <c r="G19" s="522">
        <v>37</v>
      </c>
      <c r="H19" s="522">
        <v>39</v>
      </c>
      <c r="I19" s="522">
        <v>76</v>
      </c>
      <c r="J19" s="522"/>
      <c r="K19" s="522"/>
      <c r="L19" s="522"/>
      <c r="M19" s="522">
        <v>37</v>
      </c>
      <c r="N19" s="522">
        <v>39</v>
      </c>
      <c r="O19" s="522">
        <v>76</v>
      </c>
      <c r="P19" s="116">
        <f>M19/D19</f>
        <v>0.32456140350877194</v>
      </c>
      <c r="Q19" s="116">
        <f t="shared" si="2"/>
        <v>0.6</v>
      </c>
      <c r="R19" s="116">
        <f t="shared" si="2"/>
        <v>0.42458100558659218</v>
      </c>
      <c r="S19" s="407"/>
    </row>
    <row r="20" spans="2:19" ht="28.5">
      <c r="B20" s="519">
        <v>12</v>
      </c>
      <c r="C20" s="514" t="s">
        <v>378</v>
      </c>
      <c r="D20" s="522">
        <v>515</v>
      </c>
      <c r="E20" s="522">
        <v>303</v>
      </c>
      <c r="F20" s="522">
        <v>818</v>
      </c>
      <c r="G20" s="522">
        <v>488</v>
      </c>
      <c r="H20" s="522">
        <v>279</v>
      </c>
      <c r="I20" s="522">
        <v>767</v>
      </c>
      <c r="J20" s="522">
        <v>9</v>
      </c>
      <c r="K20" s="522">
        <v>7</v>
      </c>
      <c r="L20" s="522">
        <v>16</v>
      </c>
      <c r="M20" s="522">
        <v>497</v>
      </c>
      <c r="N20" s="522">
        <v>286</v>
      </c>
      <c r="O20" s="522">
        <v>783</v>
      </c>
      <c r="P20" s="116">
        <f>M20/D20</f>
        <v>0.96504854368932036</v>
      </c>
      <c r="Q20" s="116">
        <f t="shared" si="2"/>
        <v>0.94389438943894388</v>
      </c>
      <c r="R20" s="116">
        <f t="shared" si="2"/>
        <v>0.95721271393643037</v>
      </c>
      <c r="S20" s="100">
        <v>20.051085568326947</v>
      </c>
    </row>
    <row r="21" spans="2:19" ht="28.5">
      <c r="B21" s="519">
        <v>13</v>
      </c>
      <c r="C21" s="515" t="s">
        <v>148</v>
      </c>
      <c r="D21" s="522">
        <v>10140</v>
      </c>
      <c r="E21" s="522">
        <v>10093</v>
      </c>
      <c r="F21" s="522">
        <v>20233</v>
      </c>
      <c r="G21" s="522">
        <v>9028</v>
      </c>
      <c r="H21" s="522">
        <v>9141</v>
      </c>
      <c r="I21" s="522">
        <v>18169</v>
      </c>
      <c r="J21" s="522">
        <v>360</v>
      </c>
      <c r="K21" s="522">
        <v>312</v>
      </c>
      <c r="L21" s="522">
        <v>672</v>
      </c>
      <c r="M21" s="522">
        <v>9388</v>
      </c>
      <c r="N21" s="522">
        <v>9453</v>
      </c>
      <c r="O21" s="522">
        <v>18841</v>
      </c>
      <c r="P21" s="116">
        <f t="shared" ref="P21:P22" si="3">M21/D21</f>
        <v>0.92583826429980276</v>
      </c>
      <c r="Q21" s="116">
        <f t="shared" si="2"/>
        <v>0.9365897156445061</v>
      </c>
      <c r="R21" s="116">
        <f t="shared" si="2"/>
        <v>0.93120150249592248</v>
      </c>
      <c r="S21" s="100">
        <v>53.288042035985349</v>
      </c>
    </row>
    <row r="22" spans="2:19" ht="28.5">
      <c r="B22" s="519">
        <v>14</v>
      </c>
      <c r="C22" s="514" t="s">
        <v>149</v>
      </c>
      <c r="D22" s="522">
        <v>475212</v>
      </c>
      <c r="E22" s="522">
        <v>337544</v>
      </c>
      <c r="F22" s="522">
        <v>812756</v>
      </c>
      <c r="G22" s="522">
        <v>290274</v>
      </c>
      <c r="H22" s="522">
        <v>240270</v>
      </c>
      <c r="I22" s="522">
        <v>530544</v>
      </c>
      <c r="J22" s="522">
        <v>3615</v>
      </c>
      <c r="K22" s="522">
        <v>2927</v>
      </c>
      <c r="L22" s="522">
        <v>6542</v>
      </c>
      <c r="M22" s="522">
        <v>293889</v>
      </c>
      <c r="N22" s="522">
        <v>243197</v>
      </c>
      <c r="O22" s="522">
        <v>537086</v>
      </c>
      <c r="P22" s="116">
        <f t="shared" si="3"/>
        <v>0.61843766571551229</v>
      </c>
      <c r="Q22" s="116">
        <f t="shared" si="2"/>
        <v>0.72048977318512553</v>
      </c>
      <c r="R22" s="116">
        <f t="shared" si="2"/>
        <v>0.66082071371973872</v>
      </c>
      <c r="S22" s="100">
        <v>47.434861456079659</v>
      </c>
    </row>
    <row r="23" spans="2:19">
      <c r="B23" s="519">
        <v>15</v>
      </c>
      <c r="C23" s="514" t="s">
        <v>140</v>
      </c>
      <c r="D23" s="522">
        <v>200751</v>
      </c>
      <c r="E23" s="522">
        <v>169187</v>
      </c>
      <c r="F23" s="522">
        <v>369938</v>
      </c>
      <c r="G23" s="522">
        <v>95566</v>
      </c>
      <c r="H23" s="522">
        <v>93576</v>
      </c>
      <c r="I23" s="522">
        <v>189142</v>
      </c>
      <c r="J23" s="522">
        <v>2675</v>
      </c>
      <c r="K23" s="522">
        <v>2236</v>
      </c>
      <c r="L23" s="522">
        <v>4911</v>
      </c>
      <c r="M23" s="522">
        <v>98241</v>
      </c>
      <c r="N23" s="522">
        <v>95812</v>
      </c>
      <c r="O23" s="522">
        <v>194053</v>
      </c>
      <c r="P23" s="116">
        <f t="shared" si="2"/>
        <v>0.48936742531793115</v>
      </c>
      <c r="Q23" s="116">
        <f t="shared" si="2"/>
        <v>0.56630828609763162</v>
      </c>
      <c r="R23" s="116">
        <f t="shared" si="2"/>
        <v>0.52455546605106806</v>
      </c>
      <c r="S23" s="100">
        <v>71.555193684199679</v>
      </c>
    </row>
    <row r="24" spans="2:19">
      <c r="B24" s="519">
        <v>16</v>
      </c>
      <c r="C24" s="514" t="s">
        <v>150</v>
      </c>
      <c r="D24" s="522">
        <v>56395</v>
      </c>
      <c r="E24" s="522">
        <v>52097</v>
      </c>
      <c r="F24" s="522">
        <v>108492</v>
      </c>
      <c r="G24" s="522">
        <v>34253</v>
      </c>
      <c r="H24" s="522">
        <v>34882</v>
      </c>
      <c r="I24" s="522">
        <v>69135</v>
      </c>
      <c r="J24" s="522">
        <v>5104</v>
      </c>
      <c r="K24" s="522">
        <v>4308</v>
      </c>
      <c r="L24" s="522">
        <v>9412</v>
      </c>
      <c r="M24" s="522">
        <v>39357</v>
      </c>
      <c r="N24" s="522">
        <v>39190</v>
      </c>
      <c r="O24" s="522">
        <v>78547</v>
      </c>
      <c r="P24" s="116">
        <f t="shared" si="2"/>
        <v>0.69788101782072876</v>
      </c>
      <c r="Q24" s="116">
        <f t="shared" si="2"/>
        <v>0.75225060944008293</v>
      </c>
      <c r="R24" s="116">
        <f t="shared" si="2"/>
        <v>0.72398886553847286</v>
      </c>
      <c r="S24" s="100">
        <v>72.654588972207719</v>
      </c>
    </row>
    <row r="25" spans="2:19">
      <c r="B25" s="519">
        <v>17</v>
      </c>
      <c r="C25" s="514" t="s">
        <v>151</v>
      </c>
      <c r="D25" s="522">
        <v>170153</v>
      </c>
      <c r="E25" s="522">
        <v>129860</v>
      </c>
      <c r="F25" s="522">
        <v>300013</v>
      </c>
      <c r="G25" s="522">
        <v>89084</v>
      </c>
      <c r="H25" s="522">
        <v>74993</v>
      </c>
      <c r="I25" s="522">
        <v>164077</v>
      </c>
      <c r="J25" s="522"/>
      <c r="K25" s="522"/>
      <c r="L25" s="522"/>
      <c r="M25" s="522">
        <v>89084</v>
      </c>
      <c r="N25" s="522">
        <v>74993</v>
      </c>
      <c r="O25" s="522">
        <v>164077</v>
      </c>
      <c r="P25" s="116">
        <f t="shared" si="2"/>
        <v>0.52355233231268328</v>
      </c>
      <c r="Q25" s="116">
        <f t="shared" si="2"/>
        <v>0.57749114430925608</v>
      </c>
      <c r="R25" s="116">
        <f t="shared" si="2"/>
        <v>0.54689963434917821</v>
      </c>
      <c r="S25" s="100">
        <v>27.476733484888193</v>
      </c>
    </row>
    <row r="26" spans="2:19" ht="28.5">
      <c r="B26" s="519">
        <v>18</v>
      </c>
      <c r="C26" s="514" t="s">
        <v>152</v>
      </c>
      <c r="D26" s="522">
        <v>208124</v>
      </c>
      <c r="E26" s="522">
        <v>219518</v>
      </c>
      <c r="F26" s="522">
        <v>427642</v>
      </c>
      <c r="G26" s="522">
        <v>128604</v>
      </c>
      <c r="H26" s="522">
        <v>125894</v>
      </c>
      <c r="I26" s="522">
        <v>254498</v>
      </c>
      <c r="J26" s="522"/>
      <c r="K26" s="522"/>
      <c r="L26" s="522"/>
      <c r="M26" s="522">
        <v>135171</v>
      </c>
      <c r="N26" s="522">
        <v>136065</v>
      </c>
      <c r="O26" s="522">
        <v>271236</v>
      </c>
      <c r="P26" s="116">
        <f t="shared" si="2"/>
        <v>0.64947339086313927</v>
      </c>
      <c r="Q26" s="116">
        <f t="shared" si="2"/>
        <v>0.61983527546715989</v>
      </c>
      <c r="R26" s="116">
        <f t="shared" si="2"/>
        <v>0.63425949743009336</v>
      </c>
      <c r="S26" s="100">
        <v>12.239525726673451</v>
      </c>
    </row>
    <row r="27" spans="2:19" ht="28.5">
      <c r="B27" s="519">
        <v>19</v>
      </c>
      <c r="C27" s="514" t="s">
        <v>153</v>
      </c>
      <c r="D27" s="522">
        <v>396101</v>
      </c>
      <c r="E27" s="522">
        <v>371715</v>
      </c>
      <c r="F27" s="522">
        <v>767816</v>
      </c>
      <c r="G27" s="522">
        <v>284269</v>
      </c>
      <c r="H27" s="522">
        <v>300108</v>
      </c>
      <c r="I27" s="522">
        <v>584377</v>
      </c>
      <c r="J27" s="522">
        <v>39953</v>
      </c>
      <c r="K27" s="522">
        <v>29738</v>
      </c>
      <c r="L27" s="522">
        <v>69691</v>
      </c>
      <c r="M27" s="522">
        <v>324222</v>
      </c>
      <c r="N27" s="522">
        <v>329846</v>
      </c>
      <c r="O27" s="522">
        <v>654068</v>
      </c>
      <c r="P27" s="116">
        <f t="shared" si="2"/>
        <v>0.81853365681985146</v>
      </c>
      <c r="Q27" s="116">
        <f t="shared" si="2"/>
        <v>0.88736262997188708</v>
      </c>
      <c r="R27" s="116">
        <f t="shared" si="2"/>
        <v>0.85185513195869844</v>
      </c>
      <c r="S27" s="100">
        <v>71.428964572490941</v>
      </c>
    </row>
    <row r="28" spans="2:19">
      <c r="B28" s="519">
        <v>20</v>
      </c>
      <c r="C28" s="514" t="s">
        <v>286</v>
      </c>
      <c r="D28" s="522">
        <v>223682</v>
      </c>
      <c r="E28" s="522">
        <v>215664</v>
      </c>
      <c r="F28" s="522">
        <v>442100</v>
      </c>
      <c r="G28" s="522"/>
      <c r="H28" s="522"/>
      <c r="I28" s="522">
        <v>433246</v>
      </c>
      <c r="J28" s="522"/>
      <c r="K28" s="522"/>
      <c r="L28" s="522"/>
      <c r="M28" s="522"/>
      <c r="N28" s="522"/>
      <c r="O28" s="522">
        <v>433246</v>
      </c>
      <c r="P28" s="493" t="s">
        <v>319</v>
      </c>
      <c r="Q28" s="493" t="s">
        <v>319</v>
      </c>
      <c r="R28" s="116">
        <f t="shared" si="2"/>
        <v>0.97997285681972401</v>
      </c>
      <c r="S28" s="100">
        <v>35.648799988920842</v>
      </c>
    </row>
    <row r="29" spans="2:19" ht="42.75">
      <c r="B29" s="519">
        <v>21</v>
      </c>
      <c r="C29" s="514" t="s">
        <v>380</v>
      </c>
      <c r="D29" s="522">
        <v>965381</v>
      </c>
      <c r="E29" s="522">
        <v>773242</v>
      </c>
      <c r="F29" s="522">
        <v>1738623</v>
      </c>
      <c r="G29" s="522">
        <v>807543</v>
      </c>
      <c r="H29" s="522">
        <v>697971</v>
      </c>
      <c r="I29" s="522">
        <v>1505514</v>
      </c>
      <c r="J29" s="522">
        <v>18848</v>
      </c>
      <c r="K29" s="522">
        <v>9793</v>
      </c>
      <c r="L29" s="522">
        <v>28641</v>
      </c>
      <c r="M29" s="522">
        <v>826391</v>
      </c>
      <c r="N29" s="522">
        <v>707764</v>
      </c>
      <c r="O29" s="522">
        <v>1534155</v>
      </c>
      <c r="P29" s="116">
        <f>M29/D29</f>
        <v>0.85602575563430394</v>
      </c>
      <c r="Q29" s="116">
        <f>N29/E29</f>
        <v>0.9153201714340401</v>
      </c>
      <c r="R29" s="116">
        <f>O29/F29</f>
        <v>0.88239658626395712</v>
      </c>
      <c r="S29" s="100">
        <v>61.718796340656581</v>
      </c>
    </row>
    <row r="30" spans="2:19" ht="28.5">
      <c r="B30" s="519">
        <v>22</v>
      </c>
      <c r="C30" s="516" t="s">
        <v>381</v>
      </c>
      <c r="D30" s="522">
        <v>605488</v>
      </c>
      <c r="E30" s="522">
        <v>497035</v>
      </c>
      <c r="F30" s="522">
        <v>1102523</v>
      </c>
      <c r="G30" s="522">
        <v>317263</v>
      </c>
      <c r="H30" s="522">
        <v>290396</v>
      </c>
      <c r="I30" s="522">
        <v>607659</v>
      </c>
      <c r="J30" s="522">
        <v>42479</v>
      </c>
      <c r="K30" s="522">
        <v>38082</v>
      </c>
      <c r="L30" s="522">
        <v>80561</v>
      </c>
      <c r="M30" s="522">
        <v>359742</v>
      </c>
      <c r="N30" s="522">
        <v>328478</v>
      </c>
      <c r="O30" s="522">
        <v>688220</v>
      </c>
      <c r="P30" s="116">
        <f t="shared" si="2"/>
        <v>0.59413563935205982</v>
      </c>
      <c r="Q30" s="116">
        <f t="shared" si="2"/>
        <v>0.66087498868288952</v>
      </c>
      <c r="R30" s="116">
        <f t="shared" si="2"/>
        <v>0.62422280532923125</v>
      </c>
      <c r="S30" s="100">
        <v>41.765714451774144</v>
      </c>
    </row>
    <row r="31" spans="2:19" ht="28.5">
      <c r="B31" s="519">
        <v>23</v>
      </c>
      <c r="C31" s="514" t="s">
        <v>141</v>
      </c>
      <c r="D31" s="522">
        <v>18827</v>
      </c>
      <c r="E31" s="522">
        <v>18537</v>
      </c>
      <c r="F31" s="522">
        <v>37364</v>
      </c>
      <c r="G31" s="522">
        <v>13995</v>
      </c>
      <c r="H31" s="522">
        <v>13140</v>
      </c>
      <c r="I31" s="522">
        <v>27135</v>
      </c>
      <c r="J31" s="522">
        <v>1737</v>
      </c>
      <c r="K31" s="522">
        <v>1951</v>
      </c>
      <c r="L31" s="522">
        <v>3688</v>
      </c>
      <c r="M31" s="522">
        <v>15732</v>
      </c>
      <c r="N31" s="522">
        <v>15091</v>
      </c>
      <c r="O31" s="522">
        <v>30823</v>
      </c>
      <c r="P31" s="116">
        <f>M31/D31</f>
        <v>0.83560843469485313</v>
      </c>
      <c r="Q31" s="116">
        <f>N31/E31</f>
        <v>0.81410152667637703</v>
      </c>
      <c r="R31" s="116">
        <f>O31/F31</f>
        <v>0.82493844342147526</v>
      </c>
      <c r="S31" s="100">
        <v>37.48175064075528</v>
      </c>
    </row>
    <row r="32" spans="2:19" ht="28.5">
      <c r="B32" s="519">
        <v>24</v>
      </c>
      <c r="C32" s="514" t="s">
        <v>158</v>
      </c>
      <c r="D32" s="522">
        <v>22904</v>
      </c>
      <c r="E32" s="522">
        <v>27172</v>
      </c>
      <c r="F32" s="522">
        <v>50076</v>
      </c>
      <c r="G32" s="522">
        <v>12633</v>
      </c>
      <c r="H32" s="522">
        <v>15811</v>
      </c>
      <c r="I32" s="522">
        <v>28444</v>
      </c>
      <c r="J32" s="522"/>
      <c r="K32" s="522"/>
      <c r="L32" s="522"/>
      <c r="M32" s="522">
        <v>12633</v>
      </c>
      <c r="N32" s="522">
        <v>15811</v>
      </c>
      <c r="O32" s="522">
        <v>28444</v>
      </c>
      <c r="P32" s="116">
        <f t="shared" ref="P32:Q32" si="4">M32/D32</f>
        <v>0.55156304575619974</v>
      </c>
      <c r="Q32" s="116">
        <f t="shared" si="4"/>
        <v>0.58188576475783893</v>
      </c>
      <c r="R32" s="116">
        <f>O32/F32</f>
        <v>0.56801661474558673</v>
      </c>
      <c r="S32" s="100">
        <v>22.630431725495711</v>
      </c>
    </row>
    <row r="33" spans="2:19" ht="28.5">
      <c r="B33" s="519">
        <v>25</v>
      </c>
      <c r="C33" s="514" t="s">
        <v>159</v>
      </c>
      <c r="D33" s="522">
        <v>8422</v>
      </c>
      <c r="E33" s="522">
        <v>9273</v>
      </c>
      <c r="F33" s="522">
        <v>17695</v>
      </c>
      <c r="G33" s="522">
        <v>6495</v>
      </c>
      <c r="H33" s="522">
        <v>7089</v>
      </c>
      <c r="I33" s="522">
        <v>13584</v>
      </c>
      <c r="J33" s="522">
        <v>123</v>
      </c>
      <c r="K33" s="522">
        <v>134</v>
      </c>
      <c r="L33" s="522">
        <v>257</v>
      </c>
      <c r="M33" s="522">
        <v>6618</v>
      </c>
      <c r="N33" s="522">
        <v>7223</v>
      </c>
      <c r="O33" s="522">
        <v>13841</v>
      </c>
      <c r="P33" s="116">
        <f t="shared" si="2"/>
        <v>0.78579909760151978</v>
      </c>
      <c r="Q33" s="116">
        <f t="shared" si="2"/>
        <v>0.7789280707430174</v>
      </c>
      <c r="R33" s="116">
        <f t="shared" si="2"/>
        <v>0.78219836111896013</v>
      </c>
      <c r="S33" s="100">
        <v>34.715699732678274</v>
      </c>
    </row>
    <row r="34" spans="2:19" ht="28.5">
      <c r="B34" s="519">
        <v>26</v>
      </c>
      <c r="C34" s="514" t="s">
        <v>160</v>
      </c>
      <c r="D34" s="522">
        <v>10437</v>
      </c>
      <c r="E34" s="522">
        <v>11278</v>
      </c>
      <c r="F34" s="522">
        <v>21715</v>
      </c>
      <c r="G34" s="522">
        <v>6887</v>
      </c>
      <c r="H34" s="522">
        <v>7448</v>
      </c>
      <c r="I34" s="522">
        <v>14335</v>
      </c>
      <c r="J34" s="522"/>
      <c r="K34" s="522"/>
      <c r="L34" s="522"/>
      <c r="M34" s="522">
        <v>6887</v>
      </c>
      <c r="N34" s="522">
        <v>7448</v>
      </c>
      <c r="O34" s="522">
        <v>14335</v>
      </c>
      <c r="P34" s="116">
        <f t="shared" si="2"/>
        <v>0.65986394557823125</v>
      </c>
      <c r="Q34" s="116">
        <f t="shared" si="2"/>
        <v>0.66040078028019156</v>
      </c>
      <c r="R34" s="116">
        <f t="shared" si="2"/>
        <v>0.66014275846189274</v>
      </c>
      <c r="S34" s="100">
        <v>44.464597139867458</v>
      </c>
    </row>
    <row r="35" spans="2:19" ht="28.5">
      <c r="B35" s="519">
        <v>27</v>
      </c>
      <c r="C35" s="514" t="s">
        <v>142</v>
      </c>
      <c r="D35" s="522">
        <v>274379</v>
      </c>
      <c r="E35" s="522">
        <v>279960</v>
      </c>
      <c r="F35" s="522">
        <v>554339</v>
      </c>
      <c r="G35" s="522">
        <v>210129</v>
      </c>
      <c r="H35" s="522">
        <v>217666</v>
      </c>
      <c r="I35" s="522">
        <v>427795</v>
      </c>
      <c r="J35" s="522">
        <v>4777</v>
      </c>
      <c r="K35" s="522">
        <v>4738</v>
      </c>
      <c r="L35" s="522">
        <v>9515</v>
      </c>
      <c r="M35" s="522">
        <v>214906</v>
      </c>
      <c r="N35" s="522">
        <v>222404</v>
      </c>
      <c r="O35" s="522">
        <v>437310</v>
      </c>
      <c r="P35" s="116">
        <f>M35/D35</f>
        <v>0.78324507342034189</v>
      </c>
      <c r="Q35" s="116">
        <f>N35/E35</f>
        <v>0.79441348764109154</v>
      </c>
      <c r="R35" s="116">
        <f>O35/F35</f>
        <v>0.78888550147112146</v>
      </c>
      <c r="S35" s="100">
        <v>28.399533511696507</v>
      </c>
    </row>
    <row r="36" spans="2:19">
      <c r="B36" s="519">
        <v>28</v>
      </c>
      <c r="C36" s="514" t="s">
        <v>162</v>
      </c>
      <c r="D36" s="522">
        <v>236106</v>
      </c>
      <c r="E36" s="522">
        <v>170173</v>
      </c>
      <c r="F36" s="522">
        <v>406279</v>
      </c>
      <c r="G36" s="522">
        <v>122530</v>
      </c>
      <c r="H36" s="522">
        <v>116824</v>
      </c>
      <c r="I36" s="522">
        <v>239354</v>
      </c>
      <c r="J36" s="522">
        <v>20337</v>
      </c>
      <c r="K36" s="522">
        <v>13170</v>
      </c>
      <c r="L36" s="522">
        <v>33507</v>
      </c>
      <c r="M36" s="522">
        <v>142867</v>
      </c>
      <c r="N36" s="522">
        <v>129994</v>
      </c>
      <c r="O36" s="522">
        <v>272861</v>
      </c>
      <c r="P36" s="116">
        <f t="shared" si="2"/>
        <v>0.60509686327327561</v>
      </c>
      <c r="Q36" s="116">
        <f t="shared" si="2"/>
        <v>0.76389321455224979</v>
      </c>
      <c r="R36" s="116">
        <f t="shared" si="2"/>
        <v>0.67160990353919348</v>
      </c>
      <c r="S36" s="100">
        <v>41.417791476246144</v>
      </c>
    </row>
    <row r="37" spans="2:19" ht="28.5">
      <c r="B37" s="519">
        <v>29</v>
      </c>
      <c r="C37" s="514" t="s">
        <v>212</v>
      </c>
      <c r="D37" s="522">
        <v>597868</v>
      </c>
      <c r="E37" s="522">
        <v>460540</v>
      </c>
      <c r="F37" s="522">
        <v>1058408</v>
      </c>
      <c r="G37" s="522">
        <v>478998</v>
      </c>
      <c r="H37" s="522">
        <v>369811</v>
      </c>
      <c r="I37" s="522">
        <v>848809</v>
      </c>
      <c r="J37" s="522">
        <v>16341</v>
      </c>
      <c r="K37" s="522">
        <v>16352</v>
      </c>
      <c r="L37" s="522">
        <v>32693</v>
      </c>
      <c r="M37" s="522">
        <v>495339</v>
      </c>
      <c r="N37" s="522">
        <v>386163</v>
      </c>
      <c r="O37" s="522">
        <v>881502</v>
      </c>
      <c r="P37" s="116">
        <f>M37/D37</f>
        <v>0.82850896853486056</v>
      </c>
      <c r="Q37" s="116">
        <f t="shared" si="2"/>
        <v>0.83850045598645073</v>
      </c>
      <c r="R37" s="116">
        <f>O37/F37</f>
        <v>0.83285651657961768</v>
      </c>
      <c r="S37" s="100">
        <v>35.066398034264246</v>
      </c>
    </row>
    <row r="38" spans="2:19" ht="28.5">
      <c r="B38" s="519">
        <v>30</v>
      </c>
      <c r="C38" s="514" t="s">
        <v>382</v>
      </c>
      <c r="D38" s="522">
        <v>497698</v>
      </c>
      <c r="E38" s="522">
        <v>486410</v>
      </c>
      <c r="F38" s="522">
        <v>984108</v>
      </c>
      <c r="G38" s="522">
        <v>443592</v>
      </c>
      <c r="H38" s="522">
        <v>462129</v>
      </c>
      <c r="I38" s="522">
        <v>905721</v>
      </c>
      <c r="J38" s="522"/>
      <c r="K38" s="522"/>
      <c r="L38" s="522"/>
      <c r="M38" s="522">
        <v>443592</v>
      </c>
      <c r="N38" s="522">
        <v>462129</v>
      </c>
      <c r="O38" s="522">
        <v>905721</v>
      </c>
      <c r="P38" s="411">
        <f t="shared" si="2"/>
        <v>0.89128748759287757</v>
      </c>
      <c r="Q38" s="411">
        <f t="shared" si="2"/>
        <v>0.95008120721202283</v>
      </c>
      <c r="R38" s="411">
        <f t="shared" si="2"/>
        <v>0.92034715701935155</v>
      </c>
      <c r="S38" s="413">
        <v>63.754953236151088</v>
      </c>
    </row>
    <row r="39" spans="2:19" ht="28.5">
      <c r="B39" s="519">
        <v>31</v>
      </c>
      <c r="C39" s="514" t="s">
        <v>165</v>
      </c>
      <c r="D39" s="522">
        <v>17630</v>
      </c>
      <c r="E39" s="522">
        <v>18551</v>
      </c>
      <c r="F39" s="522">
        <v>36181</v>
      </c>
      <c r="G39" s="522">
        <v>11736</v>
      </c>
      <c r="H39" s="522">
        <v>11286</v>
      </c>
      <c r="I39" s="522">
        <v>23022</v>
      </c>
      <c r="J39" s="522">
        <v>727</v>
      </c>
      <c r="K39" s="522">
        <v>880</v>
      </c>
      <c r="L39" s="522">
        <v>1607</v>
      </c>
      <c r="M39" s="522">
        <v>12463</v>
      </c>
      <c r="N39" s="522">
        <v>12166</v>
      </c>
      <c r="O39" s="522">
        <v>24629</v>
      </c>
      <c r="P39" s="411">
        <f t="shared" si="2"/>
        <v>0.70692002268859899</v>
      </c>
      <c r="Q39" s="411">
        <f t="shared" si="2"/>
        <v>0.65581370276534956</v>
      </c>
      <c r="R39" s="411">
        <f t="shared" si="2"/>
        <v>0.68071639810950502</v>
      </c>
      <c r="S39" s="419"/>
    </row>
    <row r="40" spans="2:19" ht="28.5">
      <c r="B40" s="519">
        <v>32</v>
      </c>
      <c r="C40" s="514" t="s">
        <v>383</v>
      </c>
      <c r="D40" s="522">
        <v>1689877</v>
      </c>
      <c r="E40" s="522">
        <v>1338890</v>
      </c>
      <c r="F40" s="522">
        <v>3028767</v>
      </c>
      <c r="G40" s="522">
        <v>1221202</v>
      </c>
      <c r="H40" s="522">
        <v>1055243</v>
      </c>
      <c r="I40" s="522">
        <v>2276445</v>
      </c>
      <c r="J40" s="522">
        <v>50</v>
      </c>
      <c r="K40" s="522">
        <v>26</v>
      </c>
      <c r="L40" s="522">
        <v>76</v>
      </c>
      <c r="M40" s="522">
        <v>1221252</v>
      </c>
      <c r="N40" s="522">
        <v>1055269</v>
      </c>
      <c r="O40" s="522">
        <v>2276521</v>
      </c>
      <c r="P40" s="411">
        <f t="shared" si="2"/>
        <v>0.72268691745020497</v>
      </c>
      <c r="Q40" s="411">
        <f t="shared" si="2"/>
        <v>0.78816706376177281</v>
      </c>
      <c r="R40" s="411">
        <f t="shared" si="2"/>
        <v>0.75163292521346148</v>
      </c>
      <c r="S40" s="413">
        <v>58.489335262007245</v>
      </c>
    </row>
    <row r="41" spans="2:19" ht="28.5">
      <c r="B41" s="519">
        <v>33</v>
      </c>
      <c r="C41" s="514" t="s">
        <v>169</v>
      </c>
      <c r="D41" s="522">
        <v>73295</v>
      </c>
      <c r="E41" s="522">
        <v>72871</v>
      </c>
      <c r="F41" s="522">
        <v>146166</v>
      </c>
      <c r="G41" s="522">
        <v>50545</v>
      </c>
      <c r="H41" s="522">
        <v>58461</v>
      </c>
      <c r="I41" s="522">
        <v>109006</v>
      </c>
      <c r="J41" s="522"/>
      <c r="K41" s="522"/>
      <c r="L41" s="522"/>
      <c r="M41" s="522">
        <v>49698</v>
      </c>
      <c r="N41" s="522">
        <v>57713</v>
      </c>
      <c r="O41" s="522">
        <v>107411</v>
      </c>
      <c r="P41" s="411">
        <f t="shared" si="2"/>
        <v>0.67805443754689954</v>
      </c>
      <c r="Q41" s="411">
        <f t="shared" si="2"/>
        <v>0.79198858256370852</v>
      </c>
      <c r="R41" s="411">
        <f t="shared" si="2"/>
        <v>0.73485625932159326</v>
      </c>
      <c r="S41" s="413">
        <v>35.172375268827217</v>
      </c>
    </row>
    <row r="42" spans="2:19" ht="28.5">
      <c r="B42" s="519">
        <v>34</v>
      </c>
      <c r="C42" s="514" t="s">
        <v>172</v>
      </c>
      <c r="D42" s="522">
        <v>475363</v>
      </c>
      <c r="E42" s="522">
        <v>616545</v>
      </c>
      <c r="F42" s="522">
        <v>1091908</v>
      </c>
      <c r="G42" s="522">
        <v>415913</v>
      </c>
      <c r="H42" s="522">
        <v>473423</v>
      </c>
      <c r="I42" s="522">
        <v>889336</v>
      </c>
      <c r="J42" s="522"/>
      <c r="K42" s="522"/>
      <c r="L42" s="522"/>
      <c r="M42" s="522">
        <v>415913</v>
      </c>
      <c r="N42" s="522">
        <v>473423</v>
      </c>
      <c r="O42" s="522">
        <v>889336</v>
      </c>
      <c r="P42" s="411">
        <f>M42/D42</f>
        <v>0.87493767920515475</v>
      </c>
      <c r="Q42" s="411">
        <f>N42/E42</f>
        <v>0.76786447055770468</v>
      </c>
      <c r="R42" s="411">
        <f>O42/F42</f>
        <v>0.81447887550965836</v>
      </c>
      <c r="S42" s="413">
        <v>13.327921055708979</v>
      </c>
    </row>
    <row r="43" spans="2:19" ht="28.5">
      <c r="B43" s="519">
        <v>35</v>
      </c>
      <c r="C43" s="514" t="s">
        <v>171</v>
      </c>
      <c r="D43" s="522">
        <v>15936</v>
      </c>
      <c r="E43" s="522">
        <v>40566</v>
      </c>
      <c r="F43" s="522">
        <v>56502</v>
      </c>
      <c r="G43" s="522">
        <v>13946</v>
      </c>
      <c r="H43" s="522">
        <v>28698</v>
      </c>
      <c r="I43" s="522">
        <v>42644</v>
      </c>
      <c r="J43" s="522"/>
      <c r="K43" s="522"/>
      <c r="L43" s="522"/>
      <c r="M43" s="522">
        <v>13946</v>
      </c>
      <c r="N43" s="522">
        <v>28698</v>
      </c>
      <c r="O43" s="522">
        <v>42644</v>
      </c>
      <c r="P43" s="411">
        <f t="shared" si="2"/>
        <v>0.87512550200803207</v>
      </c>
      <c r="Q43" s="411">
        <f t="shared" si="2"/>
        <v>0.70743972785090958</v>
      </c>
      <c r="R43" s="411">
        <f t="shared" si="2"/>
        <v>0.75473434568687836</v>
      </c>
      <c r="S43" s="413">
        <v>8.2801800956758278</v>
      </c>
    </row>
    <row r="44" spans="2:19" ht="28.5">
      <c r="B44" s="519">
        <v>36</v>
      </c>
      <c r="C44" s="514" t="s">
        <v>408</v>
      </c>
      <c r="D44" s="522">
        <v>1489</v>
      </c>
      <c r="E44" s="522">
        <v>785</v>
      </c>
      <c r="F44" s="522">
        <v>2274</v>
      </c>
      <c r="G44" s="522">
        <v>1262</v>
      </c>
      <c r="H44" s="522">
        <v>667</v>
      </c>
      <c r="I44" s="522">
        <v>1929</v>
      </c>
      <c r="J44" s="522">
        <v>5</v>
      </c>
      <c r="K44" s="522"/>
      <c r="L44" s="522">
        <v>5</v>
      </c>
      <c r="M44" s="522">
        <v>1267</v>
      </c>
      <c r="N44" s="522">
        <v>667</v>
      </c>
      <c r="O44" s="522">
        <v>1934</v>
      </c>
      <c r="P44" s="116">
        <f t="shared" ref="P44:R51" si="5">M44/D44</f>
        <v>0.85090664875755539</v>
      </c>
      <c r="Q44" s="116">
        <f t="shared" si="5"/>
        <v>0.84968152866242042</v>
      </c>
      <c r="R44" s="116">
        <f t="shared" si="5"/>
        <v>0.85048372911169745</v>
      </c>
      <c r="S44" s="110"/>
    </row>
    <row r="45" spans="2:19" ht="42.75">
      <c r="B45" s="519">
        <v>37</v>
      </c>
      <c r="C45" s="514" t="s">
        <v>132</v>
      </c>
      <c r="D45" s="522">
        <v>926</v>
      </c>
      <c r="E45" s="522">
        <v>1059</v>
      </c>
      <c r="F45" s="522">
        <v>1985</v>
      </c>
      <c r="G45" s="522">
        <v>755</v>
      </c>
      <c r="H45" s="522">
        <v>827</v>
      </c>
      <c r="I45" s="522">
        <v>1582</v>
      </c>
      <c r="J45" s="522">
        <v>62</v>
      </c>
      <c r="K45" s="522">
        <v>94</v>
      </c>
      <c r="L45" s="522">
        <v>156</v>
      </c>
      <c r="M45" s="522">
        <v>817</v>
      </c>
      <c r="N45" s="522">
        <v>921</v>
      </c>
      <c r="O45" s="522">
        <v>1738</v>
      </c>
      <c r="P45" s="116">
        <f t="shared" si="5"/>
        <v>0.8822894168466523</v>
      </c>
      <c r="Q45" s="116">
        <f t="shared" si="5"/>
        <v>0.86968838526912184</v>
      </c>
      <c r="R45" s="116">
        <f t="shared" si="5"/>
        <v>0.87556675062972289</v>
      </c>
      <c r="S45" s="100">
        <v>56.329113924050631</v>
      </c>
    </row>
    <row r="46" spans="2:19" ht="28.5">
      <c r="B46" s="519">
        <v>38</v>
      </c>
      <c r="C46" s="514" t="s">
        <v>157</v>
      </c>
      <c r="D46" s="522">
        <v>1296</v>
      </c>
      <c r="E46" s="522">
        <v>376</v>
      </c>
      <c r="F46" s="522">
        <v>1672</v>
      </c>
      <c r="G46" s="522">
        <v>529</v>
      </c>
      <c r="H46" s="522">
        <v>201</v>
      </c>
      <c r="I46" s="522">
        <v>730</v>
      </c>
      <c r="J46" s="522">
        <v>308</v>
      </c>
      <c r="K46" s="522">
        <v>162</v>
      </c>
      <c r="L46" s="522">
        <v>470</v>
      </c>
      <c r="M46" s="522">
        <v>837</v>
      </c>
      <c r="N46" s="522">
        <v>363</v>
      </c>
      <c r="O46" s="522">
        <v>1200</v>
      </c>
      <c r="P46" s="116">
        <f t="shared" si="5"/>
        <v>0.64583333333333337</v>
      </c>
      <c r="Q46" s="116">
        <f t="shared" si="5"/>
        <v>0.96542553191489366</v>
      </c>
      <c r="R46" s="116">
        <f t="shared" si="5"/>
        <v>0.71770334928229662</v>
      </c>
      <c r="S46" s="110"/>
    </row>
    <row r="47" spans="2:19" ht="28.5">
      <c r="B47" s="519">
        <v>39</v>
      </c>
      <c r="C47" s="514" t="s">
        <v>385</v>
      </c>
      <c r="D47" s="522">
        <v>507</v>
      </c>
      <c r="E47" s="522">
        <v>250</v>
      </c>
      <c r="F47" s="522">
        <v>757</v>
      </c>
      <c r="G47" s="522">
        <v>488</v>
      </c>
      <c r="H47" s="522">
        <v>242</v>
      </c>
      <c r="I47" s="522">
        <v>730</v>
      </c>
      <c r="J47" s="522"/>
      <c r="K47" s="522"/>
      <c r="L47" s="522"/>
      <c r="M47" s="522">
        <v>488</v>
      </c>
      <c r="N47" s="522">
        <v>242</v>
      </c>
      <c r="O47" s="522">
        <v>730</v>
      </c>
      <c r="P47" s="116">
        <f t="shared" si="5"/>
        <v>0.96252465483234717</v>
      </c>
      <c r="Q47" s="116">
        <f t="shared" si="5"/>
        <v>0.96799999999999997</v>
      </c>
      <c r="R47" s="116">
        <f t="shared" si="5"/>
        <v>0.96433289299867897</v>
      </c>
      <c r="S47" s="100">
        <v>42.465753424657535</v>
      </c>
    </row>
    <row r="48" spans="2:19">
      <c r="B48" s="519">
        <v>40</v>
      </c>
      <c r="C48" s="514" t="s">
        <v>166</v>
      </c>
      <c r="D48" s="522">
        <v>109</v>
      </c>
      <c r="E48" s="522">
        <v>109</v>
      </c>
      <c r="F48" s="522">
        <v>218</v>
      </c>
      <c r="G48" s="522">
        <v>106</v>
      </c>
      <c r="H48" s="522">
        <v>104</v>
      </c>
      <c r="I48" s="522">
        <v>210</v>
      </c>
      <c r="J48" s="522">
        <v>3</v>
      </c>
      <c r="K48" s="522">
        <v>3</v>
      </c>
      <c r="L48" s="522">
        <v>6</v>
      </c>
      <c r="M48" s="522">
        <v>109</v>
      </c>
      <c r="N48" s="522">
        <v>107</v>
      </c>
      <c r="O48" s="522">
        <v>216</v>
      </c>
      <c r="P48" s="411">
        <f t="shared" si="5"/>
        <v>1</v>
      </c>
      <c r="Q48" s="411">
        <f t="shared" si="5"/>
        <v>0.98165137614678899</v>
      </c>
      <c r="R48" s="411">
        <f t="shared" si="5"/>
        <v>0.99082568807339455</v>
      </c>
      <c r="S48" s="413">
        <v>83.796296296296291</v>
      </c>
    </row>
    <row r="49" spans="2:19" ht="28.5">
      <c r="B49" s="519">
        <v>41</v>
      </c>
      <c r="C49" s="514" t="s">
        <v>374</v>
      </c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417"/>
      <c r="Q49" s="417"/>
      <c r="R49" s="417"/>
      <c r="S49" s="419"/>
    </row>
    <row r="50" spans="2:19" ht="28.5">
      <c r="B50" s="520">
        <v>42</v>
      </c>
      <c r="C50" s="514" t="s">
        <v>214</v>
      </c>
      <c r="D50" s="522">
        <v>791</v>
      </c>
      <c r="E50" s="522">
        <v>59</v>
      </c>
      <c r="F50" s="522">
        <v>850</v>
      </c>
      <c r="G50" s="522">
        <v>739</v>
      </c>
      <c r="H50" s="522">
        <v>54</v>
      </c>
      <c r="I50" s="522">
        <v>793</v>
      </c>
      <c r="J50" s="522"/>
      <c r="K50" s="522"/>
      <c r="L50" s="522"/>
      <c r="M50" s="522">
        <v>739</v>
      </c>
      <c r="N50" s="522">
        <v>54</v>
      </c>
      <c r="O50" s="522">
        <v>793</v>
      </c>
      <c r="P50" s="411">
        <f t="shared" ref="P50:R50" si="6">M50/D50</f>
        <v>0.93426042983565105</v>
      </c>
      <c r="Q50" s="411">
        <f t="shared" si="6"/>
        <v>0.9152542372881356</v>
      </c>
      <c r="R50" s="411">
        <f t="shared" si="6"/>
        <v>0.93294117647058827</v>
      </c>
      <c r="S50" s="100">
        <v>23.581336696090794</v>
      </c>
    </row>
    <row r="51" spans="2:19">
      <c r="B51" s="678" t="s">
        <v>3</v>
      </c>
      <c r="C51" s="678"/>
      <c r="D51" s="522">
        <v>10176680</v>
      </c>
      <c r="E51" s="522">
        <v>8954057</v>
      </c>
      <c r="F51" s="522">
        <v>19133491</v>
      </c>
      <c r="G51" s="522">
        <v>7395433</v>
      </c>
      <c r="H51" s="522">
        <v>6696442</v>
      </c>
      <c r="I51" s="522">
        <v>14525121</v>
      </c>
      <c r="J51" s="522">
        <v>263354</v>
      </c>
      <c r="K51" s="522">
        <v>223981</v>
      </c>
      <c r="L51" s="522">
        <v>487335</v>
      </c>
      <c r="M51" s="522">
        <v>7664507</v>
      </c>
      <c r="N51" s="522">
        <v>6929846</v>
      </c>
      <c r="O51" s="522">
        <v>15027599</v>
      </c>
      <c r="P51" s="354">
        <f t="shared" si="5"/>
        <v>0.75314414917242167</v>
      </c>
      <c r="Q51" s="354">
        <f t="shared" si="5"/>
        <v>0.77393364817758026</v>
      </c>
      <c r="R51" s="354">
        <f t="shared" si="5"/>
        <v>0.78540810979031483</v>
      </c>
      <c r="S51" s="351">
        <v>48.829545431849418</v>
      </c>
    </row>
  </sheetData>
  <mergeCells count="4">
    <mergeCell ref="B3:B6"/>
    <mergeCell ref="C3:C6"/>
    <mergeCell ref="B8:C8"/>
    <mergeCell ref="B51:C5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1"/>
  <dimension ref="A1:Q21"/>
  <sheetViews>
    <sheetView topLeftCell="L1" workbookViewId="0">
      <selection activeCell="Q11" sqref="Q11"/>
    </sheetView>
  </sheetViews>
  <sheetFormatPr defaultRowHeight="15"/>
  <cols>
    <col min="2" max="2" width="40.42578125" customWidth="1"/>
    <col min="3" max="3" width="9.5703125" customWidth="1"/>
    <col min="4" max="5" width="12.42578125" customWidth="1"/>
    <col min="6" max="6" width="10.85546875" customWidth="1"/>
    <col min="7" max="7" width="11.7109375" customWidth="1"/>
    <col min="8" max="11" width="11.28515625" customWidth="1"/>
    <col min="12" max="16" width="10.85546875" customWidth="1"/>
    <col min="17" max="17" width="10.42578125" customWidth="1"/>
  </cols>
  <sheetData>
    <row r="1" spans="1:17" ht="23.25" customHeight="1">
      <c r="A1" s="485"/>
      <c r="B1" s="486"/>
      <c r="C1" s="513" t="s">
        <v>379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488"/>
    </row>
    <row r="2" spans="1:17" ht="15" customHeight="1">
      <c r="A2" s="509"/>
      <c r="B2" s="509"/>
      <c r="C2" s="679" t="s">
        <v>418</v>
      </c>
      <c r="D2" s="680"/>
      <c r="E2" s="680"/>
      <c r="F2" s="680"/>
      <c r="G2" s="680"/>
      <c r="H2" s="680"/>
      <c r="I2" s="680"/>
      <c r="J2" s="680"/>
      <c r="K2" s="681"/>
      <c r="L2" s="511"/>
      <c r="M2" s="511"/>
      <c r="N2" s="511"/>
      <c r="O2" s="511"/>
      <c r="P2" s="511"/>
      <c r="Q2" s="512"/>
    </row>
    <row r="3" spans="1:17" ht="94.5" customHeight="1">
      <c r="A3" s="509"/>
      <c r="B3" s="509"/>
      <c r="C3" s="682"/>
      <c r="D3" s="683"/>
      <c r="E3" s="683"/>
      <c r="F3" s="683"/>
      <c r="G3" s="683"/>
      <c r="H3" s="683"/>
      <c r="I3" s="683"/>
      <c r="J3" s="683"/>
      <c r="K3" s="684"/>
      <c r="L3" s="563" t="s">
        <v>421</v>
      </c>
      <c r="M3" s="564"/>
      <c r="N3" s="565"/>
      <c r="O3" s="563" t="s">
        <v>422</v>
      </c>
      <c r="P3" s="564"/>
      <c r="Q3" s="565"/>
    </row>
    <row r="4" spans="1:17" ht="30.75" customHeight="1">
      <c r="A4" s="509"/>
      <c r="B4" s="509"/>
      <c r="C4" s="633" t="s">
        <v>5</v>
      </c>
      <c r="D4" s="634"/>
      <c r="E4" s="635"/>
      <c r="F4" s="633" t="s">
        <v>6</v>
      </c>
      <c r="G4" s="634"/>
      <c r="H4" s="635"/>
      <c r="I4" s="633" t="s">
        <v>425</v>
      </c>
      <c r="J4" s="634"/>
      <c r="K4" s="635"/>
      <c r="L4" s="501"/>
      <c r="M4" s="502"/>
      <c r="N4" s="503"/>
      <c r="O4" s="501"/>
      <c r="P4" s="502"/>
      <c r="Q4" s="503"/>
    </row>
    <row r="5" spans="1:17" ht="15" customHeight="1">
      <c r="A5" s="510"/>
      <c r="B5" s="510"/>
      <c r="C5" s="504" t="s">
        <v>43</v>
      </c>
      <c r="D5" s="504" t="s">
        <v>44</v>
      </c>
      <c r="E5" s="504" t="s">
        <v>3</v>
      </c>
      <c r="F5" s="504" t="s">
        <v>43</v>
      </c>
      <c r="G5" s="504" t="s">
        <v>44</v>
      </c>
      <c r="H5" s="504" t="s">
        <v>3</v>
      </c>
      <c r="I5" s="504" t="s">
        <v>43</v>
      </c>
      <c r="J5" s="504" t="s">
        <v>44</v>
      </c>
      <c r="K5" s="504" t="s">
        <v>3</v>
      </c>
      <c r="L5" s="504" t="s">
        <v>43</v>
      </c>
      <c r="M5" s="504" t="s">
        <v>44</v>
      </c>
      <c r="N5" s="504" t="s">
        <v>3</v>
      </c>
      <c r="O5" s="504" t="s">
        <v>43</v>
      </c>
      <c r="P5" s="504" t="s">
        <v>44</v>
      </c>
      <c r="Q5" s="504" t="s">
        <v>3</v>
      </c>
    </row>
    <row r="6" spans="1:17" s="433" customFormat="1" ht="15.75" hidden="1">
      <c r="A6" s="150">
        <v>1</v>
      </c>
      <c r="B6" s="150">
        <v>2</v>
      </c>
      <c r="C6" s="358">
        <v>3</v>
      </c>
      <c r="D6" s="358">
        <v>4</v>
      </c>
      <c r="E6" s="358">
        <v>5</v>
      </c>
      <c r="F6" s="358">
        <v>6</v>
      </c>
      <c r="G6" s="358">
        <v>7</v>
      </c>
      <c r="H6" s="358">
        <v>8</v>
      </c>
      <c r="I6" s="358">
        <v>9</v>
      </c>
      <c r="J6" s="358">
        <v>10</v>
      </c>
      <c r="K6" s="358">
        <v>11</v>
      </c>
      <c r="L6" s="359">
        <v>6</v>
      </c>
      <c r="M6" s="359">
        <v>7</v>
      </c>
      <c r="N6" s="359">
        <v>8</v>
      </c>
      <c r="O6" s="359">
        <v>9</v>
      </c>
      <c r="P6" s="359">
        <v>10</v>
      </c>
      <c r="Q6" s="359">
        <v>11</v>
      </c>
    </row>
    <row r="7" spans="1:17" ht="33" customHeight="1">
      <c r="A7" s="360">
        <v>1</v>
      </c>
      <c r="B7" s="373" t="s">
        <v>322</v>
      </c>
      <c r="C7" s="361">
        <v>35758</v>
      </c>
      <c r="D7" s="361">
        <v>16159</v>
      </c>
      <c r="E7" s="361">
        <v>51917</v>
      </c>
      <c r="F7" s="361">
        <v>26989</v>
      </c>
      <c r="G7" s="361">
        <v>13283</v>
      </c>
      <c r="H7" s="361">
        <v>40272</v>
      </c>
      <c r="I7" s="495">
        <v>75.476816376754854</v>
      </c>
      <c r="J7" s="495">
        <v>82.201868927532644</v>
      </c>
      <c r="K7" s="495">
        <v>77.569967448042064</v>
      </c>
      <c r="L7" s="361">
        <v>12460</v>
      </c>
      <c r="M7" s="361">
        <v>7143</v>
      </c>
      <c r="N7" s="361">
        <v>19603</v>
      </c>
      <c r="O7" s="495">
        <v>46.166956908370082</v>
      </c>
      <c r="P7" s="495">
        <v>53.775502522020624</v>
      </c>
      <c r="Q7" s="495">
        <v>48.676499801350808</v>
      </c>
    </row>
    <row r="8" spans="1:17" ht="33" hidden="1" customHeight="1">
      <c r="A8" s="360">
        <v>2</v>
      </c>
      <c r="B8" s="373" t="s">
        <v>222</v>
      </c>
      <c r="C8" s="361">
        <v>37664</v>
      </c>
      <c r="D8" s="361">
        <v>15433</v>
      </c>
      <c r="E8" s="361">
        <v>53097</v>
      </c>
      <c r="F8" s="361">
        <v>10803</v>
      </c>
      <c r="G8" s="361">
        <v>5718</v>
      </c>
      <c r="H8" s="361">
        <v>16521</v>
      </c>
      <c r="I8" s="495">
        <v>28.682561597281225</v>
      </c>
      <c r="J8" s="495">
        <v>37.050476252186868</v>
      </c>
      <c r="K8" s="495">
        <v>31.114752245889598</v>
      </c>
      <c r="L8" s="361">
        <v>589</v>
      </c>
      <c r="M8" s="361">
        <v>488</v>
      </c>
      <c r="N8" s="361">
        <v>1077</v>
      </c>
      <c r="O8" s="495">
        <v>5.452189206701842</v>
      </c>
      <c r="P8" s="495">
        <v>8.5344526058062264</v>
      </c>
      <c r="Q8" s="495">
        <v>6.5189758489195562</v>
      </c>
    </row>
    <row r="9" spans="1:17" ht="33" customHeight="1">
      <c r="A9" s="360">
        <v>3</v>
      </c>
      <c r="B9" s="373" t="s">
        <v>223</v>
      </c>
      <c r="C9" s="361">
        <v>54484</v>
      </c>
      <c r="D9" s="361">
        <v>43458</v>
      </c>
      <c r="E9" s="361">
        <v>97942</v>
      </c>
      <c r="F9" s="361">
        <v>28229</v>
      </c>
      <c r="G9" s="361">
        <v>24740</v>
      </c>
      <c r="H9" s="361">
        <v>52969</v>
      </c>
      <c r="I9" s="495">
        <v>51.811541002863223</v>
      </c>
      <c r="J9" s="495">
        <v>56.928528694371572</v>
      </c>
      <c r="K9" s="495">
        <v>54.082007718854022</v>
      </c>
      <c r="L9" s="361">
        <v>1542</v>
      </c>
      <c r="M9" s="361">
        <v>1225</v>
      </c>
      <c r="N9" s="361">
        <v>2767</v>
      </c>
      <c r="O9" s="495">
        <v>5.4624676750859038</v>
      </c>
      <c r="P9" s="495">
        <v>4.9514955537590941</v>
      </c>
      <c r="Q9" s="495">
        <v>5.2238101531084213</v>
      </c>
    </row>
    <row r="10" spans="1:17" ht="33" hidden="1" customHeight="1">
      <c r="A10" s="360">
        <v>4</v>
      </c>
      <c r="B10" s="373" t="s">
        <v>224</v>
      </c>
      <c r="C10" s="361">
        <v>28933</v>
      </c>
      <c r="D10" s="361">
        <v>25179</v>
      </c>
      <c r="E10" s="361">
        <v>54112</v>
      </c>
      <c r="F10" s="361">
        <v>21644</v>
      </c>
      <c r="G10" s="361">
        <v>21212</v>
      </c>
      <c r="H10" s="361">
        <v>42856</v>
      </c>
      <c r="I10" s="495">
        <v>74.807313448311618</v>
      </c>
      <c r="J10" s="495">
        <v>84.244807180587003</v>
      </c>
      <c r="K10" s="495">
        <v>79.198698994677713</v>
      </c>
      <c r="L10" s="361">
        <v>1657</v>
      </c>
      <c r="M10" s="361">
        <v>1743</v>
      </c>
      <c r="N10" s="361">
        <v>3400</v>
      </c>
      <c r="O10" s="495">
        <v>7.6557013491036781</v>
      </c>
      <c r="P10" s="495">
        <v>8.217046954554025</v>
      </c>
      <c r="Q10" s="495">
        <v>7.9335448945305211</v>
      </c>
    </row>
    <row r="11" spans="1:17" ht="33" customHeight="1">
      <c r="A11" s="360">
        <v>5</v>
      </c>
      <c r="B11" s="373" t="s">
        <v>426</v>
      </c>
      <c r="C11" s="361">
        <v>62532</v>
      </c>
      <c r="D11" s="361">
        <v>41689</v>
      </c>
      <c r="E11" s="361">
        <v>104221</v>
      </c>
      <c r="F11" s="361">
        <v>26482</v>
      </c>
      <c r="G11" s="361">
        <v>17655</v>
      </c>
      <c r="H11" s="361">
        <v>44137</v>
      </c>
      <c r="I11" s="495">
        <v>42.349517047271796</v>
      </c>
      <c r="J11" s="495">
        <v>42.349300774784716</v>
      </c>
      <c r="K11" s="495">
        <v>42.349430537031886</v>
      </c>
      <c r="L11" s="361">
        <v>287</v>
      </c>
      <c r="M11" s="361">
        <v>254</v>
      </c>
      <c r="N11" s="361">
        <v>541</v>
      </c>
      <c r="O11" s="495">
        <v>1.0837550033985348</v>
      </c>
      <c r="P11" s="495">
        <v>1.438685924667233</v>
      </c>
      <c r="Q11" s="495">
        <v>1.2257289802206766</v>
      </c>
    </row>
    <row r="12" spans="1:17" ht="33" hidden="1" customHeight="1">
      <c r="A12" s="360">
        <v>6</v>
      </c>
      <c r="B12" s="373" t="s">
        <v>226</v>
      </c>
      <c r="C12" s="361">
        <v>195137</v>
      </c>
      <c r="D12" s="361">
        <v>96353</v>
      </c>
      <c r="E12" s="361">
        <v>291490</v>
      </c>
      <c r="F12" s="361">
        <v>73010</v>
      </c>
      <c r="G12" s="361">
        <v>35590</v>
      </c>
      <c r="H12" s="361">
        <v>108600</v>
      </c>
      <c r="I12" s="495">
        <v>37.414739388224682</v>
      </c>
      <c r="J12" s="495">
        <v>36.937095886998847</v>
      </c>
      <c r="K12" s="495">
        <v>37.256852722220316</v>
      </c>
      <c r="L12" s="361">
        <v>24102</v>
      </c>
      <c r="M12" s="361">
        <v>11659</v>
      </c>
      <c r="N12" s="361">
        <v>35761</v>
      </c>
      <c r="O12" s="495">
        <v>33.011916175866318</v>
      </c>
      <c r="P12" s="495">
        <v>32.759202023040181</v>
      </c>
      <c r="Q12" s="495">
        <v>32.929097605893183</v>
      </c>
    </row>
    <row r="13" spans="1:17" s="394" customFormat="1" ht="33" hidden="1" customHeight="1">
      <c r="A13" s="469">
        <v>7</v>
      </c>
      <c r="B13" s="470" t="s">
        <v>373</v>
      </c>
      <c r="C13" s="471">
        <v>41458</v>
      </c>
      <c r="D13" s="471">
        <v>12694</v>
      </c>
      <c r="E13" s="471">
        <v>54152</v>
      </c>
      <c r="F13" s="471">
        <v>12012</v>
      </c>
      <c r="G13" s="471">
        <v>5366</v>
      </c>
      <c r="H13" s="471">
        <v>17378</v>
      </c>
      <c r="I13" s="495">
        <v>28.97390129769888</v>
      </c>
      <c r="J13" s="495">
        <v>42.271939498975897</v>
      </c>
      <c r="K13" s="495">
        <v>32.091150834687546</v>
      </c>
      <c r="L13" s="471">
        <v>481</v>
      </c>
      <c r="M13" s="471">
        <v>577</v>
      </c>
      <c r="N13" s="471">
        <v>1058</v>
      </c>
      <c r="O13" s="499">
        <v>4.0043290043290041</v>
      </c>
      <c r="P13" s="499">
        <v>10.752888557584793</v>
      </c>
      <c r="Q13" s="499">
        <v>6.0881574404419379</v>
      </c>
    </row>
    <row r="14" spans="1:17" ht="33" hidden="1" customHeight="1">
      <c r="A14" s="360">
        <v>8</v>
      </c>
      <c r="B14" s="373" t="s">
        <v>386</v>
      </c>
      <c r="C14" s="361">
        <v>8634</v>
      </c>
      <c r="D14" s="361">
        <v>9919</v>
      </c>
      <c r="E14" s="361">
        <v>18553</v>
      </c>
      <c r="F14" s="361">
        <v>2363</v>
      </c>
      <c r="G14" s="361">
        <v>3067</v>
      </c>
      <c r="H14" s="361">
        <v>5430</v>
      </c>
      <c r="I14" s="495">
        <v>27.368542969654854</v>
      </c>
      <c r="J14" s="495">
        <v>30.920455691097892</v>
      </c>
      <c r="K14" s="495">
        <v>29.267503907723817</v>
      </c>
      <c r="L14" s="471">
        <v>481</v>
      </c>
      <c r="M14" s="471">
        <v>577</v>
      </c>
      <c r="N14" s="471">
        <v>1058</v>
      </c>
      <c r="O14" s="495">
        <v>20.355480321625055</v>
      </c>
      <c r="P14" s="495">
        <v>18.813172481252035</v>
      </c>
      <c r="Q14" s="495">
        <v>19.484346224677719</v>
      </c>
    </row>
    <row r="15" spans="1:17" ht="33" hidden="1" customHeight="1">
      <c r="A15" s="506" t="s">
        <v>3</v>
      </c>
      <c r="B15" s="507"/>
      <c r="C15" s="364">
        <v>464600</v>
      </c>
      <c r="D15" s="364">
        <v>260884</v>
      </c>
      <c r="E15" s="364">
        <v>725484</v>
      </c>
      <c r="F15" s="364">
        <v>201532</v>
      </c>
      <c r="G15" s="364">
        <v>126631</v>
      </c>
      <c r="H15" s="364">
        <v>328163</v>
      </c>
      <c r="I15" s="496">
        <v>43.377529057253547</v>
      </c>
      <c r="J15" s="496">
        <v>48.539197497738456</v>
      </c>
      <c r="K15" s="496">
        <v>45.233664698325533</v>
      </c>
      <c r="L15" s="364">
        <v>41599</v>
      </c>
      <c r="M15" s="364">
        <v>23666</v>
      </c>
      <c r="N15" s="364">
        <v>65265</v>
      </c>
      <c r="O15" s="496">
        <v>20.641386975765634</v>
      </c>
      <c r="P15" s="496">
        <v>18.688946624444252</v>
      </c>
      <c r="Q15" s="496">
        <v>19.887982496503263</v>
      </c>
    </row>
    <row r="16" spans="1:17" ht="18" hidden="1" customHeight="1">
      <c r="A16" s="508"/>
      <c r="B16" s="508"/>
      <c r="C16" s="494" t="s">
        <v>227</v>
      </c>
      <c r="D16" s="484"/>
      <c r="E16" s="484"/>
      <c r="F16" s="484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</row>
    <row r="17" spans="1:17" ht="18.75" hidden="1" customHeight="1">
      <c r="A17" s="505"/>
      <c r="B17" s="505"/>
      <c r="C17" s="497" t="s">
        <v>427</v>
      </c>
      <c r="D17" s="467"/>
      <c r="E17" s="467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</row>
    <row r="19" spans="1:17">
      <c r="E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</row>
    <row r="20" spans="1:17">
      <c r="E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</row>
    <row r="21" spans="1:17"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</row>
  </sheetData>
  <autoFilter ref="A5:CK17">
    <filterColumn colId="16">
      <filters>
        <filter val="1.23"/>
        <filter val="48.68"/>
        <filter val="5.22"/>
      </filters>
    </filterColumn>
  </autoFilter>
  <mergeCells count="6">
    <mergeCell ref="L3:N3"/>
    <mergeCell ref="O3:Q3"/>
    <mergeCell ref="C2:K3"/>
    <mergeCell ref="C4:E4"/>
    <mergeCell ref="F4:H4"/>
    <mergeCell ref="I4:K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60" workbookViewId="0">
      <selection activeCell="L40" sqref="L40"/>
    </sheetView>
  </sheetViews>
  <sheetFormatPr defaultRowHeight="15"/>
  <cols>
    <col min="1" max="1" width="9.28515625" bestFit="1" customWidth="1"/>
    <col min="2" max="2" width="15.28515625" customWidth="1"/>
    <col min="3" max="3" width="15.5703125" customWidth="1"/>
    <col min="4" max="4" width="14" customWidth="1"/>
    <col min="5" max="5" width="13.28515625" customWidth="1"/>
    <col min="6" max="7" width="11.5703125" bestFit="1" customWidth="1"/>
    <col min="8" max="8" width="13" bestFit="1" customWidth="1"/>
    <col min="9" max="9" width="11.5703125" bestFit="1" customWidth="1"/>
    <col min="10" max="10" width="13.28515625" customWidth="1"/>
    <col min="11" max="11" width="12.28515625" customWidth="1"/>
    <col min="12" max="14" width="11.5703125" bestFit="1" customWidth="1"/>
    <col min="15" max="15" width="11.5703125" customWidth="1"/>
    <col min="16" max="16" width="11.28515625" customWidth="1"/>
    <col min="17" max="17" width="12.28515625" customWidth="1"/>
    <col min="18" max="18" width="11.28515625" customWidth="1"/>
    <col min="19" max="19" width="11.140625" customWidth="1"/>
    <col min="20" max="20" width="11.85546875" customWidth="1"/>
  </cols>
  <sheetData>
    <row r="1" spans="1:20" ht="51" customHeight="1">
      <c r="A1" s="131"/>
      <c r="B1" s="131"/>
      <c r="C1" s="685" t="s">
        <v>449</v>
      </c>
      <c r="D1" s="685"/>
      <c r="E1" s="685"/>
      <c r="F1" s="685"/>
      <c r="G1" s="685"/>
      <c r="H1" s="685"/>
      <c r="I1" s="685" t="s">
        <v>449</v>
      </c>
      <c r="J1" s="685"/>
      <c r="K1" s="685"/>
      <c r="L1" s="685"/>
      <c r="M1" s="685"/>
      <c r="N1" s="685"/>
      <c r="O1" s="685" t="s">
        <v>449</v>
      </c>
      <c r="P1" s="685"/>
      <c r="Q1" s="685"/>
      <c r="R1" s="685"/>
      <c r="S1" s="685"/>
      <c r="T1" s="685"/>
    </row>
    <row r="2" spans="1:20" ht="15" customHeight="1">
      <c r="A2" s="604" t="s">
        <v>218</v>
      </c>
      <c r="B2" s="588" t="s">
        <v>327</v>
      </c>
      <c r="C2" s="604" t="s">
        <v>188</v>
      </c>
      <c r="D2" s="604"/>
      <c r="E2" s="604"/>
      <c r="F2" s="604"/>
      <c r="G2" s="604"/>
      <c r="H2" s="604"/>
      <c r="I2" s="604" t="s">
        <v>188</v>
      </c>
      <c r="J2" s="604"/>
      <c r="K2" s="604"/>
      <c r="L2" s="604"/>
      <c r="M2" s="604"/>
      <c r="N2" s="604"/>
      <c r="O2" s="604" t="s">
        <v>188</v>
      </c>
      <c r="P2" s="604"/>
      <c r="Q2" s="604"/>
      <c r="R2" s="604"/>
      <c r="S2" s="604"/>
      <c r="T2" s="604"/>
    </row>
    <row r="3" spans="1:20">
      <c r="A3" s="604"/>
      <c r="B3" s="589"/>
      <c r="C3" s="604" t="s">
        <v>219</v>
      </c>
      <c r="D3" s="604"/>
      <c r="E3" s="604"/>
      <c r="F3" s="604"/>
      <c r="G3" s="604"/>
      <c r="H3" s="604"/>
      <c r="I3" s="604" t="s">
        <v>220</v>
      </c>
      <c r="J3" s="604"/>
      <c r="K3" s="604"/>
      <c r="L3" s="604"/>
      <c r="M3" s="604"/>
      <c r="N3" s="604"/>
      <c r="O3" s="604" t="s">
        <v>221</v>
      </c>
      <c r="P3" s="604"/>
      <c r="Q3" s="604"/>
      <c r="R3" s="604"/>
      <c r="S3" s="604"/>
      <c r="T3" s="604"/>
    </row>
    <row r="4" spans="1:20">
      <c r="A4" s="604"/>
      <c r="B4" s="589"/>
      <c r="C4" s="604" t="s">
        <v>5</v>
      </c>
      <c r="D4" s="604"/>
      <c r="E4" s="604"/>
      <c r="F4" s="604" t="s">
        <v>6</v>
      </c>
      <c r="G4" s="604"/>
      <c r="H4" s="604"/>
      <c r="I4" s="604" t="s">
        <v>5</v>
      </c>
      <c r="J4" s="604"/>
      <c r="K4" s="604"/>
      <c r="L4" s="604" t="s">
        <v>6</v>
      </c>
      <c r="M4" s="604"/>
      <c r="N4" s="604"/>
      <c r="O4" s="604" t="s">
        <v>5</v>
      </c>
      <c r="P4" s="604"/>
      <c r="Q4" s="604"/>
      <c r="R4" s="604" t="s">
        <v>6</v>
      </c>
      <c r="S4" s="604"/>
      <c r="T4" s="604"/>
    </row>
    <row r="5" spans="1:20">
      <c r="A5" s="604"/>
      <c r="B5" s="589"/>
      <c r="C5" s="531" t="s">
        <v>43</v>
      </c>
      <c r="D5" s="531" t="s">
        <v>44</v>
      </c>
      <c r="E5" s="531" t="s">
        <v>3</v>
      </c>
      <c r="F5" s="531" t="s">
        <v>43</v>
      </c>
      <c r="G5" s="531" t="s">
        <v>44</v>
      </c>
      <c r="H5" s="531" t="s">
        <v>3</v>
      </c>
      <c r="I5" s="531" t="s">
        <v>43</v>
      </c>
      <c r="J5" s="531" t="s">
        <v>44</v>
      </c>
      <c r="K5" s="531" t="s">
        <v>3</v>
      </c>
      <c r="L5" s="531" t="s">
        <v>43</v>
      </c>
      <c r="M5" s="531" t="s">
        <v>44</v>
      </c>
      <c r="N5" s="531" t="s">
        <v>3</v>
      </c>
      <c r="O5" s="531" t="s">
        <v>43</v>
      </c>
      <c r="P5" s="531" t="s">
        <v>44</v>
      </c>
      <c r="Q5" s="531" t="s">
        <v>3</v>
      </c>
      <c r="R5" s="531" t="s">
        <v>43</v>
      </c>
      <c r="S5" s="531" t="s">
        <v>44</v>
      </c>
      <c r="T5" s="531" t="s">
        <v>3</v>
      </c>
    </row>
    <row r="6" spans="1:20">
      <c r="A6" s="134">
        <v>1</v>
      </c>
      <c r="B6" s="134">
        <v>2</v>
      </c>
      <c r="C6" s="134">
        <v>3</v>
      </c>
      <c r="D6" s="134">
        <v>4</v>
      </c>
      <c r="E6" s="134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34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34">
        <v>17</v>
      </c>
      <c r="R6" s="134">
        <v>18</v>
      </c>
      <c r="S6" s="134">
        <v>19</v>
      </c>
      <c r="T6" s="134">
        <v>20</v>
      </c>
    </row>
    <row r="7" spans="1:20" ht="15.75">
      <c r="A7" s="135">
        <v>2010</v>
      </c>
      <c r="B7" s="136">
        <v>34</v>
      </c>
      <c r="C7" s="137">
        <v>9374906</v>
      </c>
      <c r="D7" s="137">
        <v>7351211</v>
      </c>
      <c r="E7" s="137">
        <v>16726117</v>
      </c>
      <c r="F7" s="137">
        <v>6862354</v>
      </c>
      <c r="G7" s="137">
        <v>5687118</v>
      </c>
      <c r="H7" s="137">
        <v>12549472</v>
      </c>
      <c r="I7" s="137">
        <v>1517853</v>
      </c>
      <c r="J7" s="137">
        <v>1169643</v>
      </c>
      <c r="K7" s="137">
        <v>2687496</v>
      </c>
      <c r="L7" s="137">
        <v>1020344</v>
      </c>
      <c r="M7" s="137">
        <v>834309</v>
      </c>
      <c r="N7" s="137">
        <v>1854653</v>
      </c>
      <c r="O7" s="137">
        <v>613490</v>
      </c>
      <c r="P7" s="137">
        <v>476366</v>
      </c>
      <c r="Q7" s="137">
        <v>1089856</v>
      </c>
      <c r="R7" s="137">
        <v>382583</v>
      </c>
      <c r="S7" s="137">
        <v>293139</v>
      </c>
      <c r="T7" s="137">
        <v>675722</v>
      </c>
    </row>
    <row r="8" spans="1:20" ht="15.75">
      <c r="A8" s="138">
        <v>2011</v>
      </c>
      <c r="B8" s="136">
        <v>34</v>
      </c>
      <c r="C8" s="137">
        <v>9799667</v>
      </c>
      <c r="D8" s="137">
        <v>7818871</v>
      </c>
      <c r="E8" s="137">
        <v>17623309</v>
      </c>
      <c r="F8" s="137">
        <v>7183560</v>
      </c>
      <c r="G8" s="137">
        <v>6013853</v>
      </c>
      <c r="H8" s="137">
        <v>13199625</v>
      </c>
      <c r="I8" s="137">
        <v>1687903</v>
      </c>
      <c r="J8" s="137">
        <v>1379568</v>
      </c>
      <c r="K8" s="137">
        <v>3067471</v>
      </c>
      <c r="L8" s="137">
        <v>1150634</v>
      </c>
      <c r="M8" s="137">
        <v>977953</v>
      </c>
      <c r="N8" s="137">
        <v>2128587</v>
      </c>
      <c r="O8" s="137">
        <v>661275</v>
      </c>
      <c r="P8" s="137">
        <v>531300</v>
      </c>
      <c r="Q8" s="137">
        <v>1192575</v>
      </c>
      <c r="R8" s="137">
        <v>415430</v>
      </c>
      <c r="S8" s="137">
        <v>332993</v>
      </c>
      <c r="T8" s="137">
        <v>748423</v>
      </c>
    </row>
    <row r="9" spans="1:20" ht="15.75">
      <c r="A9" s="135">
        <v>2012</v>
      </c>
      <c r="B9" s="136">
        <v>34</v>
      </c>
      <c r="C9" s="137">
        <v>9939916</v>
      </c>
      <c r="D9" s="137">
        <v>8086742</v>
      </c>
      <c r="E9" s="137">
        <v>18026658</v>
      </c>
      <c r="F9" s="137">
        <v>7430776</v>
      </c>
      <c r="G9" s="137">
        <v>6334551</v>
      </c>
      <c r="H9" s="137">
        <v>13765327</v>
      </c>
      <c r="I9" s="137">
        <v>1596559</v>
      </c>
      <c r="J9" s="137">
        <v>1285426</v>
      </c>
      <c r="K9" s="137">
        <v>2881985</v>
      </c>
      <c r="L9" s="137">
        <v>1097023</v>
      </c>
      <c r="M9" s="137">
        <v>932159</v>
      </c>
      <c r="N9" s="137">
        <v>2029182</v>
      </c>
      <c r="O9" s="137">
        <v>638691</v>
      </c>
      <c r="P9" s="137">
        <v>547182</v>
      </c>
      <c r="Q9" s="137">
        <v>1185873</v>
      </c>
      <c r="R9" s="137">
        <v>395747</v>
      </c>
      <c r="S9" s="137">
        <v>334876</v>
      </c>
      <c r="T9" s="137">
        <v>730623</v>
      </c>
    </row>
    <row r="10" spans="1:20" ht="15.75">
      <c r="A10" s="138">
        <v>2013</v>
      </c>
      <c r="B10" s="136">
        <v>35</v>
      </c>
      <c r="C10" s="137">
        <v>10507044</v>
      </c>
      <c r="D10" s="137">
        <v>8617208</v>
      </c>
      <c r="E10" s="137">
        <v>19124252</v>
      </c>
      <c r="F10" s="137">
        <v>8037590</v>
      </c>
      <c r="G10" s="137">
        <v>6932924</v>
      </c>
      <c r="H10" s="137">
        <v>14970514</v>
      </c>
      <c r="I10" s="137">
        <v>1765636</v>
      </c>
      <c r="J10" s="137">
        <v>1459662</v>
      </c>
      <c r="K10" s="137">
        <v>3225298</v>
      </c>
      <c r="L10" s="137">
        <v>1232058</v>
      </c>
      <c r="M10" s="137">
        <v>1076244</v>
      </c>
      <c r="N10" s="137">
        <v>2308302</v>
      </c>
      <c r="O10" s="137">
        <v>745569</v>
      </c>
      <c r="P10" s="137">
        <v>656963</v>
      </c>
      <c r="Q10" s="137">
        <v>1402532</v>
      </c>
      <c r="R10" s="137">
        <v>480652</v>
      </c>
      <c r="S10" s="137">
        <v>426303</v>
      </c>
      <c r="T10" s="137">
        <v>906955</v>
      </c>
    </row>
    <row r="11" spans="1:20" ht="15.75">
      <c r="A11" s="138">
        <v>2014</v>
      </c>
      <c r="B11" s="136">
        <v>35</v>
      </c>
      <c r="C11" s="137">
        <v>10229689</v>
      </c>
      <c r="D11" s="137">
        <v>8625318</v>
      </c>
      <c r="E11" s="137">
        <v>18855007</v>
      </c>
      <c r="F11" s="137">
        <v>8041716</v>
      </c>
      <c r="G11" s="137">
        <v>7053738</v>
      </c>
      <c r="H11" s="137">
        <v>15095454</v>
      </c>
      <c r="I11" s="137">
        <v>1756049</v>
      </c>
      <c r="J11" s="137">
        <v>1485264</v>
      </c>
      <c r="K11" s="137">
        <v>3241313</v>
      </c>
      <c r="L11" s="137">
        <v>1268455</v>
      </c>
      <c r="M11" s="137">
        <v>1124169</v>
      </c>
      <c r="N11" s="137">
        <v>2392586</v>
      </c>
      <c r="O11" s="137">
        <v>757751</v>
      </c>
      <c r="P11" s="137">
        <v>694604</v>
      </c>
      <c r="Q11" s="137">
        <v>1452355</v>
      </c>
      <c r="R11" s="137">
        <v>501712</v>
      </c>
      <c r="S11" s="137">
        <v>450920</v>
      </c>
      <c r="T11" s="137">
        <v>952632</v>
      </c>
    </row>
    <row r="12" spans="1:20" ht="15.75">
      <c r="A12" s="138">
        <v>2015</v>
      </c>
      <c r="B12" s="136">
        <v>35</v>
      </c>
      <c r="C12" s="137">
        <v>10078588</v>
      </c>
      <c r="D12" s="137">
        <v>8708092</v>
      </c>
      <c r="E12" s="137">
        <v>18786680</v>
      </c>
      <c r="F12" s="137">
        <v>7830993</v>
      </c>
      <c r="G12" s="137">
        <v>7038908</v>
      </c>
      <c r="H12" s="137">
        <v>14869901</v>
      </c>
      <c r="I12" s="137">
        <v>1728900</v>
      </c>
      <c r="J12" s="137">
        <v>1495210</v>
      </c>
      <c r="K12" s="137">
        <v>3224110</v>
      </c>
      <c r="L12" s="137">
        <v>1244282</v>
      </c>
      <c r="M12" s="137">
        <v>1119501</v>
      </c>
      <c r="N12" s="137">
        <v>2363783</v>
      </c>
      <c r="O12" s="137">
        <v>756299</v>
      </c>
      <c r="P12" s="137">
        <v>711597</v>
      </c>
      <c r="Q12" s="137">
        <v>1467896</v>
      </c>
      <c r="R12" s="137">
        <v>491790</v>
      </c>
      <c r="S12" s="137">
        <v>449720</v>
      </c>
      <c r="T12" s="137">
        <v>941510</v>
      </c>
    </row>
    <row r="13" spans="1:20" ht="15.75">
      <c r="A13" s="138">
        <v>2016</v>
      </c>
      <c r="B13" s="144">
        <v>42</v>
      </c>
      <c r="C13" s="137">
        <v>10446940</v>
      </c>
      <c r="D13" s="137">
        <v>8948878</v>
      </c>
      <c r="E13" s="137">
        <v>19395818</v>
      </c>
      <c r="F13" s="137">
        <v>8118493</v>
      </c>
      <c r="G13" s="137">
        <v>7140555</v>
      </c>
      <c r="H13" s="137">
        <v>15259048</v>
      </c>
      <c r="I13" s="137">
        <v>1840866</v>
      </c>
      <c r="J13" s="137">
        <v>1590816</v>
      </c>
      <c r="K13" s="137">
        <v>3431682</v>
      </c>
      <c r="L13" s="137">
        <v>1324673</v>
      </c>
      <c r="M13" s="137">
        <v>1187053</v>
      </c>
      <c r="N13" s="137">
        <v>2511726</v>
      </c>
      <c r="O13" s="137">
        <v>779133</v>
      </c>
      <c r="P13" s="137">
        <v>734656</v>
      </c>
      <c r="Q13" s="137">
        <v>1513789</v>
      </c>
      <c r="R13" s="137">
        <v>507673</v>
      </c>
      <c r="S13" s="137">
        <v>476877</v>
      </c>
      <c r="T13" s="137">
        <v>984550</v>
      </c>
    </row>
    <row r="14" spans="1:20" ht="15.75">
      <c r="A14" s="138">
        <v>2017</v>
      </c>
      <c r="B14" s="136">
        <v>41</v>
      </c>
      <c r="C14" s="137">
        <v>10348879</v>
      </c>
      <c r="D14" s="137">
        <v>8980409</v>
      </c>
      <c r="E14" s="137">
        <v>19329288</v>
      </c>
      <c r="F14" s="137">
        <v>7875107</v>
      </c>
      <c r="G14" s="137">
        <v>7008989</v>
      </c>
      <c r="H14" s="137">
        <v>14884096</v>
      </c>
      <c r="I14" s="137">
        <v>1821719</v>
      </c>
      <c r="J14" s="137">
        <v>1619061</v>
      </c>
      <c r="K14" s="137">
        <v>3440780</v>
      </c>
      <c r="L14" s="137">
        <v>1268786</v>
      </c>
      <c r="M14" s="137">
        <v>1163597</v>
      </c>
      <c r="N14" s="137">
        <v>2432383</v>
      </c>
      <c r="O14" s="137">
        <v>760652</v>
      </c>
      <c r="P14" s="137">
        <v>734458</v>
      </c>
      <c r="Q14" s="137">
        <v>1495110</v>
      </c>
      <c r="R14" s="137">
        <v>510976</v>
      </c>
      <c r="S14" s="137">
        <v>493145</v>
      </c>
      <c r="T14" s="137">
        <v>1004121</v>
      </c>
    </row>
    <row r="15" spans="1:20" ht="15.75">
      <c r="A15" s="138">
        <v>2018</v>
      </c>
      <c r="B15" s="136">
        <v>42</v>
      </c>
      <c r="C15" s="137">
        <v>10189637</v>
      </c>
      <c r="D15" s="137">
        <v>8959443</v>
      </c>
      <c r="E15" s="137">
        <v>19151834</v>
      </c>
      <c r="F15" s="137">
        <v>7650247</v>
      </c>
      <c r="G15" s="137">
        <v>6912784</v>
      </c>
      <c r="H15" s="137">
        <v>14996277</v>
      </c>
      <c r="I15" s="137">
        <v>1786065</v>
      </c>
      <c r="J15" s="137">
        <v>1595029</v>
      </c>
      <c r="K15" s="137">
        <v>3425079</v>
      </c>
      <c r="L15" s="137">
        <v>1278347</v>
      </c>
      <c r="M15" s="137">
        <v>1161297</v>
      </c>
      <c r="N15" s="137">
        <v>2481517</v>
      </c>
      <c r="O15" s="137">
        <v>746556</v>
      </c>
      <c r="P15" s="137">
        <v>726811</v>
      </c>
      <c r="Q15" s="137">
        <v>1481475</v>
      </c>
      <c r="R15" s="137">
        <v>502088</v>
      </c>
      <c r="S15" s="137">
        <v>493657</v>
      </c>
      <c r="T15" s="137">
        <v>1002800</v>
      </c>
    </row>
    <row r="16" spans="1:20" ht="15.75">
      <c r="A16" s="141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ht="42" customHeight="1">
      <c r="A17" s="131"/>
      <c r="C17" s="685" t="s">
        <v>447</v>
      </c>
      <c r="D17" s="685"/>
      <c r="E17" s="685"/>
      <c r="F17" s="685"/>
      <c r="G17" s="685"/>
      <c r="H17" s="685"/>
      <c r="I17" s="685" t="s">
        <v>447</v>
      </c>
      <c r="J17" s="685"/>
      <c r="K17" s="685"/>
      <c r="L17" s="685"/>
      <c r="M17" s="685"/>
      <c r="N17" s="685"/>
      <c r="O17" s="685" t="s">
        <v>447</v>
      </c>
      <c r="P17" s="685"/>
      <c r="Q17" s="685"/>
      <c r="R17" s="685"/>
      <c r="S17" s="685"/>
      <c r="T17" s="685"/>
    </row>
    <row r="18" spans="1:20" ht="15" customHeight="1">
      <c r="A18" s="604" t="s">
        <v>218</v>
      </c>
      <c r="B18" s="588" t="s">
        <v>327</v>
      </c>
      <c r="C18" s="604" t="s">
        <v>188</v>
      </c>
      <c r="D18" s="604"/>
      <c r="E18" s="604"/>
      <c r="F18" s="604"/>
      <c r="G18" s="604"/>
      <c r="H18" s="604"/>
      <c r="I18" s="604" t="s">
        <v>188</v>
      </c>
      <c r="J18" s="604"/>
      <c r="K18" s="604"/>
      <c r="L18" s="604"/>
      <c r="M18" s="604"/>
      <c r="N18" s="604"/>
      <c r="O18" s="604" t="s">
        <v>188</v>
      </c>
      <c r="P18" s="604"/>
      <c r="Q18" s="604"/>
      <c r="R18" s="604"/>
      <c r="S18" s="604"/>
      <c r="T18" s="604"/>
    </row>
    <row r="19" spans="1:20">
      <c r="A19" s="604"/>
      <c r="B19" s="589"/>
      <c r="C19" s="604" t="s">
        <v>219</v>
      </c>
      <c r="D19" s="604"/>
      <c r="E19" s="604"/>
      <c r="F19" s="604"/>
      <c r="G19" s="604"/>
      <c r="H19" s="604"/>
      <c r="I19" s="604" t="s">
        <v>220</v>
      </c>
      <c r="J19" s="604"/>
      <c r="K19" s="604"/>
      <c r="L19" s="604"/>
      <c r="M19" s="604"/>
      <c r="N19" s="604"/>
      <c r="O19" s="604" t="s">
        <v>221</v>
      </c>
      <c r="P19" s="604"/>
      <c r="Q19" s="604"/>
      <c r="R19" s="604"/>
      <c r="S19" s="604"/>
      <c r="T19" s="604"/>
    </row>
    <row r="20" spans="1:20">
      <c r="A20" s="604"/>
      <c r="B20" s="589"/>
      <c r="C20" s="604" t="s">
        <v>5</v>
      </c>
      <c r="D20" s="604"/>
      <c r="E20" s="604"/>
      <c r="F20" s="604" t="s">
        <v>6</v>
      </c>
      <c r="G20" s="604"/>
      <c r="H20" s="604"/>
      <c r="I20" s="604" t="s">
        <v>5</v>
      </c>
      <c r="J20" s="604"/>
      <c r="K20" s="604"/>
      <c r="L20" s="604" t="s">
        <v>6</v>
      </c>
      <c r="M20" s="604"/>
      <c r="N20" s="604"/>
      <c r="O20" s="604" t="s">
        <v>5</v>
      </c>
      <c r="P20" s="604"/>
      <c r="Q20" s="604"/>
      <c r="R20" s="604" t="s">
        <v>6</v>
      </c>
      <c r="S20" s="604"/>
      <c r="T20" s="604"/>
    </row>
    <row r="21" spans="1:20">
      <c r="A21" s="604"/>
      <c r="B21" s="589"/>
      <c r="C21" s="531" t="s">
        <v>43</v>
      </c>
      <c r="D21" s="531" t="s">
        <v>44</v>
      </c>
      <c r="E21" s="531" t="s">
        <v>3</v>
      </c>
      <c r="F21" s="531" t="s">
        <v>43</v>
      </c>
      <c r="G21" s="531" t="s">
        <v>44</v>
      </c>
      <c r="H21" s="531" t="s">
        <v>3</v>
      </c>
      <c r="I21" s="531" t="s">
        <v>43</v>
      </c>
      <c r="J21" s="531" t="s">
        <v>44</v>
      </c>
      <c r="K21" s="531" t="s">
        <v>3</v>
      </c>
      <c r="L21" s="531" t="s">
        <v>43</v>
      </c>
      <c r="M21" s="531" t="s">
        <v>44</v>
      </c>
      <c r="N21" s="531" t="s">
        <v>3</v>
      </c>
      <c r="O21" s="531" t="s">
        <v>43</v>
      </c>
      <c r="P21" s="531" t="s">
        <v>44</v>
      </c>
      <c r="Q21" s="531" t="s">
        <v>3</v>
      </c>
      <c r="R21" s="531" t="s">
        <v>43</v>
      </c>
      <c r="S21" s="531" t="s">
        <v>44</v>
      </c>
      <c r="T21" s="531" t="s">
        <v>3</v>
      </c>
    </row>
    <row r="22" spans="1:20">
      <c r="A22" s="142">
        <v>1</v>
      </c>
      <c r="B22" s="134">
        <v>2</v>
      </c>
      <c r="C22" s="134">
        <v>3</v>
      </c>
      <c r="D22" s="134">
        <v>4</v>
      </c>
      <c r="E22" s="134">
        <v>5</v>
      </c>
      <c r="F22" s="134">
        <v>6</v>
      </c>
      <c r="G22" s="134">
        <v>7</v>
      </c>
      <c r="H22" s="134">
        <v>8</v>
      </c>
      <c r="I22" s="134">
        <v>9</v>
      </c>
      <c r="J22" s="134">
        <v>10</v>
      </c>
      <c r="K22" s="134">
        <v>11</v>
      </c>
      <c r="L22" s="134">
        <v>12</v>
      </c>
      <c r="M22" s="134">
        <v>13</v>
      </c>
      <c r="N22" s="134">
        <v>14</v>
      </c>
      <c r="O22" s="134">
        <v>15</v>
      </c>
      <c r="P22" s="134">
        <v>16</v>
      </c>
      <c r="Q22" s="134">
        <v>17</v>
      </c>
      <c r="R22" s="134">
        <v>18</v>
      </c>
      <c r="S22" s="134">
        <v>19</v>
      </c>
      <c r="T22" s="134">
        <v>20</v>
      </c>
    </row>
    <row r="23" spans="1:20" ht="15.75">
      <c r="A23" s="138">
        <v>2010</v>
      </c>
      <c r="B23" s="136">
        <v>6</v>
      </c>
      <c r="C23" s="137">
        <v>309135</v>
      </c>
      <c r="D23" s="137">
        <v>214714</v>
      </c>
      <c r="E23" s="137">
        <v>523849</v>
      </c>
      <c r="F23" s="137">
        <v>166883</v>
      </c>
      <c r="G23" s="137">
        <v>106029</v>
      </c>
      <c r="H23" s="137">
        <v>272912</v>
      </c>
      <c r="I23" s="137">
        <v>44666</v>
      </c>
      <c r="J23" s="137">
        <v>27770</v>
      </c>
      <c r="K23" s="137">
        <v>72436</v>
      </c>
      <c r="L23" s="137">
        <v>23557</v>
      </c>
      <c r="M23" s="137">
        <v>13670</v>
      </c>
      <c r="N23" s="137">
        <v>37227</v>
      </c>
      <c r="O23" s="137">
        <v>29962</v>
      </c>
      <c r="P23" s="137">
        <v>25670</v>
      </c>
      <c r="Q23" s="137">
        <v>55632</v>
      </c>
      <c r="R23" s="137">
        <v>14045</v>
      </c>
      <c r="S23" s="137">
        <v>12019</v>
      </c>
      <c r="T23" s="137">
        <v>26064</v>
      </c>
    </row>
    <row r="24" spans="1:20" ht="15.75">
      <c r="A24" s="138">
        <v>2011</v>
      </c>
      <c r="B24" s="136">
        <v>6</v>
      </c>
      <c r="C24" s="137">
        <v>318896</v>
      </c>
      <c r="D24" s="137">
        <v>219066</v>
      </c>
      <c r="E24" s="137">
        <v>537962</v>
      </c>
      <c r="F24" s="137">
        <v>187686</v>
      </c>
      <c r="G24" s="137">
        <v>117295</v>
      </c>
      <c r="H24" s="137">
        <v>304981</v>
      </c>
      <c r="I24" s="137">
        <v>54250</v>
      </c>
      <c r="J24" s="137">
        <v>33662</v>
      </c>
      <c r="K24" s="137">
        <v>87912</v>
      </c>
      <c r="L24" s="137">
        <v>30472</v>
      </c>
      <c r="M24" s="137">
        <v>18269</v>
      </c>
      <c r="N24" s="137">
        <v>48741</v>
      </c>
      <c r="O24" s="137">
        <v>36915</v>
      </c>
      <c r="P24" s="137">
        <v>31149</v>
      </c>
      <c r="Q24" s="137">
        <v>68064</v>
      </c>
      <c r="R24" s="137">
        <v>22923</v>
      </c>
      <c r="S24" s="137">
        <v>16365</v>
      </c>
      <c r="T24" s="137">
        <v>39288</v>
      </c>
    </row>
    <row r="25" spans="1:20" ht="15.75">
      <c r="A25" s="138">
        <v>2012</v>
      </c>
      <c r="B25" s="136">
        <v>6</v>
      </c>
      <c r="C25" s="137">
        <v>347228</v>
      </c>
      <c r="D25" s="137">
        <v>200891</v>
      </c>
      <c r="E25" s="137">
        <v>548119</v>
      </c>
      <c r="F25" s="137">
        <v>217754</v>
      </c>
      <c r="G25" s="137">
        <v>128039</v>
      </c>
      <c r="H25" s="137">
        <v>345793</v>
      </c>
      <c r="I25" s="137">
        <v>56716</v>
      </c>
      <c r="J25" s="137">
        <v>29791</v>
      </c>
      <c r="K25" s="137">
        <v>86507</v>
      </c>
      <c r="L25" s="137">
        <v>35086</v>
      </c>
      <c r="M25" s="137">
        <v>18274</v>
      </c>
      <c r="N25" s="137">
        <v>53360</v>
      </c>
      <c r="O25" s="137">
        <v>39167</v>
      </c>
      <c r="P25" s="137">
        <v>28097</v>
      </c>
      <c r="Q25" s="137">
        <v>67264</v>
      </c>
      <c r="R25" s="137">
        <v>21215</v>
      </c>
      <c r="S25" s="137">
        <v>17900</v>
      </c>
      <c r="T25" s="137">
        <v>39115</v>
      </c>
    </row>
    <row r="26" spans="1:20" ht="15.75">
      <c r="A26" s="138">
        <v>2013</v>
      </c>
      <c r="B26" s="136">
        <v>6</v>
      </c>
      <c r="C26" s="137">
        <v>397611</v>
      </c>
      <c r="D26" s="137">
        <v>212752</v>
      </c>
      <c r="E26" s="137">
        <v>610363</v>
      </c>
      <c r="F26" s="137">
        <v>220126</v>
      </c>
      <c r="G26" s="137">
        <v>128848</v>
      </c>
      <c r="H26" s="137">
        <v>348974</v>
      </c>
      <c r="I26" s="137">
        <v>60124</v>
      </c>
      <c r="J26" s="137">
        <v>29784</v>
      </c>
      <c r="K26" s="137">
        <v>89908</v>
      </c>
      <c r="L26" s="137">
        <v>33032</v>
      </c>
      <c r="M26" s="137">
        <v>16829</v>
      </c>
      <c r="N26" s="137">
        <v>49861</v>
      </c>
      <c r="O26" s="137">
        <v>41501</v>
      </c>
      <c r="P26" s="137">
        <v>34982</v>
      </c>
      <c r="Q26" s="137">
        <v>76483</v>
      </c>
      <c r="R26" s="137">
        <v>22331</v>
      </c>
      <c r="S26" s="137">
        <v>19759</v>
      </c>
      <c r="T26" s="137">
        <v>42090</v>
      </c>
    </row>
    <row r="27" spans="1:20" ht="15.75">
      <c r="A27" s="138">
        <v>2014</v>
      </c>
      <c r="B27" s="136">
        <v>6</v>
      </c>
      <c r="C27" s="137">
        <v>372178</v>
      </c>
      <c r="D27" s="137">
        <v>239081</v>
      </c>
      <c r="E27" s="137">
        <v>611259</v>
      </c>
      <c r="F27" s="137">
        <v>179739</v>
      </c>
      <c r="G27" s="137">
        <v>118181</v>
      </c>
      <c r="H27" s="137">
        <v>297920</v>
      </c>
      <c r="I27" s="137">
        <v>52681</v>
      </c>
      <c r="J27" s="137">
        <v>33237</v>
      </c>
      <c r="K27" s="137">
        <v>85918</v>
      </c>
      <c r="L27" s="137">
        <v>26293</v>
      </c>
      <c r="M27" s="137">
        <v>18021</v>
      </c>
      <c r="N27" s="137">
        <v>44352</v>
      </c>
      <c r="O27" s="137">
        <v>43762</v>
      </c>
      <c r="P27" s="137">
        <v>40573</v>
      </c>
      <c r="Q27" s="137">
        <v>84335</v>
      </c>
      <c r="R27" s="137">
        <v>20411</v>
      </c>
      <c r="S27" s="137">
        <v>18876</v>
      </c>
      <c r="T27" s="137">
        <v>39287</v>
      </c>
    </row>
    <row r="28" spans="1:20" ht="15.75">
      <c r="A28" s="138">
        <v>2015</v>
      </c>
      <c r="B28" s="136">
        <v>6</v>
      </c>
      <c r="C28" s="137">
        <v>213979</v>
      </c>
      <c r="D28" s="137">
        <v>157478</v>
      </c>
      <c r="E28" s="137">
        <v>371457</v>
      </c>
      <c r="F28" s="137">
        <v>137173</v>
      </c>
      <c r="G28" s="137">
        <v>97881</v>
      </c>
      <c r="H28" s="137">
        <v>235054</v>
      </c>
      <c r="I28" s="137">
        <v>33829</v>
      </c>
      <c r="J28" s="137">
        <v>23828</v>
      </c>
      <c r="K28" s="137">
        <v>57657</v>
      </c>
      <c r="L28" s="137">
        <v>22432</v>
      </c>
      <c r="M28" s="137">
        <v>16629</v>
      </c>
      <c r="N28" s="137">
        <v>39061</v>
      </c>
      <c r="O28" s="137">
        <v>27689</v>
      </c>
      <c r="P28" s="137">
        <v>25193</v>
      </c>
      <c r="Q28" s="137">
        <v>53213</v>
      </c>
      <c r="R28" s="137">
        <v>18160</v>
      </c>
      <c r="S28" s="137">
        <v>16443</v>
      </c>
      <c r="T28" s="137">
        <v>34603</v>
      </c>
    </row>
    <row r="29" spans="1:20" ht="15.75">
      <c r="A29" s="138">
        <v>2016</v>
      </c>
      <c r="B29" s="136">
        <v>7</v>
      </c>
      <c r="C29" s="137">
        <v>373506</v>
      </c>
      <c r="D29" s="137">
        <v>240632</v>
      </c>
      <c r="E29" s="137">
        <v>614138</v>
      </c>
      <c r="F29" s="137">
        <v>148004</v>
      </c>
      <c r="G29" s="137">
        <v>105116</v>
      </c>
      <c r="H29" s="137">
        <v>253120</v>
      </c>
      <c r="I29" s="137">
        <v>117348</v>
      </c>
      <c r="J29" s="137">
        <v>65224</v>
      </c>
      <c r="K29" s="137">
        <v>182572</v>
      </c>
      <c r="L29" s="137">
        <v>47203</v>
      </c>
      <c r="M29" s="137">
        <v>28752</v>
      </c>
      <c r="N29" s="137">
        <v>75955</v>
      </c>
      <c r="O29" s="137">
        <v>52907</v>
      </c>
      <c r="P29" s="137">
        <v>38349</v>
      </c>
      <c r="Q29" s="137">
        <v>91256</v>
      </c>
      <c r="R29" s="137">
        <v>20222</v>
      </c>
      <c r="S29" s="137">
        <v>14997</v>
      </c>
      <c r="T29" s="137">
        <v>35219</v>
      </c>
    </row>
    <row r="30" spans="1:20" ht="15.75">
      <c r="A30" s="138">
        <v>2017</v>
      </c>
      <c r="B30" s="136">
        <v>7</v>
      </c>
      <c r="C30" s="137">
        <v>416151</v>
      </c>
      <c r="D30" s="137">
        <v>230386</v>
      </c>
      <c r="E30" s="137">
        <v>646537</v>
      </c>
      <c r="F30" s="137">
        <v>153640</v>
      </c>
      <c r="G30" s="137">
        <v>97756</v>
      </c>
      <c r="H30" s="137">
        <v>251396</v>
      </c>
      <c r="I30" s="137">
        <v>62764</v>
      </c>
      <c r="J30" s="137">
        <v>36693</v>
      </c>
      <c r="K30" s="137">
        <v>99457</v>
      </c>
      <c r="L30" s="137">
        <v>22025</v>
      </c>
      <c r="M30" s="137">
        <v>15076</v>
      </c>
      <c r="N30" s="137">
        <v>37101</v>
      </c>
      <c r="O30" s="137">
        <v>43692</v>
      </c>
      <c r="P30" s="137">
        <v>36302</v>
      </c>
      <c r="Q30" s="137">
        <v>79994</v>
      </c>
      <c r="R30" s="137">
        <v>17229</v>
      </c>
      <c r="S30" s="137">
        <v>15876</v>
      </c>
      <c r="T30" s="137">
        <v>33105</v>
      </c>
    </row>
    <row r="31" spans="1:20" ht="15.75">
      <c r="A31" s="138">
        <v>2018</v>
      </c>
      <c r="B31" s="136">
        <v>8</v>
      </c>
      <c r="C31" s="137">
        <v>464600</v>
      </c>
      <c r="D31" s="137">
        <v>260884</v>
      </c>
      <c r="E31" s="137">
        <v>725484</v>
      </c>
      <c r="F31" s="137">
        <v>201532</v>
      </c>
      <c r="G31" s="137">
        <v>126631</v>
      </c>
      <c r="H31" s="137">
        <v>328163</v>
      </c>
      <c r="I31" s="137">
        <v>75174</v>
      </c>
      <c r="J31" s="137">
        <v>37986</v>
      </c>
      <c r="K31" s="137">
        <v>113160</v>
      </c>
      <c r="L31" s="137">
        <v>30927</v>
      </c>
      <c r="M31" s="137">
        <v>19102</v>
      </c>
      <c r="N31" s="137">
        <v>50029</v>
      </c>
      <c r="O31" s="137">
        <v>44918</v>
      </c>
      <c r="P31" s="137">
        <v>37553</v>
      </c>
      <c r="Q31" s="137">
        <v>82471</v>
      </c>
      <c r="R31" s="137">
        <v>20432</v>
      </c>
      <c r="S31" s="137">
        <v>17863</v>
      </c>
      <c r="T31" s="137">
        <v>38295</v>
      </c>
    </row>
    <row r="32" spans="1:20" ht="15.75">
      <c r="B32" s="143"/>
    </row>
    <row r="33" spans="1:20" ht="49.5" customHeight="1">
      <c r="A33" s="131"/>
      <c r="B33" s="143"/>
      <c r="C33" s="685" t="s">
        <v>448</v>
      </c>
      <c r="D33" s="685"/>
      <c r="E33" s="685"/>
      <c r="F33" s="685"/>
      <c r="G33" s="685"/>
      <c r="H33" s="685"/>
      <c r="I33" s="685" t="s">
        <v>448</v>
      </c>
      <c r="J33" s="685"/>
      <c r="K33" s="685"/>
      <c r="L33" s="685"/>
      <c r="M33" s="685"/>
      <c r="N33" s="685"/>
      <c r="O33" s="685" t="s">
        <v>448</v>
      </c>
      <c r="P33" s="685"/>
      <c r="Q33" s="685"/>
      <c r="R33" s="685"/>
      <c r="S33" s="685"/>
      <c r="T33" s="685"/>
    </row>
    <row r="34" spans="1:20" ht="15" customHeight="1">
      <c r="A34" s="604" t="s">
        <v>218</v>
      </c>
      <c r="B34" s="588" t="s">
        <v>327</v>
      </c>
      <c r="C34" s="604" t="s">
        <v>188</v>
      </c>
      <c r="D34" s="604"/>
      <c r="E34" s="604"/>
      <c r="F34" s="604"/>
      <c r="G34" s="604"/>
      <c r="H34" s="604"/>
      <c r="I34" s="604" t="s">
        <v>188</v>
      </c>
      <c r="J34" s="604"/>
      <c r="K34" s="604"/>
      <c r="L34" s="604"/>
      <c r="M34" s="604"/>
      <c r="N34" s="604"/>
      <c r="O34" s="604" t="s">
        <v>188</v>
      </c>
      <c r="P34" s="604"/>
      <c r="Q34" s="604"/>
      <c r="R34" s="604"/>
      <c r="S34" s="604"/>
      <c r="T34" s="604"/>
    </row>
    <row r="35" spans="1:20">
      <c r="A35" s="604"/>
      <c r="B35" s="589"/>
      <c r="C35" s="604" t="s">
        <v>219</v>
      </c>
      <c r="D35" s="604"/>
      <c r="E35" s="604"/>
      <c r="F35" s="604"/>
      <c r="G35" s="604"/>
      <c r="H35" s="604"/>
      <c r="I35" s="604" t="s">
        <v>220</v>
      </c>
      <c r="J35" s="604"/>
      <c r="K35" s="604"/>
      <c r="L35" s="604"/>
      <c r="M35" s="604"/>
      <c r="N35" s="604"/>
      <c r="O35" s="604" t="s">
        <v>221</v>
      </c>
      <c r="P35" s="604"/>
      <c r="Q35" s="604"/>
      <c r="R35" s="604"/>
      <c r="S35" s="604"/>
      <c r="T35" s="604"/>
    </row>
    <row r="36" spans="1:20">
      <c r="A36" s="604"/>
      <c r="B36" s="589"/>
      <c r="C36" s="604" t="s">
        <v>5</v>
      </c>
      <c r="D36" s="604"/>
      <c r="E36" s="604"/>
      <c r="F36" s="604" t="s">
        <v>6</v>
      </c>
      <c r="G36" s="604"/>
      <c r="H36" s="604"/>
      <c r="I36" s="604" t="s">
        <v>5</v>
      </c>
      <c r="J36" s="604"/>
      <c r="K36" s="604"/>
      <c r="L36" s="604" t="s">
        <v>6</v>
      </c>
      <c r="M36" s="604"/>
      <c r="N36" s="604"/>
      <c r="O36" s="604" t="s">
        <v>5</v>
      </c>
      <c r="P36" s="604"/>
      <c r="Q36" s="604"/>
      <c r="R36" s="604" t="s">
        <v>6</v>
      </c>
      <c r="S36" s="604"/>
      <c r="T36" s="604"/>
    </row>
    <row r="37" spans="1:20">
      <c r="A37" s="604"/>
      <c r="B37" s="589"/>
      <c r="C37" s="531" t="s">
        <v>43</v>
      </c>
      <c r="D37" s="531" t="s">
        <v>44</v>
      </c>
      <c r="E37" s="531" t="s">
        <v>3</v>
      </c>
      <c r="F37" s="531" t="s">
        <v>43</v>
      </c>
      <c r="G37" s="531" t="s">
        <v>44</v>
      </c>
      <c r="H37" s="531" t="s">
        <v>3</v>
      </c>
      <c r="I37" s="531" t="s">
        <v>43</v>
      </c>
      <c r="J37" s="531" t="s">
        <v>44</v>
      </c>
      <c r="K37" s="531" t="s">
        <v>3</v>
      </c>
      <c r="L37" s="531" t="s">
        <v>43</v>
      </c>
      <c r="M37" s="531" t="s">
        <v>44</v>
      </c>
      <c r="N37" s="531" t="s">
        <v>3</v>
      </c>
      <c r="O37" s="531" t="s">
        <v>43</v>
      </c>
      <c r="P37" s="531" t="s">
        <v>44</v>
      </c>
      <c r="Q37" s="531" t="s">
        <v>3</v>
      </c>
      <c r="R37" s="531" t="s">
        <v>43</v>
      </c>
      <c r="S37" s="531" t="s">
        <v>44</v>
      </c>
      <c r="T37" s="531" t="s">
        <v>3</v>
      </c>
    </row>
    <row r="38" spans="1:20">
      <c r="A38" s="134">
        <v>1</v>
      </c>
      <c r="B38" s="134">
        <v>2</v>
      </c>
      <c r="C38" s="134">
        <v>3</v>
      </c>
      <c r="D38" s="134">
        <v>4</v>
      </c>
      <c r="E38" s="134">
        <v>5</v>
      </c>
      <c r="F38" s="134">
        <v>6</v>
      </c>
      <c r="G38" s="134">
        <v>7</v>
      </c>
      <c r="H38" s="134">
        <v>8</v>
      </c>
      <c r="I38" s="134">
        <v>9</v>
      </c>
      <c r="J38" s="134">
        <v>10</v>
      </c>
      <c r="K38" s="134">
        <v>11</v>
      </c>
      <c r="L38" s="134">
        <v>12</v>
      </c>
      <c r="M38" s="134">
        <v>13</v>
      </c>
      <c r="N38" s="134">
        <v>14</v>
      </c>
      <c r="O38" s="134">
        <v>15</v>
      </c>
      <c r="P38" s="134">
        <v>16</v>
      </c>
      <c r="Q38" s="134">
        <v>17</v>
      </c>
      <c r="R38" s="134">
        <v>18</v>
      </c>
      <c r="S38" s="134">
        <v>19</v>
      </c>
      <c r="T38" s="134">
        <v>20</v>
      </c>
    </row>
    <row r="39" spans="1:20" ht="15.75">
      <c r="A39" s="135">
        <v>2010</v>
      </c>
      <c r="B39" s="136">
        <f t="shared" ref="B39:B47" si="0">+B7+B23</f>
        <v>40</v>
      </c>
      <c r="C39" s="137">
        <v>9684041</v>
      </c>
      <c r="D39" s="137">
        <v>7565925</v>
      </c>
      <c r="E39" s="137">
        <v>17249966</v>
      </c>
      <c r="F39" s="137">
        <v>7029237</v>
      </c>
      <c r="G39" s="137">
        <v>5793147</v>
      </c>
      <c r="H39" s="137">
        <v>12822384</v>
      </c>
      <c r="I39" s="137">
        <v>1562519</v>
      </c>
      <c r="J39" s="137">
        <v>1197413</v>
      </c>
      <c r="K39" s="137">
        <v>2759932</v>
      </c>
      <c r="L39" s="137">
        <v>1043901</v>
      </c>
      <c r="M39" s="137">
        <v>847979</v>
      </c>
      <c r="N39" s="137">
        <v>1891880</v>
      </c>
      <c r="O39" s="137">
        <v>643452</v>
      </c>
      <c r="P39" s="137">
        <v>502036</v>
      </c>
      <c r="Q39" s="137">
        <v>1145488</v>
      </c>
      <c r="R39" s="137">
        <v>396628</v>
      </c>
      <c r="S39" s="137">
        <v>305158</v>
      </c>
      <c r="T39" s="137">
        <v>701786</v>
      </c>
    </row>
    <row r="40" spans="1:20" ht="15.75">
      <c r="A40" s="138">
        <v>2011</v>
      </c>
      <c r="B40" s="136">
        <f t="shared" si="0"/>
        <v>40</v>
      </c>
      <c r="C40" s="137">
        <v>10118563</v>
      </c>
      <c r="D40" s="137">
        <v>8037937</v>
      </c>
      <c r="E40" s="137">
        <v>18161271</v>
      </c>
      <c r="F40" s="137">
        <v>7371246</v>
      </c>
      <c r="G40" s="137">
        <v>6131148</v>
      </c>
      <c r="H40" s="137">
        <v>13504606</v>
      </c>
      <c r="I40" s="137">
        <v>1742153</v>
      </c>
      <c r="J40" s="137">
        <v>1413230</v>
      </c>
      <c r="K40" s="137">
        <v>3155383</v>
      </c>
      <c r="L40" s="137">
        <v>1181106</v>
      </c>
      <c r="M40" s="137">
        <v>996222</v>
      </c>
      <c r="N40" s="137">
        <v>2177328</v>
      </c>
      <c r="O40" s="137">
        <v>698190</v>
      </c>
      <c r="P40" s="137">
        <v>562449</v>
      </c>
      <c r="Q40" s="137">
        <v>1260639</v>
      </c>
      <c r="R40" s="137">
        <v>438353</v>
      </c>
      <c r="S40" s="137">
        <v>349358</v>
      </c>
      <c r="T40" s="137">
        <v>787711</v>
      </c>
    </row>
    <row r="41" spans="1:20" ht="15.75">
      <c r="A41" s="135">
        <v>2012</v>
      </c>
      <c r="B41" s="136">
        <f t="shared" si="0"/>
        <v>40</v>
      </c>
      <c r="C41" s="137">
        <v>10287144</v>
      </c>
      <c r="D41" s="137">
        <v>8287633</v>
      </c>
      <c r="E41" s="137">
        <v>18574777</v>
      </c>
      <c r="F41" s="137">
        <v>7648530</v>
      </c>
      <c r="G41" s="137">
        <v>6462590</v>
      </c>
      <c r="H41" s="137">
        <v>14111120</v>
      </c>
      <c r="I41" s="137">
        <v>1653275</v>
      </c>
      <c r="J41" s="137">
        <v>1315217</v>
      </c>
      <c r="K41" s="137">
        <v>2968492</v>
      </c>
      <c r="L41" s="137">
        <v>1132109</v>
      </c>
      <c r="M41" s="137">
        <v>950433</v>
      </c>
      <c r="N41" s="137">
        <v>2082542</v>
      </c>
      <c r="O41" s="137">
        <v>677858</v>
      </c>
      <c r="P41" s="137">
        <v>575279</v>
      </c>
      <c r="Q41" s="137">
        <v>1253137</v>
      </c>
      <c r="R41" s="137">
        <v>416962</v>
      </c>
      <c r="S41" s="137">
        <v>352776</v>
      </c>
      <c r="T41" s="137">
        <v>769738</v>
      </c>
    </row>
    <row r="42" spans="1:20" ht="15.75">
      <c r="A42" s="138">
        <v>2013</v>
      </c>
      <c r="B42" s="136">
        <f t="shared" si="0"/>
        <v>41</v>
      </c>
      <c r="C42" s="137">
        <v>10904655</v>
      </c>
      <c r="D42" s="137">
        <v>8829960</v>
      </c>
      <c r="E42" s="137">
        <v>19734615</v>
      </c>
      <c r="F42" s="137">
        <v>8257716</v>
      </c>
      <c r="G42" s="137">
        <v>7061772</v>
      </c>
      <c r="H42" s="137">
        <v>15319488</v>
      </c>
      <c r="I42" s="137">
        <v>1825760</v>
      </c>
      <c r="J42" s="137">
        <v>1489446</v>
      </c>
      <c r="K42" s="137">
        <v>3315206</v>
      </c>
      <c r="L42" s="137">
        <v>1265090</v>
      </c>
      <c r="M42" s="137">
        <v>1093073</v>
      </c>
      <c r="N42" s="137">
        <v>2358163</v>
      </c>
      <c r="O42" s="137">
        <v>787070</v>
      </c>
      <c r="P42" s="137">
        <v>691945</v>
      </c>
      <c r="Q42" s="137">
        <v>1479015</v>
      </c>
      <c r="R42" s="137">
        <v>502983</v>
      </c>
      <c r="S42" s="137">
        <v>446062</v>
      </c>
      <c r="T42" s="137">
        <v>949045</v>
      </c>
    </row>
    <row r="43" spans="1:20" ht="15.75">
      <c r="A43" s="138">
        <v>2014</v>
      </c>
      <c r="B43" s="136">
        <f t="shared" si="0"/>
        <v>41</v>
      </c>
      <c r="C43" s="137">
        <v>10601867</v>
      </c>
      <c r="D43" s="137">
        <v>8864399</v>
      </c>
      <c r="E43" s="137">
        <v>19466266</v>
      </c>
      <c r="F43" s="137">
        <v>8221455</v>
      </c>
      <c r="G43" s="137">
        <v>7171919</v>
      </c>
      <c r="H43" s="137">
        <v>15393374</v>
      </c>
      <c r="I43" s="137">
        <v>1808730</v>
      </c>
      <c r="J43" s="137">
        <v>1518501</v>
      </c>
      <c r="K43" s="137">
        <v>3327231</v>
      </c>
      <c r="L43" s="137">
        <v>1294748</v>
      </c>
      <c r="M43" s="137">
        <v>1142190</v>
      </c>
      <c r="N43" s="137">
        <v>2436938</v>
      </c>
      <c r="O43" s="137">
        <v>801513</v>
      </c>
      <c r="P43" s="137">
        <v>735177</v>
      </c>
      <c r="Q43" s="137">
        <v>1536690</v>
      </c>
      <c r="R43" s="137">
        <v>522123</v>
      </c>
      <c r="S43" s="137">
        <v>469796</v>
      </c>
      <c r="T43" s="137">
        <v>991919</v>
      </c>
    </row>
    <row r="44" spans="1:20" ht="15.75">
      <c r="A44" s="138">
        <v>2015</v>
      </c>
      <c r="B44" s="136">
        <f t="shared" si="0"/>
        <v>41</v>
      </c>
      <c r="C44" s="137">
        <v>10292567</v>
      </c>
      <c r="D44" s="137">
        <v>8865570</v>
      </c>
      <c r="E44" s="137">
        <v>19158137</v>
      </c>
      <c r="F44" s="137">
        <v>7968166</v>
      </c>
      <c r="G44" s="137">
        <v>7136789</v>
      </c>
      <c r="H44" s="137">
        <v>15104955</v>
      </c>
      <c r="I44" s="137">
        <v>1762729</v>
      </c>
      <c r="J44" s="137">
        <v>1519038</v>
      </c>
      <c r="K44" s="137">
        <v>3281767</v>
      </c>
      <c r="L44" s="137">
        <v>1266714</v>
      </c>
      <c r="M44" s="137">
        <v>1136130</v>
      </c>
      <c r="N44" s="137">
        <v>2402844</v>
      </c>
      <c r="O44" s="137">
        <v>783988</v>
      </c>
      <c r="P44" s="137">
        <v>736790</v>
      </c>
      <c r="Q44" s="137">
        <v>1521109</v>
      </c>
      <c r="R44" s="137">
        <v>509950</v>
      </c>
      <c r="S44" s="137">
        <v>466163</v>
      </c>
      <c r="T44" s="137">
        <v>976113</v>
      </c>
    </row>
    <row r="45" spans="1:20" ht="15.75">
      <c r="A45" s="138">
        <v>2016</v>
      </c>
      <c r="B45" s="136">
        <f t="shared" si="0"/>
        <v>49</v>
      </c>
      <c r="C45" s="137">
        <v>10820446</v>
      </c>
      <c r="D45" s="137">
        <v>9189510</v>
      </c>
      <c r="E45" s="137">
        <v>20009956</v>
      </c>
      <c r="F45" s="137">
        <v>8266497</v>
      </c>
      <c r="G45" s="137">
        <v>7245671</v>
      </c>
      <c r="H45" s="137">
        <v>15512168</v>
      </c>
      <c r="I45" s="137">
        <v>1958214</v>
      </c>
      <c r="J45" s="137">
        <v>1656040</v>
      </c>
      <c r="K45" s="137">
        <v>3614254</v>
      </c>
      <c r="L45" s="137">
        <v>1371876</v>
      </c>
      <c r="M45" s="137">
        <v>1215805</v>
      </c>
      <c r="N45" s="137">
        <v>2587681</v>
      </c>
      <c r="O45" s="137">
        <v>832040</v>
      </c>
      <c r="P45" s="137">
        <v>773005</v>
      </c>
      <c r="Q45" s="137">
        <v>1605045</v>
      </c>
      <c r="R45" s="137">
        <v>527895</v>
      </c>
      <c r="S45" s="137">
        <v>491874</v>
      </c>
      <c r="T45" s="137">
        <v>1019769</v>
      </c>
    </row>
    <row r="46" spans="1:20" ht="15.75">
      <c r="A46" s="138">
        <v>2017</v>
      </c>
      <c r="B46" s="136">
        <f t="shared" si="0"/>
        <v>48</v>
      </c>
      <c r="C46" s="137">
        <v>10765030</v>
      </c>
      <c r="D46" s="137">
        <v>9210795</v>
      </c>
      <c r="E46" s="137">
        <v>19975825</v>
      </c>
      <c r="F46" s="137">
        <v>8028747</v>
      </c>
      <c r="G46" s="137">
        <v>7106745</v>
      </c>
      <c r="H46" s="137">
        <v>15135492</v>
      </c>
      <c r="I46" s="137">
        <v>1884483</v>
      </c>
      <c r="J46" s="137">
        <v>1655754</v>
      </c>
      <c r="K46" s="137">
        <v>3540237</v>
      </c>
      <c r="L46" s="137">
        <v>1290811</v>
      </c>
      <c r="M46" s="137">
        <v>1178673</v>
      </c>
      <c r="N46" s="137">
        <v>2469484</v>
      </c>
      <c r="O46" s="137">
        <v>804344</v>
      </c>
      <c r="P46" s="137">
        <v>770760</v>
      </c>
      <c r="Q46" s="137">
        <v>1575104</v>
      </c>
      <c r="R46" s="137">
        <v>528205</v>
      </c>
      <c r="S46" s="137">
        <v>509021</v>
      </c>
      <c r="T46" s="137">
        <v>1037226</v>
      </c>
    </row>
    <row r="47" spans="1:20" ht="15.75">
      <c r="A47" s="138">
        <v>2018</v>
      </c>
      <c r="B47" s="136">
        <f t="shared" si="0"/>
        <v>50</v>
      </c>
      <c r="C47" s="137">
        <v>10654237</v>
      </c>
      <c r="D47" s="137">
        <v>9220327</v>
      </c>
      <c r="E47" s="137">
        <v>19877318</v>
      </c>
      <c r="F47" s="137">
        <v>7851779</v>
      </c>
      <c r="G47" s="137">
        <v>7039415</v>
      </c>
      <c r="H47" s="137">
        <v>15324440</v>
      </c>
      <c r="I47" s="137">
        <v>1861239</v>
      </c>
      <c r="J47" s="137">
        <v>1633015</v>
      </c>
      <c r="K47" s="137">
        <v>3538239</v>
      </c>
      <c r="L47" s="137">
        <v>1309274</v>
      </c>
      <c r="M47" s="137">
        <v>1180399</v>
      </c>
      <c r="N47" s="137">
        <v>2531546</v>
      </c>
      <c r="O47" s="137">
        <v>791474</v>
      </c>
      <c r="P47" s="137">
        <v>764364</v>
      </c>
      <c r="Q47" s="137">
        <v>1563946</v>
      </c>
      <c r="R47" s="137">
        <v>522520</v>
      </c>
      <c r="S47" s="137">
        <v>511520</v>
      </c>
      <c r="T47" s="137">
        <v>1041095</v>
      </c>
    </row>
  </sheetData>
  <mergeCells count="51">
    <mergeCell ref="C33:H33"/>
    <mergeCell ref="I33:N33"/>
    <mergeCell ref="O33:T33"/>
    <mergeCell ref="C17:H17"/>
    <mergeCell ref="I17:N17"/>
    <mergeCell ref="O17:T17"/>
    <mergeCell ref="C18:H18"/>
    <mergeCell ref="I18:N18"/>
    <mergeCell ref="R20:T20"/>
    <mergeCell ref="C1:H1"/>
    <mergeCell ref="I1:N1"/>
    <mergeCell ref="O1:T1"/>
    <mergeCell ref="C2:H2"/>
    <mergeCell ref="I2:N2"/>
    <mergeCell ref="O3:T3"/>
    <mergeCell ref="C4:E4"/>
    <mergeCell ref="F4:H4"/>
    <mergeCell ref="I4:K4"/>
    <mergeCell ref="L4:N4"/>
    <mergeCell ref="O4:Q4"/>
    <mergeCell ref="R4:T4"/>
    <mergeCell ref="A2:A5"/>
    <mergeCell ref="B2:B5"/>
    <mergeCell ref="O2:T2"/>
    <mergeCell ref="C3:H3"/>
    <mergeCell ref="C20:E20"/>
    <mergeCell ref="F20:H20"/>
    <mergeCell ref="I20:K20"/>
    <mergeCell ref="L20:N20"/>
    <mergeCell ref="O20:Q20"/>
    <mergeCell ref="A18:A21"/>
    <mergeCell ref="B18:B21"/>
    <mergeCell ref="O18:T18"/>
    <mergeCell ref="C19:H19"/>
    <mergeCell ref="I19:N19"/>
    <mergeCell ref="O19:T19"/>
    <mergeCell ref="I3:N3"/>
    <mergeCell ref="L36:N36"/>
    <mergeCell ref="O36:Q36"/>
    <mergeCell ref="R36:T36"/>
    <mergeCell ref="A34:A37"/>
    <mergeCell ref="B34:B37"/>
    <mergeCell ref="O34:T34"/>
    <mergeCell ref="C35:H35"/>
    <mergeCell ref="I35:N35"/>
    <mergeCell ref="O35:T35"/>
    <mergeCell ref="C36:E36"/>
    <mergeCell ref="F36:H36"/>
    <mergeCell ref="I36:K36"/>
    <mergeCell ref="C34:H34"/>
    <mergeCell ref="I34:N34"/>
  </mergeCells>
  <pageMargins left="0.70866141732283472" right="0.70866141732283472" top="0.74803149606299213" bottom="0.74803149606299213" header="0.31496062992125984" footer="0.31496062992125984"/>
  <pageSetup paperSize="9" scale="80" firstPageNumber="31" orientation="portrait" useFirstPageNumber="1" r:id="rId1"/>
  <headerFooter>
    <oddFooter>&amp;CX-2018&amp;R&amp;P</oddFooter>
  </headerFooter>
  <colBreaks count="3" manualBreakCount="3">
    <brk id="8" max="1048575" man="1"/>
    <brk id="14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L53"/>
  <sheetViews>
    <sheetView view="pageBreakPreview" zoomScaleSheetLayoutView="100" workbookViewId="0">
      <pane xSplit="2" ySplit="6" topLeftCell="ED46" activePane="bottomRight" state="frozen"/>
      <selection pane="topRight" activeCell="C1" sqref="C1"/>
      <selection pane="bottomLeft" activeCell="A7" sqref="A7"/>
      <selection pane="bottomRight" activeCell="EF58" sqref="EF58"/>
    </sheetView>
  </sheetViews>
  <sheetFormatPr defaultRowHeight="15"/>
  <cols>
    <col min="2" max="2" width="33.5703125" customWidth="1"/>
    <col min="3" max="4" width="9.28515625" bestFit="1" customWidth="1"/>
    <col min="5" max="5" width="9.85546875" bestFit="1" customWidth="1"/>
    <col min="6" max="19" width="9.28515625" bestFit="1" customWidth="1"/>
    <col min="23" max="23" width="10.42578125" customWidth="1"/>
    <col min="30" max="30" width="9.5703125" customWidth="1"/>
    <col min="138" max="146" width="0" hidden="1" customWidth="1"/>
    <col min="147" max="147" width="12.28515625" hidden="1" customWidth="1"/>
    <col min="148" max="182" width="0" hidden="1" customWidth="1"/>
    <col min="183" max="183" width="12" customWidth="1"/>
    <col min="184" max="184" width="10.5703125" customWidth="1"/>
    <col min="185" max="185" width="11.42578125" customWidth="1"/>
    <col min="186" max="186" width="12.140625" customWidth="1"/>
    <col min="187" max="187" width="13" customWidth="1"/>
    <col min="188" max="188" width="12" customWidth="1"/>
    <col min="189" max="189" width="11.85546875" customWidth="1"/>
    <col min="190" max="190" width="12.140625" customWidth="1"/>
    <col min="191" max="191" width="10.85546875" customWidth="1"/>
    <col min="192" max="192" width="12.42578125" customWidth="1"/>
    <col min="193" max="193" width="12" customWidth="1"/>
    <col min="194" max="194" width="12.5703125" customWidth="1"/>
    <col min="195" max="196" width="11.42578125" customWidth="1"/>
    <col min="197" max="197" width="10.42578125" customWidth="1"/>
    <col min="198" max="199" width="10.28515625" customWidth="1"/>
    <col min="200" max="200" width="11" customWidth="1"/>
    <col min="201" max="201" width="12.28515625" customWidth="1"/>
    <col min="202" max="202" width="12.140625" customWidth="1"/>
    <col min="203" max="203" width="10.7109375" customWidth="1"/>
    <col min="204" max="204" width="11.7109375" customWidth="1"/>
    <col min="205" max="205" width="10.42578125" customWidth="1"/>
    <col min="206" max="206" width="11.28515625" customWidth="1"/>
    <col min="207" max="207" width="11.5703125" customWidth="1"/>
    <col min="208" max="208" width="9.7109375" customWidth="1"/>
    <col min="209" max="209" width="11.7109375" customWidth="1"/>
    <col min="210" max="210" width="11.28515625" hidden="1" customWidth="1"/>
    <col min="211" max="211" width="11.42578125" hidden="1" customWidth="1"/>
    <col min="212" max="212" width="10.85546875" hidden="1" customWidth="1"/>
    <col min="213" max="213" width="10.28515625" hidden="1" customWidth="1"/>
    <col min="214" max="214" width="11.42578125" hidden="1" customWidth="1"/>
    <col min="215" max="215" width="10.140625" hidden="1" customWidth="1"/>
    <col min="216" max="216" width="10.5703125" hidden="1" customWidth="1"/>
    <col min="217" max="217" width="11.42578125" hidden="1" customWidth="1"/>
    <col min="218" max="218" width="10.28515625" hidden="1" customWidth="1"/>
  </cols>
  <sheetData>
    <row r="1" spans="1:218" ht="18" customHeight="1">
      <c r="A1" s="121"/>
      <c r="B1" s="125"/>
      <c r="C1" s="595" t="s">
        <v>379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6" t="s">
        <v>379</v>
      </c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 t="s">
        <v>379</v>
      </c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 t="s">
        <v>379</v>
      </c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 t="s">
        <v>379</v>
      </c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 t="s">
        <v>379</v>
      </c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 t="s">
        <v>379</v>
      </c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6"/>
      <c r="DC1" s="596"/>
      <c r="DD1" s="596" t="s">
        <v>379</v>
      </c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 t="s">
        <v>379</v>
      </c>
      <c r="DT1" s="596"/>
      <c r="DU1" s="596"/>
      <c r="DV1" s="596"/>
      <c r="DW1" s="596"/>
      <c r="DX1" s="596"/>
      <c r="DY1" s="596"/>
      <c r="DZ1" s="596"/>
      <c r="EA1" s="596"/>
      <c r="EB1" s="596"/>
      <c r="EC1" s="596"/>
      <c r="ED1" s="596"/>
      <c r="EE1" s="596"/>
      <c r="EF1" s="596"/>
      <c r="EG1" s="596"/>
      <c r="EH1" s="596" t="s">
        <v>379</v>
      </c>
      <c r="EI1" s="596"/>
      <c r="EJ1" s="596"/>
      <c r="EK1" s="596"/>
      <c r="EL1" s="596"/>
      <c r="EM1" s="596"/>
      <c r="EN1" s="596"/>
      <c r="EO1" s="596"/>
      <c r="EP1" s="596"/>
      <c r="EQ1" s="596"/>
      <c r="ER1" s="596"/>
      <c r="ES1" s="596"/>
      <c r="ET1" s="596"/>
      <c r="EU1" s="596"/>
      <c r="EV1" s="596"/>
      <c r="EW1" s="596" t="s">
        <v>379</v>
      </c>
      <c r="EX1" s="596"/>
      <c r="EY1" s="596"/>
      <c r="EZ1" s="596"/>
      <c r="FA1" s="596"/>
      <c r="FB1" s="596"/>
      <c r="FC1" s="596"/>
      <c r="FD1" s="596"/>
      <c r="FE1" s="596"/>
      <c r="FF1" s="596"/>
      <c r="FG1" s="596"/>
      <c r="FH1" s="596"/>
      <c r="FI1" s="596"/>
      <c r="FJ1" s="596"/>
      <c r="FK1" s="596"/>
      <c r="FL1" s="596" t="s">
        <v>379</v>
      </c>
      <c r="FM1" s="596"/>
      <c r="FN1" s="596"/>
      <c r="FO1" s="596"/>
      <c r="FP1" s="596"/>
      <c r="FQ1" s="596"/>
      <c r="FR1" s="596"/>
      <c r="FS1" s="596"/>
      <c r="FT1" s="596"/>
      <c r="FU1" s="596"/>
      <c r="FV1" s="596"/>
      <c r="FW1" s="596"/>
      <c r="FX1" s="596"/>
      <c r="FY1" s="596"/>
      <c r="FZ1" s="596"/>
      <c r="GA1" s="595" t="s">
        <v>379</v>
      </c>
      <c r="GB1" s="595"/>
      <c r="GC1" s="595"/>
      <c r="GD1" s="595"/>
      <c r="GE1" s="595"/>
      <c r="GF1" s="595"/>
      <c r="GG1" s="595"/>
      <c r="GH1" s="595"/>
      <c r="GI1" s="595"/>
      <c r="GJ1" s="595" t="s">
        <v>379</v>
      </c>
      <c r="GK1" s="595"/>
      <c r="GL1" s="595"/>
      <c r="GM1" s="595"/>
      <c r="GN1" s="595"/>
      <c r="GO1" s="595"/>
      <c r="GP1" s="595"/>
      <c r="GQ1" s="595"/>
      <c r="GR1" s="595"/>
      <c r="GS1" s="595" t="s">
        <v>379</v>
      </c>
      <c r="GT1" s="595"/>
      <c r="GU1" s="595"/>
      <c r="GV1" s="595"/>
      <c r="GW1" s="595"/>
      <c r="GX1" s="595"/>
      <c r="GY1" s="595"/>
      <c r="GZ1" s="595"/>
      <c r="HA1" s="595"/>
      <c r="HB1" s="595" t="s">
        <v>379</v>
      </c>
      <c r="HC1" s="595"/>
      <c r="HD1" s="595"/>
      <c r="HE1" s="595"/>
      <c r="HF1" s="595"/>
      <c r="HG1" s="595"/>
      <c r="HH1" s="595"/>
      <c r="HI1" s="595"/>
      <c r="HJ1" s="595"/>
    </row>
    <row r="2" spans="1:218" ht="36" customHeight="1">
      <c r="A2" s="121"/>
      <c r="B2" s="125"/>
      <c r="C2" s="587" t="s">
        <v>414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 t="s">
        <v>415</v>
      </c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 t="s">
        <v>181</v>
      </c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 t="s">
        <v>182</v>
      </c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 t="s">
        <v>183</v>
      </c>
      <c r="BL2" s="587"/>
      <c r="BM2" s="587"/>
      <c r="BN2" s="587"/>
      <c r="BO2" s="587"/>
      <c r="BP2" s="587"/>
      <c r="BQ2" s="587"/>
      <c r="BR2" s="587"/>
      <c r="BS2" s="587"/>
      <c r="BT2" s="587"/>
      <c r="BU2" s="587"/>
      <c r="BV2" s="587"/>
      <c r="BW2" s="587"/>
      <c r="BX2" s="587"/>
      <c r="BY2" s="587"/>
      <c r="BZ2" s="587" t="s">
        <v>184</v>
      </c>
      <c r="CA2" s="587"/>
      <c r="CB2" s="587"/>
      <c r="CC2" s="587"/>
      <c r="CD2" s="587"/>
      <c r="CE2" s="587"/>
      <c r="CF2" s="587"/>
      <c r="CG2" s="587"/>
      <c r="CH2" s="587"/>
      <c r="CI2" s="587"/>
      <c r="CJ2" s="587"/>
      <c r="CK2" s="587"/>
      <c r="CL2" s="587"/>
      <c r="CM2" s="587"/>
      <c r="CN2" s="587"/>
      <c r="CO2" s="587" t="s">
        <v>185</v>
      </c>
      <c r="CP2" s="587"/>
      <c r="CQ2" s="587"/>
      <c r="CR2" s="587"/>
      <c r="CS2" s="587"/>
      <c r="CT2" s="587"/>
      <c r="CU2" s="587"/>
      <c r="CV2" s="587"/>
      <c r="CW2" s="587"/>
      <c r="CX2" s="587"/>
      <c r="CY2" s="587"/>
      <c r="CZ2" s="587"/>
      <c r="DA2" s="587"/>
      <c r="DB2" s="587"/>
      <c r="DC2" s="587"/>
      <c r="DD2" s="594" t="s">
        <v>186</v>
      </c>
      <c r="DE2" s="594"/>
      <c r="DF2" s="594"/>
      <c r="DG2" s="594"/>
      <c r="DH2" s="594"/>
      <c r="DI2" s="594"/>
      <c r="DJ2" s="594"/>
      <c r="DK2" s="594"/>
      <c r="DL2" s="594"/>
      <c r="DM2" s="594"/>
      <c r="DN2" s="594"/>
      <c r="DO2" s="594"/>
      <c r="DP2" s="594"/>
      <c r="DQ2" s="594"/>
      <c r="DR2" s="594"/>
      <c r="DS2" s="587" t="s">
        <v>187</v>
      </c>
      <c r="DT2" s="587"/>
      <c r="DU2" s="587"/>
      <c r="DV2" s="587"/>
      <c r="DW2" s="587"/>
      <c r="DX2" s="587"/>
      <c r="DY2" s="587"/>
      <c r="DZ2" s="587"/>
      <c r="EA2" s="587"/>
      <c r="EB2" s="587"/>
      <c r="EC2" s="587"/>
      <c r="ED2" s="587"/>
      <c r="EE2" s="587"/>
      <c r="EF2" s="587"/>
      <c r="EG2" s="587"/>
      <c r="EH2" s="587" t="s">
        <v>364</v>
      </c>
      <c r="EI2" s="587"/>
      <c r="EJ2" s="587"/>
      <c r="EK2" s="587"/>
      <c r="EL2" s="587"/>
      <c r="EM2" s="587"/>
      <c r="EN2" s="587"/>
      <c r="EO2" s="587"/>
      <c r="EP2" s="587"/>
      <c r="EQ2" s="587"/>
      <c r="ER2" s="587"/>
      <c r="ES2" s="587"/>
      <c r="ET2" s="587"/>
      <c r="EU2" s="587"/>
      <c r="EV2" s="587"/>
      <c r="EW2" s="587" t="s">
        <v>366</v>
      </c>
      <c r="EX2" s="587"/>
      <c r="EY2" s="587"/>
      <c r="EZ2" s="587"/>
      <c r="FA2" s="587"/>
      <c r="FB2" s="587"/>
      <c r="FC2" s="587"/>
      <c r="FD2" s="587"/>
      <c r="FE2" s="587"/>
      <c r="FF2" s="587"/>
      <c r="FG2" s="587"/>
      <c r="FH2" s="587"/>
      <c r="FI2" s="587"/>
      <c r="FJ2" s="587"/>
      <c r="FK2" s="587"/>
      <c r="FL2" s="587" t="s">
        <v>387</v>
      </c>
      <c r="FM2" s="587"/>
      <c r="FN2" s="587"/>
      <c r="FO2" s="587"/>
      <c r="FP2" s="587"/>
      <c r="FQ2" s="587"/>
      <c r="FR2" s="587"/>
      <c r="FS2" s="587"/>
      <c r="FT2" s="587"/>
      <c r="FU2" s="587"/>
      <c r="FV2" s="587"/>
      <c r="FW2" s="587"/>
      <c r="FX2" s="587"/>
      <c r="FY2" s="587"/>
      <c r="FZ2" s="587"/>
      <c r="GA2" s="597" t="s">
        <v>209</v>
      </c>
      <c r="GB2" s="597"/>
      <c r="GC2" s="597"/>
      <c r="GD2" s="597"/>
      <c r="GE2" s="597"/>
      <c r="GF2" s="597"/>
      <c r="GG2" s="597"/>
      <c r="GH2" s="597"/>
      <c r="GI2" s="597"/>
      <c r="GJ2" s="587" t="s">
        <v>210</v>
      </c>
      <c r="GK2" s="587"/>
      <c r="GL2" s="587"/>
      <c r="GM2" s="587"/>
      <c r="GN2" s="587"/>
      <c r="GO2" s="587"/>
      <c r="GP2" s="587"/>
      <c r="GQ2" s="587"/>
      <c r="GR2" s="587"/>
      <c r="GS2" s="587" t="s">
        <v>211</v>
      </c>
      <c r="GT2" s="587"/>
      <c r="GU2" s="587"/>
      <c r="GV2" s="587"/>
      <c r="GW2" s="587"/>
      <c r="GX2" s="587"/>
      <c r="GY2" s="587"/>
      <c r="GZ2" s="587"/>
      <c r="HA2" s="587"/>
      <c r="HB2" s="587" t="s">
        <v>365</v>
      </c>
      <c r="HC2" s="587"/>
      <c r="HD2" s="587"/>
      <c r="HE2" s="587"/>
      <c r="HF2" s="587"/>
      <c r="HG2" s="587"/>
      <c r="HH2" s="587"/>
      <c r="HI2" s="587"/>
      <c r="HJ2" s="587"/>
    </row>
    <row r="3" spans="1:218" ht="15" customHeight="1">
      <c r="A3" s="588" t="s">
        <v>192</v>
      </c>
      <c r="B3" s="591" t="s">
        <v>42</v>
      </c>
      <c r="C3" s="560" t="s">
        <v>188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2"/>
      <c r="O3" s="578" t="s">
        <v>189</v>
      </c>
      <c r="P3" s="579"/>
      <c r="Q3" s="580"/>
      <c r="R3" s="560" t="s">
        <v>188</v>
      </c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2"/>
      <c r="AD3" s="578" t="s">
        <v>189</v>
      </c>
      <c r="AE3" s="579"/>
      <c r="AF3" s="580"/>
      <c r="AG3" s="560" t="s">
        <v>188</v>
      </c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2"/>
      <c r="AS3" s="578" t="s">
        <v>189</v>
      </c>
      <c r="AT3" s="579"/>
      <c r="AU3" s="580"/>
      <c r="AV3" s="560" t="s">
        <v>188</v>
      </c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2"/>
      <c r="BH3" s="578" t="s">
        <v>189</v>
      </c>
      <c r="BI3" s="579"/>
      <c r="BJ3" s="580"/>
      <c r="BK3" s="560" t="s">
        <v>188</v>
      </c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2"/>
      <c r="BW3" s="578" t="s">
        <v>189</v>
      </c>
      <c r="BX3" s="579"/>
      <c r="BY3" s="580"/>
      <c r="BZ3" s="560" t="s">
        <v>188</v>
      </c>
      <c r="CA3" s="561"/>
      <c r="CB3" s="561"/>
      <c r="CC3" s="561"/>
      <c r="CD3" s="561"/>
      <c r="CE3" s="561"/>
      <c r="CF3" s="561"/>
      <c r="CG3" s="561"/>
      <c r="CH3" s="561"/>
      <c r="CI3" s="561"/>
      <c r="CJ3" s="561"/>
      <c r="CK3" s="562"/>
      <c r="CL3" s="578" t="s">
        <v>189</v>
      </c>
      <c r="CM3" s="579"/>
      <c r="CN3" s="580"/>
      <c r="CO3" s="560" t="s">
        <v>188</v>
      </c>
      <c r="CP3" s="561"/>
      <c r="CQ3" s="561"/>
      <c r="CR3" s="561"/>
      <c r="CS3" s="561"/>
      <c r="CT3" s="561"/>
      <c r="CU3" s="561"/>
      <c r="CV3" s="561"/>
      <c r="CW3" s="561"/>
      <c r="CX3" s="561"/>
      <c r="CY3" s="561"/>
      <c r="CZ3" s="562"/>
      <c r="DA3" s="578" t="s">
        <v>189</v>
      </c>
      <c r="DB3" s="579"/>
      <c r="DC3" s="580"/>
      <c r="DD3" s="560" t="s">
        <v>188</v>
      </c>
      <c r="DE3" s="561"/>
      <c r="DF3" s="561"/>
      <c r="DG3" s="561"/>
      <c r="DH3" s="561"/>
      <c r="DI3" s="561"/>
      <c r="DJ3" s="561"/>
      <c r="DK3" s="561"/>
      <c r="DL3" s="561"/>
      <c r="DM3" s="561"/>
      <c r="DN3" s="561"/>
      <c r="DO3" s="562"/>
      <c r="DP3" s="578" t="s">
        <v>189</v>
      </c>
      <c r="DQ3" s="579"/>
      <c r="DR3" s="580"/>
      <c r="DS3" s="560" t="s">
        <v>188</v>
      </c>
      <c r="DT3" s="561"/>
      <c r="DU3" s="561"/>
      <c r="DV3" s="561"/>
      <c r="DW3" s="561"/>
      <c r="DX3" s="561"/>
      <c r="DY3" s="561"/>
      <c r="DZ3" s="561"/>
      <c r="EA3" s="561"/>
      <c r="EB3" s="561"/>
      <c r="EC3" s="561"/>
      <c r="ED3" s="562"/>
      <c r="EE3" s="578" t="s">
        <v>189</v>
      </c>
      <c r="EF3" s="579"/>
      <c r="EG3" s="580"/>
      <c r="EH3" s="560" t="s">
        <v>188</v>
      </c>
      <c r="EI3" s="561"/>
      <c r="EJ3" s="561"/>
      <c r="EK3" s="561"/>
      <c r="EL3" s="561"/>
      <c r="EM3" s="561"/>
      <c r="EN3" s="561"/>
      <c r="EO3" s="561"/>
      <c r="EP3" s="561"/>
      <c r="EQ3" s="561"/>
      <c r="ER3" s="561"/>
      <c r="ES3" s="562"/>
      <c r="ET3" s="578" t="s">
        <v>189</v>
      </c>
      <c r="EU3" s="579"/>
      <c r="EV3" s="580"/>
      <c r="EW3" s="560" t="s">
        <v>188</v>
      </c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2"/>
      <c r="FI3" s="578" t="s">
        <v>189</v>
      </c>
      <c r="FJ3" s="579"/>
      <c r="FK3" s="580"/>
      <c r="FL3" s="560" t="s">
        <v>188</v>
      </c>
      <c r="FM3" s="561"/>
      <c r="FN3" s="561"/>
      <c r="FO3" s="561"/>
      <c r="FP3" s="561"/>
      <c r="FQ3" s="561"/>
      <c r="FR3" s="561"/>
      <c r="FS3" s="561"/>
      <c r="FT3" s="561"/>
      <c r="FU3" s="561"/>
      <c r="FV3" s="561"/>
      <c r="FW3" s="562"/>
      <c r="FX3" s="578" t="s">
        <v>189</v>
      </c>
      <c r="FY3" s="579"/>
      <c r="FZ3" s="580"/>
      <c r="GA3" s="563" t="s">
        <v>193</v>
      </c>
      <c r="GB3" s="564"/>
      <c r="GC3" s="565"/>
      <c r="GD3" s="563" t="s">
        <v>194</v>
      </c>
      <c r="GE3" s="564"/>
      <c r="GF3" s="565"/>
      <c r="GG3" s="563" t="s">
        <v>195</v>
      </c>
      <c r="GH3" s="564"/>
      <c r="GI3" s="565"/>
      <c r="GJ3" s="563" t="s">
        <v>193</v>
      </c>
      <c r="GK3" s="564"/>
      <c r="GL3" s="565"/>
      <c r="GM3" s="563" t="s">
        <v>194</v>
      </c>
      <c r="GN3" s="564"/>
      <c r="GO3" s="565"/>
      <c r="GP3" s="563" t="s">
        <v>195</v>
      </c>
      <c r="GQ3" s="564"/>
      <c r="GR3" s="565"/>
      <c r="GS3" s="563" t="s">
        <v>193</v>
      </c>
      <c r="GT3" s="564"/>
      <c r="GU3" s="565"/>
      <c r="GV3" s="563" t="s">
        <v>194</v>
      </c>
      <c r="GW3" s="564"/>
      <c r="GX3" s="565"/>
      <c r="GY3" s="563" t="s">
        <v>195</v>
      </c>
      <c r="GZ3" s="564"/>
      <c r="HA3" s="565"/>
      <c r="HB3" s="563" t="s">
        <v>193</v>
      </c>
      <c r="HC3" s="564"/>
      <c r="HD3" s="565"/>
      <c r="HE3" s="563" t="s">
        <v>194</v>
      </c>
      <c r="HF3" s="564"/>
      <c r="HG3" s="565"/>
      <c r="HH3" s="563" t="s">
        <v>195</v>
      </c>
      <c r="HI3" s="564"/>
      <c r="HJ3" s="565"/>
    </row>
    <row r="4" spans="1:218">
      <c r="A4" s="589"/>
      <c r="B4" s="592"/>
      <c r="C4" s="569" t="s">
        <v>5</v>
      </c>
      <c r="D4" s="570"/>
      <c r="E4" s="571"/>
      <c r="F4" s="560" t="s">
        <v>6</v>
      </c>
      <c r="G4" s="561"/>
      <c r="H4" s="561"/>
      <c r="I4" s="561"/>
      <c r="J4" s="561"/>
      <c r="K4" s="561"/>
      <c r="L4" s="561"/>
      <c r="M4" s="561"/>
      <c r="N4" s="562"/>
      <c r="O4" s="581"/>
      <c r="P4" s="582"/>
      <c r="Q4" s="583"/>
      <c r="R4" s="569" t="s">
        <v>5</v>
      </c>
      <c r="S4" s="570"/>
      <c r="T4" s="571"/>
      <c r="U4" s="560" t="s">
        <v>6</v>
      </c>
      <c r="V4" s="561"/>
      <c r="W4" s="561"/>
      <c r="X4" s="561"/>
      <c r="Y4" s="561"/>
      <c r="Z4" s="561"/>
      <c r="AA4" s="561"/>
      <c r="AB4" s="561"/>
      <c r="AC4" s="562"/>
      <c r="AD4" s="581"/>
      <c r="AE4" s="582"/>
      <c r="AF4" s="583"/>
      <c r="AG4" s="569" t="s">
        <v>5</v>
      </c>
      <c r="AH4" s="570"/>
      <c r="AI4" s="571"/>
      <c r="AJ4" s="560" t="s">
        <v>6</v>
      </c>
      <c r="AK4" s="561"/>
      <c r="AL4" s="561"/>
      <c r="AM4" s="561"/>
      <c r="AN4" s="561"/>
      <c r="AO4" s="561"/>
      <c r="AP4" s="561"/>
      <c r="AQ4" s="561"/>
      <c r="AR4" s="562"/>
      <c r="AS4" s="581"/>
      <c r="AT4" s="582"/>
      <c r="AU4" s="583"/>
      <c r="AV4" s="569" t="s">
        <v>5</v>
      </c>
      <c r="AW4" s="570"/>
      <c r="AX4" s="571"/>
      <c r="AY4" s="560" t="s">
        <v>6</v>
      </c>
      <c r="AZ4" s="561"/>
      <c r="BA4" s="561"/>
      <c r="BB4" s="561"/>
      <c r="BC4" s="561"/>
      <c r="BD4" s="561"/>
      <c r="BE4" s="561"/>
      <c r="BF4" s="561"/>
      <c r="BG4" s="562"/>
      <c r="BH4" s="581"/>
      <c r="BI4" s="582"/>
      <c r="BJ4" s="583"/>
      <c r="BK4" s="569" t="s">
        <v>5</v>
      </c>
      <c r="BL4" s="570"/>
      <c r="BM4" s="571"/>
      <c r="BN4" s="560" t="s">
        <v>6</v>
      </c>
      <c r="BO4" s="561"/>
      <c r="BP4" s="561"/>
      <c r="BQ4" s="561"/>
      <c r="BR4" s="561"/>
      <c r="BS4" s="561"/>
      <c r="BT4" s="561"/>
      <c r="BU4" s="561"/>
      <c r="BV4" s="562"/>
      <c r="BW4" s="581"/>
      <c r="BX4" s="582"/>
      <c r="BY4" s="583"/>
      <c r="BZ4" s="569" t="s">
        <v>5</v>
      </c>
      <c r="CA4" s="570"/>
      <c r="CB4" s="571"/>
      <c r="CC4" s="560" t="s">
        <v>6</v>
      </c>
      <c r="CD4" s="561"/>
      <c r="CE4" s="561"/>
      <c r="CF4" s="561"/>
      <c r="CG4" s="561"/>
      <c r="CH4" s="561"/>
      <c r="CI4" s="561"/>
      <c r="CJ4" s="561"/>
      <c r="CK4" s="562"/>
      <c r="CL4" s="581"/>
      <c r="CM4" s="582"/>
      <c r="CN4" s="583"/>
      <c r="CO4" s="569" t="s">
        <v>5</v>
      </c>
      <c r="CP4" s="570"/>
      <c r="CQ4" s="571"/>
      <c r="CR4" s="560" t="s">
        <v>6</v>
      </c>
      <c r="CS4" s="561"/>
      <c r="CT4" s="561"/>
      <c r="CU4" s="561"/>
      <c r="CV4" s="561"/>
      <c r="CW4" s="561"/>
      <c r="CX4" s="561"/>
      <c r="CY4" s="561"/>
      <c r="CZ4" s="562"/>
      <c r="DA4" s="581"/>
      <c r="DB4" s="582"/>
      <c r="DC4" s="583"/>
      <c r="DD4" s="569" t="s">
        <v>5</v>
      </c>
      <c r="DE4" s="570"/>
      <c r="DF4" s="571"/>
      <c r="DG4" s="560" t="s">
        <v>6</v>
      </c>
      <c r="DH4" s="561"/>
      <c r="DI4" s="561"/>
      <c r="DJ4" s="561"/>
      <c r="DK4" s="561"/>
      <c r="DL4" s="561"/>
      <c r="DM4" s="561"/>
      <c r="DN4" s="561"/>
      <c r="DO4" s="562"/>
      <c r="DP4" s="581"/>
      <c r="DQ4" s="582"/>
      <c r="DR4" s="583"/>
      <c r="DS4" s="569" t="s">
        <v>5</v>
      </c>
      <c r="DT4" s="570"/>
      <c r="DU4" s="571"/>
      <c r="DV4" s="560" t="s">
        <v>6</v>
      </c>
      <c r="DW4" s="561"/>
      <c r="DX4" s="561"/>
      <c r="DY4" s="561"/>
      <c r="DZ4" s="561"/>
      <c r="EA4" s="561"/>
      <c r="EB4" s="561"/>
      <c r="EC4" s="561"/>
      <c r="ED4" s="562"/>
      <c r="EE4" s="581"/>
      <c r="EF4" s="582"/>
      <c r="EG4" s="583"/>
      <c r="EH4" s="569" t="s">
        <v>5</v>
      </c>
      <c r="EI4" s="570"/>
      <c r="EJ4" s="571"/>
      <c r="EK4" s="560" t="s">
        <v>6</v>
      </c>
      <c r="EL4" s="561"/>
      <c r="EM4" s="561"/>
      <c r="EN4" s="561"/>
      <c r="EO4" s="561"/>
      <c r="EP4" s="561"/>
      <c r="EQ4" s="561"/>
      <c r="ER4" s="561"/>
      <c r="ES4" s="562"/>
      <c r="ET4" s="581"/>
      <c r="EU4" s="582"/>
      <c r="EV4" s="583"/>
      <c r="EW4" s="569" t="s">
        <v>5</v>
      </c>
      <c r="EX4" s="570"/>
      <c r="EY4" s="571"/>
      <c r="EZ4" s="560" t="s">
        <v>6</v>
      </c>
      <c r="FA4" s="561"/>
      <c r="FB4" s="561"/>
      <c r="FC4" s="561"/>
      <c r="FD4" s="561"/>
      <c r="FE4" s="561"/>
      <c r="FF4" s="561"/>
      <c r="FG4" s="561"/>
      <c r="FH4" s="562"/>
      <c r="FI4" s="581"/>
      <c r="FJ4" s="582"/>
      <c r="FK4" s="583"/>
      <c r="FL4" s="569" t="s">
        <v>5</v>
      </c>
      <c r="FM4" s="570"/>
      <c r="FN4" s="571"/>
      <c r="FO4" s="560" t="s">
        <v>6</v>
      </c>
      <c r="FP4" s="561"/>
      <c r="FQ4" s="561"/>
      <c r="FR4" s="561"/>
      <c r="FS4" s="561"/>
      <c r="FT4" s="561"/>
      <c r="FU4" s="561"/>
      <c r="FV4" s="561"/>
      <c r="FW4" s="562"/>
      <c r="FX4" s="581"/>
      <c r="FY4" s="582"/>
      <c r="FZ4" s="583"/>
      <c r="GA4" s="575"/>
      <c r="GB4" s="576"/>
      <c r="GC4" s="577"/>
      <c r="GD4" s="566"/>
      <c r="GE4" s="567"/>
      <c r="GF4" s="568"/>
      <c r="GG4" s="566"/>
      <c r="GH4" s="567"/>
      <c r="GI4" s="568"/>
      <c r="GJ4" s="575"/>
      <c r="GK4" s="576"/>
      <c r="GL4" s="577"/>
      <c r="GM4" s="566"/>
      <c r="GN4" s="567"/>
      <c r="GO4" s="568"/>
      <c r="GP4" s="566"/>
      <c r="GQ4" s="567"/>
      <c r="GR4" s="568"/>
      <c r="GS4" s="575"/>
      <c r="GT4" s="576"/>
      <c r="GU4" s="577"/>
      <c r="GV4" s="566"/>
      <c r="GW4" s="567"/>
      <c r="GX4" s="568"/>
      <c r="GY4" s="566"/>
      <c r="GZ4" s="567"/>
      <c r="HA4" s="568"/>
      <c r="HB4" s="575"/>
      <c r="HC4" s="576"/>
      <c r="HD4" s="577"/>
      <c r="HE4" s="566"/>
      <c r="HF4" s="567"/>
      <c r="HG4" s="568"/>
      <c r="HH4" s="566"/>
      <c r="HI4" s="567"/>
      <c r="HJ4" s="568"/>
    </row>
    <row r="5" spans="1:218" ht="15" customHeight="1">
      <c r="A5" s="589"/>
      <c r="B5" s="592"/>
      <c r="C5" s="572"/>
      <c r="D5" s="573"/>
      <c r="E5" s="574"/>
      <c r="F5" s="560" t="s">
        <v>51</v>
      </c>
      <c r="G5" s="561"/>
      <c r="H5" s="562"/>
      <c r="I5" s="560" t="s">
        <v>190</v>
      </c>
      <c r="J5" s="561"/>
      <c r="K5" s="562"/>
      <c r="L5" s="560" t="s">
        <v>191</v>
      </c>
      <c r="M5" s="561"/>
      <c r="N5" s="562"/>
      <c r="O5" s="584"/>
      <c r="P5" s="585"/>
      <c r="Q5" s="586"/>
      <c r="R5" s="572"/>
      <c r="S5" s="573"/>
      <c r="T5" s="574"/>
      <c r="U5" s="560" t="s">
        <v>51</v>
      </c>
      <c r="V5" s="561"/>
      <c r="W5" s="562"/>
      <c r="X5" s="560" t="s">
        <v>190</v>
      </c>
      <c r="Y5" s="561"/>
      <c r="Z5" s="562"/>
      <c r="AA5" s="560" t="s">
        <v>191</v>
      </c>
      <c r="AB5" s="561"/>
      <c r="AC5" s="562"/>
      <c r="AD5" s="584"/>
      <c r="AE5" s="585"/>
      <c r="AF5" s="586"/>
      <c r="AG5" s="572"/>
      <c r="AH5" s="573"/>
      <c r="AI5" s="574"/>
      <c r="AJ5" s="560" t="s">
        <v>51</v>
      </c>
      <c r="AK5" s="561"/>
      <c r="AL5" s="562"/>
      <c r="AM5" s="560" t="s">
        <v>190</v>
      </c>
      <c r="AN5" s="561"/>
      <c r="AO5" s="562"/>
      <c r="AP5" s="560" t="s">
        <v>191</v>
      </c>
      <c r="AQ5" s="561"/>
      <c r="AR5" s="562"/>
      <c r="AS5" s="584"/>
      <c r="AT5" s="585"/>
      <c r="AU5" s="586"/>
      <c r="AV5" s="572"/>
      <c r="AW5" s="573"/>
      <c r="AX5" s="574"/>
      <c r="AY5" s="560" t="s">
        <v>51</v>
      </c>
      <c r="AZ5" s="561"/>
      <c r="BA5" s="562"/>
      <c r="BB5" s="560" t="s">
        <v>190</v>
      </c>
      <c r="BC5" s="561"/>
      <c r="BD5" s="562"/>
      <c r="BE5" s="560" t="s">
        <v>191</v>
      </c>
      <c r="BF5" s="561"/>
      <c r="BG5" s="562"/>
      <c r="BH5" s="584"/>
      <c r="BI5" s="585"/>
      <c r="BJ5" s="586"/>
      <c r="BK5" s="572"/>
      <c r="BL5" s="573"/>
      <c r="BM5" s="574"/>
      <c r="BN5" s="560" t="s">
        <v>51</v>
      </c>
      <c r="BO5" s="561"/>
      <c r="BP5" s="562"/>
      <c r="BQ5" s="560" t="s">
        <v>190</v>
      </c>
      <c r="BR5" s="561"/>
      <c r="BS5" s="562"/>
      <c r="BT5" s="560" t="s">
        <v>191</v>
      </c>
      <c r="BU5" s="561"/>
      <c r="BV5" s="562"/>
      <c r="BW5" s="584"/>
      <c r="BX5" s="585"/>
      <c r="BY5" s="586"/>
      <c r="BZ5" s="572"/>
      <c r="CA5" s="573"/>
      <c r="CB5" s="574"/>
      <c r="CC5" s="560" t="s">
        <v>51</v>
      </c>
      <c r="CD5" s="561"/>
      <c r="CE5" s="562"/>
      <c r="CF5" s="560" t="s">
        <v>190</v>
      </c>
      <c r="CG5" s="561"/>
      <c r="CH5" s="562"/>
      <c r="CI5" s="560" t="s">
        <v>191</v>
      </c>
      <c r="CJ5" s="561"/>
      <c r="CK5" s="562"/>
      <c r="CL5" s="584"/>
      <c r="CM5" s="585"/>
      <c r="CN5" s="586"/>
      <c r="CO5" s="572"/>
      <c r="CP5" s="573"/>
      <c r="CQ5" s="574"/>
      <c r="CR5" s="560" t="s">
        <v>51</v>
      </c>
      <c r="CS5" s="561"/>
      <c r="CT5" s="562"/>
      <c r="CU5" s="560" t="s">
        <v>190</v>
      </c>
      <c r="CV5" s="561"/>
      <c r="CW5" s="562"/>
      <c r="CX5" s="560" t="s">
        <v>191</v>
      </c>
      <c r="CY5" s="561"/>
      <c r="CZ5" s="562"/>
      <c r="DA5" s="584"/>
      <c r="DB5" s="585"/>
      <c r="DC5" s="586"/>
      <c r="DD5" s="572"/>
      <c r="DE5" s="573"/>
      <c r="DF5" s="574"/>
      <c r="DG5" s="560" t="s">
        <v>51</v>
      </c>
      <c r="DH5" s="561"/>
      <c r="DI5" s="562"/>
      <c r="DJ5" s="560" t="s">
        <v>190</v>
      </c>
      <c r="DK5" s="561"/>
      <c r="DL5" s="562"/>
      <c r="DM5" s="560" t="s">
        <v>191</v>
      </c>
      <c r="DN5" s="561"/>
      <c r="DO5" s="562"/>
      <c r="DP5" s="584"/>
      <c r="DQ5" s="585"/>
      <c r="DR5" s="586"/>
      <c r="DS5" s="572"/>
      <c r="DT5" s="573"/>
      <c r="DU5" s="574"/>
      <c r="DV5" s="560" t="s">
        <v>51</v>
      </c>
      <c r="DW5" s="561"/>
      <c r="DX5" s="562"/>
      <c r="DY5" s="560" t="s">
        <v>190</v>
      </c>
      <c r="DZ5" s="561"/>
      <c r="EA5" s="562"/>
      <c r="EB5" s="560" t="s">
        <v>191</v>
      </c>
      <c r="EC5" s="561"/>
      <c r="ED5" s="562"/>
      <c r="EE5" s="584"/>
      <c r="EF5" s="585"/>
      <c r="EG5" s="586"/>
      <c r="EH5" s="572"/>
      <c r="EI5" s="573"/>
      <c r="EJ5" s="574"/>
      <c r="EK5" s="560" t="s">
        <v>51</v>
      </c>
      <c r="EL5" s="561"/>
      <c r="EM5" s="562"/>
      <c r="EN5" s="560" t="s">
        <v>190</v>
      </c>
      <c r="EO5" s="561"/>
      <c r="EP5" s="562"/>
      <c r="EQ5" s="560" t="s">
        <v>191</v>
      </c>
      <c r="ER5" s="561"/>
      <c r="ES5" s="562"/>
      <c r="ET5" s="584"/>
      <c r="EU5" s="585"/>
      <c r="EV5" s="586"/>
      <c r="EW5" s="572"/>
      <c r="EX5" s="573"/>
      <c r="EY5" s="574"/>
      <c r="EZ5" s="560" t="s">
        <v>51</v>
      </c>
      <c r="FA5" s="561"/>
      <c r="FB5" s="562"/>
      <c r="FC5" s="560" t="s">
        <v>190</v>
      </c>
      <c r="FD5" s="561"/>
      <c r="FE5" s="562"/>
      <c r="FF5" s="560" t="s">
        <v>191</v>
      </c>
      <c r="FG5" s="561"/>
      <c r="FH5" s="562"/>
      <c r="FI5" s="584"/>
      <c r="FJ5" s="585"/>
      <c r="FK5" s="586"/>
      <c r="FL5" s="572"/>
      <c r="FM5" s="573"/>
      <c r="FN5" s="574"/>
      <c r="FO5" s="560" t="s">
        <v>51</v>
      </c>
      <c r="FP5" s="561"/>
      <c r="FQ5" s="562"/>
      <c r="FR5" s="560" t="s">
        <v>190</v>
      </c>
      <c r="FS5" s="561"/>
      <c r="FT5" s="562"/>
      <c r="FU5" s="560" t="s">
        <v>191</v>
      </c>
      <c r="FV5" s="561"/>
      <c r="FW5" s="562"/>
      <c r="FX5" s="584"/>
      <c r="FY5" s="585"/>
      <c r="FZ5" s="586"/>
      <c r="GA5" s="566"/>
      <c r="GB5" s="567"/>
      <c r="GC5" s="568"/>
      <c r="GD5" s="553" t="s">
        <v>196</v>
      </c>
      <c r="GE5" s="554"/>
      <c r="GF5" s="555"/>
      <c r="GG5" s="553" t="s">
        <v>196</v>
      </c>
      <c r="GH5" s="554"/>
      <c r="GI5" s="555"/>
      <c r="GJ5" s="566"/>
      <c r="GK5" s="567"/>
      <c r="GL5" s="568"/>
      <c r="GM5" s="553" t="s">
        <v>196</v>
      </c>
      <c r="GN5" s="554"/>
      <c r="GO5" s="555"/>
      <c r="GP5" s="553" t="s">
        <v>196</v>
      </c>
      <c r="GQ5" s="554"/>
      <c r="GR5" s="555"/>
      <c r="GS5" s="566"/>
      <c r="GT5" s="567"/>
      <c r="GU5" s="568"/>
      <c r="GV5" s="553" t="s">
        <v>196</v>
      </c>
      <c r="GW5" s="554"/>
      <c r="GX5" s="555"/>
      <c r="GY5" s="553" t="s">
        <v>196</v>
      </c>
      <c r="GZ5" s="554"/>
      <c r="HA5" s="555"/>
      <c r="HB5" s="566"/>
      <c r="HC5" s="567"/>
      <c r="HD5" s="568"/>
      <c r="HE5" s="553" t="s">
        <v>196</v>
      </c>
      <c r="HF5" s="554"/>
      <c r="HG5" s="555"/>
      <c r="HH5" s="553" t="s">
        <v>196</v>
      </c>
      <c r="HI5" s="554"/>
      <c r="HJ5" s="555"/>
    </row>
    <row r="6" spans="1:218">
      <c r="A6" s="590"/>
      <c r="B6" s="593"/>
      <c r="C6" s="475" t="s">
        <v>43</v>
      </c>
      <c r="D6" s="475" t="s">
        <v>44</v>
      </c>
      <c r="E6" s="475" t="s">
        <v>3</v>
      </c>
      <c r="F6" s="475" t="s">
        <v>43</v>
      </c>
      <c r="G6" s="475" t="s">
        <v>44</v>
      </c>
      <c r="H6" s="475" t="s">
        <v>3</v>
      </c>
      <c r="I6" s="475" t="s">
        <v>43</v>
      </c>
      <c r="J6" s="475" t="s">
        <v>44</v>
      </c>
      <c r="K6" s="475" t="s">
        <v>3</v>
      </c>
      <c r="L6" s="475" t="s">
        <v>43</v>
      </c>
      <c r="M6" s="475" t="s">
        <v>44</v>
      </c>
      <c r="N6" s="475" t="s">
        <v>3</v>
      </c>
      <c r="O6" s="476" t="s">
        <v>43</v>
      </c>
      <c r="P6" s="476" t="s">
        <v>44</v>
      </c>
      <c r="Q6" s="476" t="s">
        <v>3</v>
      </c>
      <c r="R6" s="475" t="s">
        <v>43</v>
      </c>
      <c r="S6" s="475" t="s">
        <v>44</v>
      </c>
      <c r="T6" s="475" t="s">
        <v>3</v>
      </c>
      <c r="U6" s="475" t="s">
        <v>43</v>
      </c>
      <c r="V6" s="475" t="s">
        <v>44</v>
      </c>
      <c r="W6" s="475" t="s">
        <v>3</v>
      </c>
      <c r="X6" s="475" t="s">
        <v>43</v>
      </c>
      <c r="Y6" s="475" t="s">
        <v>44</v>
      </c>
      <c r="Z6" s="475" t="s">
        <v>3</v>
      </c>
      <c r="AA6" s="475" t="s">
        <v>43</v>
      </c>
      <c r="AB6" s="475" t="s">
        <v>44</v>
      </c>
      <c r="AC6" s="475" t="s">
        <v>3</v>
      </c>
      <c r="AD6" s="476" t="s">
        <v>43</v>
      </c>
      <c r="AE6" s="476" t="s">
        <v>44</v>
      </c>
      <c r="AF6" s="476" t="s">
        <v>3</v>
      </c>
      <c r="AG6" s="475" t="s">
        <v>43</v>
      </c>
      <c r="AH6" s="475" t="s">
        <v>44</v>
      </c>
      <c r="AI6" s="475" t="s">
        <v>3</v>
      </c>
      <c r="AJ6" s="475" t="s">
        <v>43</v>
      </c>
      <c r="AK6" s="475" t="s">
        <v>44</v>
      </c>
      <c r="AL6" s="475" t="s">
        <v>3</v>
      </c>
      <c r="AM6" s="475" t="s">
        <v>43</v>
      </c>
      <c r="AN6" s="475" t="s">
        <v>44</v>
      </c>
      <c r="AO6" s="475" t="s">
        <v>3</v>
      </c>
      <c r="AP6" s="475" t="s">
        <v>43</v>
      </c>
      <c r="AQ6" s="475" t="s">
        <v>44</v>
      </c>
      <c r="AR6" s="475" t="s">
        <v>3</v>
      </c>
      <c r="AS6" s="476" t="s">
        <v>43</v>
      </c>
      <c r="AT6" s="476" t="s">
        <v>44</v>
      </c>
      <c r="AU6" s="476" t="s">
        <v>3</v>
      </c>
      <c r="AV6" s="475" t="s">
        <v>43</v>
      </c>
      <c r="AW6" s="475" t="s">
        <v>44</v>
      </c>
      <c r="AX6" s="475" t="s">
        <v>3</v>
      </c>
      <c r="AY6" s="475" t="s">
        <v>43</v>
      </c>
      <c r="AZ6" s="475" t="s">
        <v>44</v>
      </c>
      <c r="BA6" s="475" t="s">
        <v>3</v>
      </c>
      <c r="BB6" s="475" t="s">
        <v>43</v>
      </c>
      <c r="BC6" s="475" t="s">
        <v>44</v>
      </c>
      <c r="BD6" s="475" t="s">
        <v>3</v>
      </c>
      <c r="BE6" s="475" t="s">
        <v>43</v>
      </c>
      <c r="BF6" s="475" t="s">
        <v>44</v>
      </c>
      <c r="BG6" s="475" t="s">
        <v>3</v>
      </c>
      <c r="BH6" s="476" t="s">
        <v>43</v>
      </c>
      <c r="BI6" s="476" t="s">
        <v>44</v>
      </c>
      <c r="BJ6" s="476" t="s">
        <v>3</v>
      </c>
      <c r="BK6" s="475" t="s">
        <v>43</v>
      </c>
      <c r="BL6" s="475" t="s">
        <v>44</v>
      </c>
      <c r="BM6" s="475" t="s">
        <v>3</v>
      </c>
      <c r="BN6" s="475" t="s">
        <v>43</v>
      </c>
      <c r="BO6" s="475" t="s">
        <v>44</v>
      </c>
      <c r="BP6" s="475" t="s">
        <v>3</v>
      </c>
      <c r="BQ6" s="475" t="s">
        <v>43</v>
      </c>
      <c r="BR6" s="475" t="s">
        <v>44</v>
      </c>
      <c r="BS6" s="475" t="s">
        <v>3</v>
      </c>
      <c r="BT6" s="475" t="s">
        <v>43</v>
      </c>
      <c r="BU6" s="475" t="s">
        <v>44</v>
      </c>
      <c r="BV6" s="475" t="s">
        <v>3</v>
      </c>
      <c r="BW6" s="476" t="s">
        <v>43</v>
      </c>
      <c r="BX6" s="476" t="s">
        <v>44</v>
      </c>
      <c r="BY6" s="476" t="s">
        <v>3</v>
      </c>
      <c r="BZ6" s="475" t="s">
        <v>43</v>
      </c>
      <c r="CA6" s="475" t="s">
        <v>44</v>
      </c>
      <c r="CB6" s="475" t="s">
        <v>3</v>
      </c>
      <c r="CC6" s="475" t="s">
        <v>43</v>
      </c>
      <c r="CD6" s="475" t="s">
        <v>44</v>
      </c>
      <c r="CE6" s="475" t="s">
        <v>3</v>
      </c>
      <c r="CF6" s="475" t="s">
        <v>43</v>
      </c>
      <c r="CG6" s="475" t="s">
        <v>44</v>
      </c>
      <c r="CH6" s="475" t="s">
        <v>3</v>
      </c>
      <c r="CI6" s="475" t="s">
        <v>43</v>
      </c>
      <c r="CJ6" s="475" t="s">
        <v>44</v>
      </c>
      <c r="CK6" s="475" t="s">
        <v>3</v>
      </c>
      <c r="CL6" s="476" t="s">
        <v>43</v>
      </c>
      <c r="CM6" s="476" t="s">
        <v>44</v>
      </c>
      <c r="CN6" s="476" t="s">
        <v>3</v>
      </c>
      <c r="CO6" s="475" t="s">
        <v>43</v>
      </c>
      <c r="CP6" s="475" t="s">
        <v>44</v>
      </c>
      <c r="CQ6" s="475" t="s">
        <v>3</v>
      </c>
      <c r="CR6" s="475" t="s">
        <v>43</v>
      </c>
      <c r="CS6" s="475" t="s">
        <v>44</v>
      </c>
      <c r="CT6" s="475" t="s">
        <v>3</v>
      </c>
      <c r="CU6" s="475" t="s">
        <v>43</v>
      </c>
      <c r="CV6" s="475" t="s">
        <v>44</v>
      </c>
      <c r="CW6" s="475" t="s">
        <v>3</v>
      </c>
      <c r="CX6" s="475" t="s">
        <v>43</v>
      </c>
      <c r="CY6" s="475" t="s">
        <v>44</v>
      </c>
      <c r="CZ6" s="475" t="s">
        <v>3</v>
      </c>
      <c r="DA6" s="476" t="s">
        <v>43</v>
      </c>
      <c r="DB6" s="476" t="s">
        <v>44</v>
      </c>
      <c r="DC6" s="476" t="s">
        <v>3</v>
      </c>
      <c r="DD6" s="475" t="s">
        <v>43</v>
      </c>
      <c r="DE6" s="475" t="s">
        <v>44</v>
      </c>
      <c r="DF6" s="475" t="s">
        <v>3</v>
      </c>
      <c r="DG6" s="475" t="s">
        <v>43</v>
      </c>
      <c r="DH6" s="475" t="s">
        <v>44</v>
      </c>
      <c r="DI6" s="475" t="s">
        <v>3</v>
      </c>
      <c r="DJ6" s="475" t="s">
        <v>43</v>
      </c>
      <c r="DK6" s="475" t="s">
        <v>44</v>
      </c>
      <c r="DL6" s="475" t="s">
        <v>3</v>
      </c>
      <c r="DM6" s="475" t="s">
        <v>43</v>
      </c>
      <c r="DN6" s="475" t="s">
        <v>44</v>
      </c>
      <c r="DO6" s="475" t="s">
        <v>3</v>
      </c>
      <c r="DP6" s="476" t="s">
        <v>43</v>
      </c>
      <c r="DQ6" s="476" t="s">
        <v>44</v>
      </c>
      <c r="DR6" s="476" t="s">
        <v>3</v>
      </c>
      <c r="DS6" s="475" t="s">
        <v>43</v>
      </c>
      <c r="DT6" s="475" t="s">
        <v>44</v>
      </c>
      <c r="DU6" s="475" t="s">
        <v>3</v>
      </c>
      <c r="DV6" s="475" t="s">
        <v>43</v>
      </c>
      <c r="DW6" s="475" t="s">
        <v>44</v>
      </c>
      <c r="DX6" s="475" t="s">
        <v>3</v>
      </c>
      <c r="DY6" s="475" t="s">
        <v>43</v>
      </c>
      <c r="DZ6" s="475" t="s">
        <v>44</v>
      </c>
      <c r="EA6" s="475" t="s">
        <v>3</v>
      </c>
      <c r="EB6" s="475" t="s">
        <v>43</v>
      </c>
      <c r="EC6" s="475" t="s">
        <v>44</v>
      </c>
      <c r="ED6" s="475" t="s">
        <v>3</v>
      </c>
      <c r="EE6" s="476" t="s">
        <v>43</v>
      </c>
      <c r="EF6" s="476" t="s">
        <v>44</v>
      </c>
      <c r="EG6" s="476" t="s">
        <v>3</v>
      </c>
      <c r="EH6" s="475" t="s">
        <v>43</v>
      </c>
      <c r="EI6" s="475" t="s">
        <v>44</v>
      </c>
      <c r="EJ6" s="475" t="s">
        <v>3</v>
      </c>
      <c r="EK6" s="475" t="s">
        <v>43</v>
      </c>
      <c r="EL6" s="475" t="s">
        <v>44</v>
      </c>
      <c r="EM6" s="475" t="s">
        <v>3</v>
      </c>
      <c r="EN6" s="475" t="s">
        <v>43</v>
      </c>
      <c r="EO6" s="475" t="s">
        <v>44</v>
      </c>
      <c r="EP6" s="475" t="s">
        <v>3</v>
      </c>
      <c r="EQ6" s="475" t="s">
        <v>43</v>
      </c>
      <c r="ER6" s="475" t="s">
        <v>44</v>
      </c>
      <c r="ES6" s="475" t="s">
        <v>3</v>
      </c>
      <c r="ET6" s="476" t="s">
        <v>43</v>
      </c>
      <c r="EU6" s="476" t="s">
        <v>44</v>
      </c>
      <c r="EV6" s="476" t="s">
        <v>3</v>
      </c>
      <c r="EW6" s="475" t="s">
        <v>43</v>
      </c>
      <c r="EX6" s="475" t="s">
        <v>44</v>
      </c>
      <c r="EY6" s="475" t="s">
        <v>3</v>
      </c>
      <c r="EZ6" s="475" t="s">
        <v>43</v>
      </c>
      <c r="FA6" s="475" t="s">
        <v>44</v>
      </c>
      <c r="FB6" s="475" t="s">
        <v>3</v>
      </c>
      <c r="FC6" s="475" t="s">
        <v>43</v>
      </c>
      <c r="FD6" s="475" t="s">
        <v>44</v>
      </c>
      <c r="FE6" s="475" t="s">
        <v>3</v>
      </c>
      <c r="FF6" s="475" t="s">
        <v>43</v>
      </c>
      <c r="FG6" s="475" t="s">
        <v>44</v>
      </c>
      <c r="FH6" s="475" t="s">
        <v>3</v>
      </c>
      <c r="FI6" s="476" t="s">
        <v>43</v>
      </c>
      <c r="FJ6" s="476" t="s">
        <v>44</v>
      </c>
      <c r="FK6" s="476" t="s">
        <v>3</v>
      </c>
      <c r="FL6" s="475" t="s">
        <v>43</v>
      </c>
      <c r="FM6" s="475" t="s">
        <v>44</v>
      </c>
      <c r="FN6" s="475" t="s">
        <v>3</v>
      </c>
      <c r="FO6" s="475" t="s">
        <v>43</v>
      </c>
      <c r="FP6" s="475" t="s">
        <v>44</v>
      </c>
      <c r="FQ6" s="475" t="s">
        <v>3</v>
      </c>
      <c r="FR6" s="475" t="s">
        <v>43</v>
      </c>
      <c r="FS6" s="475" t="s">
        <v>44</v>
      </c>
      <c r="FT6" s="475" t="s">
        <v>3</v>
      </c>
      <c r="FU6" s="475" t="s">
        <v>43</v>
      </c>
      <c r="FV6" s="475" t="s">
        <v>44</v>
      </c>
      <c r="FW6" s="475" t="s">
        <v>3</v>
      </c>
      <c r="FX6" s="476" t="s">
        <v>43</v>
      </c>
      <c r="FY6" s="476" t="s">
        <v>44</v>
      </c>
      <c r="FZ6" s="476" t="s">
        <v>3</v>
      </c>
      <c r="GA6" s="475" t="s">
        <v>43</v>
      </c>
      <c r="GB6" s="475" t="s">
        <v>44</v>
      </c>
      <c r="GC6" s="475" t="s">
        <v>3</v>
      </c>
      <c r="GD6" s="475" t="s">
        <v>43</v>
      </c>
      <c r="GE6" s="475" t="s">
        <v>44</v>
      </c>
      <c r="GF6" s="475" t="s">
        <v>3</v>
      </c>
      <c r="GG6" s="475" t="s">
        <v>43</v>
      </c>
      <c r="GH6" s="475" t="s">
        <v>44</v>
      </c>
      <c r="GI6" s="475" t="s">
        <v>3</v>
      </c>
      <c r="GJ6" s="475" t="s">
        <v>43</v>
      </c>
      <c r="GK6" s="475" t="s">
        <v>44</v>
      </c>
      <c r="GL6" s="475" t="s">
        <v>3</v>
      </c>
      <c r="GM6" s="475" t="s">
        <v>43</v>
      </c>
      <c r="GN6" s="475" t="s">
        <v>44</v>
      </c>
      <c r="GO6" s="475" t="s">
        <v>3</v>
      </c>
      <c r="GP6" s="475" t="s">
        <v>43</v>
      </c>
      <c r="GQ6" s="475" t="s">
        <v>44</v>
      </c>
      <c r="GR6" s="475" t="s">
        <v>3</v>
      </c>
      <c r="GS6" s="475" t="s">
        <v>43</v>
      </c>
      <c r="GT6" s="475" t="s">
        <v>44</v>
      </c>
      <c r="GU6" s="475" t="s">
        <v>3</v>
      </c>
      <c r="GV6" s="475" t="s">
        <v>43</v>
      </c>
      <c r="GW6" s="475" t="s">
        <v>44</v>
      </c>
      <c r="GX6" s="475" t="s">
        <v>3</v>
      </c>
      <c r="GY6" s="475" t="s">
        <v>43</v>
      </c>
      <c r="GZ6" s="475" t="s">
        <v>44</v>
      </c>
      <c r="HA6" s="475" t="s">
        <v>3</v>
      </c>
      <c r="HB6" s="475" t="s">
        <v>43</v>
      </c>
      <c r="HC6" s="475" t="s">
        <v>44</v>
      </c>
      <c r="HD6" s="475" t="s">
        <v>3</v>
      </c>
      <c r="HE6" s="475" t="s">
        <v>43</v>
      </c>
      <c r="HF6" s="475" t="s">
        <v>44</v>
      </c>
      <c r="HG6" s="475" t="s">
        <v>3</v>
      </c>
      <c r="HH6" s="475" t="s">
        <v>43</v>
      </c>
      <c r="HI6" s="475" t="s">
        <v>44</v>
      </c>
      <c r="HJ6" s="475" t="s">
        <v>3</v>
      </c>
    </row>
    <row r="7" spans="1:218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7">
        <v>3</v>
      </c>
      <c r="S7" s="77">
        <v>4</v>
      </c>
      <c r="T7" s="77">
        <v>5</v>
      </c>
      <c r="U7" s="77">
        <v>6</v>
      </c>
      <c r="V7" s="77">
        <v>7</v>
      </c>
      <c r="W7" s="77">
        <v>8</v>
      </c>
      <c r="X7" s="77">
        <v>9</v>
      </c>
      <c r="Y7" s="77">
        <v>10</v>
      </c>
      <c r="Z7" s="77">
        <v>11</v>
      </c>
      <c r="AA7" s="77">
        <v>12</v>
      </c>
      <c r="AB7" s="77">
        <v>13</v>
      </c>
      <c r="AC7" s="77">
        <v>14</v>
      </c>
      <c r="AD7" s="115">
        <v>15</v>
      </c>
      <c r="AE7" s="115">
        <v>16</v>
      </c>
      <c r="AF7" s="115">
        <v>17</v>
      </c>
      <c r="AG7" s="77">
        <v>3</v>
      </c>
      <c r="AH7" s="77">
        <v>4</v>
      </c>
      <c r="AI7" s="77">
        <v>5</v>
      </c>
      <c r="AJ7" s="77">
        <v>6</v>
      </c>
      <c r="AK7" s="77">
        <v>7</v>
      </c>
      <c r="AL7" s="77">
        <v>8</v>
      </c>
      <c r="AM7" s="77">
        <v>9</v>
      </c>
      <c r="AN7" s="77">
        <v>10</v>
      </c>
      <c r="AO7" s="77">
        <v>11</v>
      </c>
      <c r="AP7" s="77">
        <v>12</v>
      </c>
      <c r="AQ7" s="77">
        <v>13</v>
      </c>
      <c r="AR7" s="77">
        <v>14</v>
      </c>
      <c r="AS7" s="115">
        <v>15</v>
      </c>
      <c r="AT7" s="115">
        <v>16</v>
      </c>
      <c r="AU7" s="115">
        <v>17</v>
      </c>
      <c r="AV7" s="77">
        <v>3</v>
      </c>
      <c r="AW7" s="77">
        <v>4</v>
      </c>
      <c r="AX7" s="77">
        <v>5</v>
      </c>
      <c r="AY7" s="77">
        <v>6</v>
      </c>
      <c r="AZ7" s="77">
        <v>7</v>
      </c>
      <c r="BA7" s="77">
        <v>8</v>
      </c>
      <c r="BB7" s="77">
        <v>9</v>
      </c>
      <c r="BC7" s="77">
        <v>10</v>
      </c>
      <c r="BD7" s="77">
        <v>11</v>
      </c>
      <c r="BE7" s="77">
        <v>12</v>
      </c>
      <c r="BF7" s="77">
        <v>13</v>
      </c>
      <c r="BG7" s="77">
        <v>14</v>
      </c>
      <c r="BH7" s="115">
        <v>15</v>
      </c>
      <c r="BI7" s="115">
        <v>16</v>
      </c>
      <c r="BJ7" s="115">
        <v>17</v>
      </c>
      <c r="BK7" s="77">
        <v>3</v>
      </c>
      <c r="BL7" s="77">
        <v>4</v>
      </c>
      <c r="BM7" s="77">
        <v>5</v>
      </c>
      <c r="BN7" s="77">
        <v>6</v>
      </c>
      <c r="BO7" s="77">
        <v>7</v>
      </c>
      <c r="BP7" s="77">
        <v>8</v>
      </c>
      <c r="BQ7" s="77">
        <v>9</v>
      </c>
      <c r="BR7" s="77">
        <v>10</v>
      </c>
      <c r="BS7" s="77">
        <v>11</v>
      </c>
      <c r="BT7" s="77">
        <v>12</v>
      </c>
      <c r="BU7" s="77">
        <v>13</v>
      </c>
      <c r="BV7" s="77">
        <v>14</v>
      </c>
      <c r="BW7" s="115">
        <v>15</v>
      </c>
      <c r="BX7" s="115">
        <v>16</v>
      </c>
      <c r="BY7" s="115">
        <v>17</v>
      </c>
      <c r="BZ7" s="77">
        <v>3</v>
      </c>
      <c r="CA7" s="77">
        <v>4</v>
      </c>
      <c r="CB7" s="77">
        <v>5</v>
      </c>
      <c r="CC7" s="77">
        <v>6</v>
      </c>
      <c r="CD7" s="77">
        <v>7</v>
      </c>
      <c r="CE7" s="77">
        <v>8</v>
      </c>
      <c r="CF7" s="77">
        <v>9</v>
      </c>
      <c r="CG7" s="77">
        <v>10</v>
      </c>
      <c r="CH7" s="77">
        <v>11</v>
      </c>
      <c r="CI7" s="77">
        <v>12</v>
      </c>
      <c r="CJ7" s="77">
        <v>13</v>
      </c>
      <c r="CK7" s="77">
        <v>14</v>
      </c>
      <c r="CL7" s="115">
        <v>15</v>
      </c>
      <c r="CM7" s="115">
        <v>16</v>
      </c>
      <c r="CN7" s="115">
        <v>17</v>
      </c>
      <c r="CO7" s="77">
        <v>3</v>
      </c>
      <c r="CP7" s="77">
        <v>4</v>
      </c>
      <c r="CQ7" s="77">
        <v>5</v>
      </c>
      <c r="CR7" s="77">
        <v>6</v>
      </c>
      <c r="CS7" s="77">
        <v>7</v>
      </c>
      <c r="CT7" s="77">
        <v>8</v>
      </c>
      <c r="CU7" s="77">
        <v>9</v>
      </c>
      <c r="CV7" s="77">
        <v>10</v>
      </c>
      <c r="CW7" s="77">
        <v>11</v>
      </c>
      <c r="CX7" s="77">
        <v>12</v>
      </c>
      <c r="CY7" s="77">
        <v>13</v>
      </c>
      <c r="CZ7" s="77">
        <v>14</v>
      </c>
      <c r="DA7" s="115">
        <v>15</v>
      </c>
      <c r="DB7" s="115">
        <v>16</v>
      </c>
      <c r="DC7" s="115">
        <v>17</v>
      </c>
      <c r="DD7" s="77">
        <v>3</v>
      </c>
      <c r="DE7" s="77">
        <v>4</v>
      </c>
      <c r="DF7" s="77">
        <v>5</v>
      </c>
      <c r="DG7" s="77">
        <v>6</v>
      </c>
      <c r="DH7" s="77">
        <v>7</v>
      </c>
      <c r="DI7" s="77">
        <v>8</v>
      </c>
      <c r="DJ7" s="77">
        <v>9</v>
      </c>
      <c r="DK7" s="77">
        <v>10</v>
      </c>
      <c r="DL7" s="77">
        <v>11</v>
      </c>
      <c r="DM7" s="77">
        <v>12</v>
      </c>
      <c r="DN7" s="77">
        <v>13</v>
      </c>
      <c r="DO7" s="77">
        <v>14</v>
      </c>
      <c r="DP7" s="115">
        <v>15</v>
      </c>
      <c r="DQ7" s="115">
        <v>16</v>
      </c>
      <c r="DR7" s="115">
        <v>17</v>
      </c>
      <c r="DS7" s="77">
        <v>3</v>
      </c>
      <c r="DT7" s="77">
        <v>4</v>
      </c>
      <c r="DU7" s="77">
        <v>5</v>
      </c>
      <c r="DV7" s="77">
        <v>6</v>
      </c>
      <c r="DW7" s="77">
        <v>7</v>
      </c>
      <c r="DX7" s="77">
        <v>8</v>
      </c>
      <c r="DY7" s="77">
        <v>9</v>
      </c>
      <c r="DZ7" s="77">
        <v>10</v>
      </c>
      <c r="EA7" s="77">
        <v>11</v>
      </c>
      <c r="EB7" s="77">
        <v>12</v>
      </c>
      <c r="EC7" s="77">
        <v>13</v>
      </c>
      <c r="ED7" s="77">
        <v>14</v>
      </c>
      <c r="EE7" s="115">
        <v>15</v>
      </c>
      <c r="EF7" s="115">
        <v>16</v>
      </c>
      <c r="EG7" s="115">
        <v>17</v>
      </c>
      <c r="EH7" s="77">
        <v>3</v>
      </c>
      <c r="EI7" s="77">
        <v>4</v>
      </c>
      <c r="EJ7" s="77">
        <v>5</v>
      </c>
      <c r="EK7" s="77">
        <v>6</v>
      </c>
      <c r="EL7" s="77">
        <v>7</v>
      </c>
      <c r="EM7" s="77">
        <v>8</v>
      </c>
      <c r="EN7" s="77">
        <v>9</v>
      </c>
      <c r="EO7" s="77">
        <v>10</v>
      </c>
      <c r="EP7" s="77">
        <v>11</v>
      </c>
      <c r="EQ7" s="77">
        <v>12</v>
      </c>
      <c r="ER7" s="77">
        <v>13</v>
      </c>
      <c r="ES7" s="77">
        <v>14</v>
      </c>
      <c r="ET7" s="115">
        <v>15</v>
      </c>
      <c r="EU7" s="115">
        <v>16</v>
      </c>
      <c r="EV7" s="115">
        <v>17</v>
      </c>
      <c r="EW7" s="77">
        <v>3</v>
      </c>
      <c r="EX7" s="77">
        <v>4</v>
      </c>
      <c r="EY7" s="77">
        <v>5</v>
      </c>
      <c r="EZ7" s="77">
        <v>6</v>
      </c>
      <c r="FA7" s="77">
        <v>7</v>
      </c>
      <c r="FB7" s="77">
        <v>8</v>
      </c>
      <c r="FC7" s="77">
        <v>9</v>
      </c>
      <c r="FD7" s="77">
        <v>10</v>
      </c>
      <c r="FE7" s="77">
        <v>11</v>
      </c>
      <c r="FF7" s="77">
        <v>12</v>
      </c>
      <c r="FG7" s="77">
        <v>13</v>
      </c>
      <c r="FH7" s="77">
        <v>14</v>
      </c>
      <c r="FI7" s="115">
        <v>15</v>
      </c>
      <c r="FJ7" s="115">
        <v>16</v>
      </c>
      <c r="FK7" s="115">
        <v>17</v>
      </c>
      <c r="FL7" s="77">
        <v>3</v>
      </c>
      <c r="FM7" s="77">
        <v>4</v>
      </c>
      <c r="FN7" s="77">
        <v>5</v>
      </c>
      <c r="FO7" s="77">
        <v>6</v>
      </c>
      <c r="FP7" s="77">
        <v>7</v>
      </c>
      <c r="FQ7" s="77">
        <v>8</v>
      </c>
      <c r="FR7" s="77">
        <v>9</v>
      </c>
      <c r="FS7" s="77">
        <v>10</v>
      </c>
      <c r="FT7" s="77">
        <v>11</v>
      </c>
      <c r="FU7" s="77">
        <v>12</v>
      </c>
      <c r="FV7" s="77">
        <v>13</v>
      </c>
      <c r="FW7" s="77">
        <v>14</v>
      </c>
      <c r="FX7" s="115">
        <v>15</v>
      </c>
      <c r="FY7" s="115">
        <v>16</v>
      </c>
      <c r="FZ7" s="115">
        <v>17</v>
      </c>
      <c r="GA7" s="78">
        <v>3</v>
      </c>
      <c r="GB7" s="78">
        <v>4</v>
      </c>
      <c r="GC7" s="78">
        <v>5</v>
      </c>
      <c r="GD7" s="78">
        <v>6</v>
      </c>
      <c r="GE7" s="78">
        <v>7</v>
      </c>
      <c r="GF7" s="78">
        <v>8</v>
      </c>
      <c r="GG7" s="78">
        <v>12</v>
      </c>
      <c r="GH7" s="78">
        <v>13</v>
      </c>
      <c r="GI7" s="78">
        <v>14</v>
      </c>
      <c r="GJ7" s="78">
        <v>3</v>
      </c>
      <c r="GK7" s="78">
        <v>4</v>
      </c>
      <c r="GL7" s="78">
        <v>5</v>
      </c>
      <c r="GM7" s="78">
        <v>6</v>
      </c>
      <c r="GN7" s="78">
        <v>7</v>
      </c>
      <c r="GO7" s="78">
        <v>8</v>
      </c>
      <c r="GP7" s="78">
        <v>12</v>
      </c>
      <c r="GQ7" s="78">
        <v>13</v>
      </c>
      <c r="GR7" s="78">
        <v>14</v>
      </c>
      <c r="GS7" s="78">
        <v>3</v>
      </c>
      <c r="GT7" s="78">
        <v>4</v>
      </c>
      <c r="GU7" s="78">
        <v>5</v>
      </c>
      <c r="GV7" s="78">
        <v>6</v>
      </c>
      <c r="GW7" s="78">
        <v>7</v>
      </c>
      <c r="GX7" s="78">
        <v>8</v>
      </c>
      <c r="GY7" s="78">
        <v>12</v>
      </c>
      <c r="GZ7" s="78">
        <v>13</v>
      </c>
      <c r="HA7" s="78">
        <v>14</v>
      </c>
      <c r="HB7" s="78">
        <v>3</v>
      </c>
      <c r="HC7" s="78">
        <v>4</v>
      </c>
      <c r="HD7" s="78">
        <v>5</v>
      </c>
      <c r="HE7" s="78">
        <v>6</v>
      </c>
      <c r="HF7" s="78">
        <v>7</v>
      </c>
      <c r="HG7" s="78">
        <v>8</v>
      </c>
      <c r="HH7" s="78">
        <v>12</v>
      </c>
      <c r="HI7" s="78">
        <v>13</v>
      </c>
      <c r="HJ7" s="78">
        <v>14</v>
      </c>
    </row>
    <row r="8" spans="1:218">
      <c r="A8" s="556" t="s">
        <v>216</v>
      </c>
      <c r="B8" s="557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</row>
    <row r="9" spans="1:218" ht="28.5">
      <c r="A9" s="420">
        <v>1</v>
      </c>
      <c r="B9" s="118" t="s">
        <v>143</v>
      </c>
      <c r="C9" s="96">
        <v>941909</v>
      </c>
      <c r="D9" s="96">
        <v>652171</v>
      </c>
      <c r="E9" s="96">
        <v>1594080</v>
      </c>
      <c r="F9" s="99">
        <v>805063</v>
      </c>
      <c r="G9" s="96">
        <v>579341</v>
      </c>
      <c r="H9" s="96">
        <v>1384404</v>
      </c>
      <c r="I9" s="96">
        <v>39839</v>
      </c>
      <c r="J9" s="96">
        <v>23577</v>
      </c>
      <c r="K9" s="96">
        <v>63416</v>
      </c>
      <c r="L9" s="97">
        <v>844902</v>
      </c>
      <c r="M9" s="98">
        <v>602918</v>
      </c>
      <c r="N9" s="98">
        <v>1447820</v>
      </c>
      <c r="O9" s="116">
        <v>0.89701022073257608</v>
      </c>
      <c r="P9" s="116">
        <v>0.92447839600350212</v>
      </c>
      <c r="Q9" s="116">
        <v>0.90824801766536178</v>
      </c>
      <c r="R9" s="96">
        <v>4043</v>
      </c>
      <c r="S9" s="96">
        <v>2873</v>
      </c>
      <c r="T9" s="96">
        <v>6916</v>
      </c>
      <c r="U9" s="99">
        <v>537</v>
      </c>
      <c r="V9" s="96">
        <v>277</v>
      </c>
      <c r="W9" s="96">
        <v>814</v>
      </c>
      <c r="X9" s="96">
        <v>260</v>
      </c>
      <c r="Y9" s="96">
        <v>187</v>
      </c>
      <c r="Z9" s="96">
        <v>447</v>
      </c>
      <c r="AA9" s="97">
        <v>797</v>
      </c>
      <c r="AB9" s="98">
        <v>464</v>
      </c>
      <c r="AC9" s="98">
        <v>1261</v>
      </c>
      <c r="AD9" s="116">
        <v>0.19713084343309423</v>
      </c>
      <c r="AE9" s="116">
        <v>0.16150365471632441</v>
      </c>
      <c r="AF9" s="116">
        <v>0.18233082706766918</v>
      </c>
      <c r="AG9" s="98">
        <v>945952</v>
      </c>
      <c r="AH9" s="98">
        <v>655044</v>
      </c>
      <c r="AI9" s="98">
        <v>1600996</v>
      </c>
      <c r="AJ9" s="98">
        <v>805600</v>
      </c>
      <c r="AK9" s="98">
        <v>579618</v>
      </c>
      <c r="AL9" s="98">
        <v>1385218</v>
      </c>
      <c r="AM9" s="98">
        <v>40099</v>
      </c>
      <c r="AN9" s="98">
        <v>23764</v>
      </c>
      <c r="AO9" s="98">
        <v>63863</v>
      </c>
      <c r="AP9" s="98">
        <v>845699</v>
      </c>
      <c r="AQ9" s="98">
        <v>603382</v>
      </c>
      <c r="AR9" s="98">
        <v>1449081</v>
      </c>
      <c r="AS9" s="116">
        <v>0.89401893542167044</v>
      </c>
      <c r="AT9" s="116">
        <v>0.92113201555926016</v>
      </c>
      <c r="AU9" s="116">
        <v>0.90511219266006915</v>
      </c>
      <c r="AV9" s="96">
        <v>72102</v>
      </c>
      <c r="AW9" s="96">
        <v>52510</v>
      </c>
      <c r="AX9" s="96">
        <v>124612</v>
      </c>
      <c r="AY9" s="99">
        <v>58788</v>
      </c>
      <c r="AZ9" s="96">
        <v>43787</v>
      </c>
      <c r="BA9" s="96">
        <v>102575</v>
      </c>
      <c r="BB9" s="96">
        <v>3766</v>
      </c>
      <c r="BC9" s="96">
        <v>2758</v>
      </c>
      <c r="BD9" s="96">
        <v>6524</v>
      </c>
      <c r="BE9" s="97">
        <v>62554</v>
      </c>
      <c r="BF9" s="98">
        <v>46545</v>
      </c>
      <c r="BG9" s="98">
        <v>109099</v>
      </c>
      <c r="BH9" s="116">
        <v>0.86757648886299965</v>
      </c>
      <c r="BI9" s="116">
        <v>0.88640258998286037</v>
      </c>
      <c r="BJ9" s="116">
        <v>0.87550958174172633</v>
      </c>
      <c r="BK9" s="96">
        <v>336</v>
      </c>
      <c r="BL9" s="96">
        <v>236</v>
      </c>
      <c r="BM9" s="96">
        <v>572</v>
      </c>
      <c r="BN9" s="99">
        <v>33</v>
      </c>
      <c r="BO9" s="96">
        <v>20</v>
      </c>
      <c r="BP9" s="96">
        <v>53</v>
      </c>
      <c r="BQ9" s="96">
        <v>17</v>
      </c>
      <c r="BR9" s="96">
        <v>20</v>
      </c>
      <c r="BS9" s="96">
        <v>37</v>
      </c>
      <c r="BT9" s="97">
        <v>50</v>
      </c>
      <c r="BU9" s="98">
        <v>40</v>
      </c>
      <c r="BV9" s="98">
        <v>90</v>
      </c>
      <c r="BW9" s="116">
        <v>0.14880952380952381</v>
      </c>
      <c r="BX9" s="116">
        <v>0.16949152542372881</v>
      </c>
      <c r="BY9" s="116">
        <v>0.15734265734265734</v>
      </c>
      <c r="BZ9" s="98">
        <v>72438</v>
      </c>
      <c r="CA9" s="98">
        <v>52746</v>
      </c>
      <c r="CB9" s="98">
        <v>125184</v>
      </c>
      <c r="CC9" s="98">
        <v>58821</v>
      </c>
      <c r="CD9" s="98">
        <v>43807</v>
      </c>
      <c r="CE9" s="98">
        <v>102628</v>
      </c>
      <c r="CF9" s="98">
        <v>3783</v>
      </c>
      <c r="CG9" s="98">
        <v>2778</v>
      </c>
      <c r="CH9" s="98">
        <v>6561</v>
      </c>
      <c r="CI9" s="98">
        <v>62604</v>
      </c>
      <c r="CJ9" s="98">
        <v>46585</v>
      </c>
      <c r="CK9" s="98">
        <v>109189</v>
      </c>
      <c r="CL9" s="116">
        <v>0.86424252464176265</v>
      </c>
      <c r="CM9" s="116">
        <v>0.88319493421302087</v>
      </c>
      <c r="CN9" s="116">
        <v>0.87222808026584864</v>
      </c>
      <c r="CO9" s="96">
        <v>32148</v>
      </c>
      <c r="CP9" s="96">
        <v>26643</v>
      </c>
      <c r="CQ9" s="96">
        <v>58791</v>
      </c>
      <c r="CR9" s="99">
        <v>22426</v>
      </c>
      <c r="CS9" s="96">
        <v>18348</v>
      </c>
      <c r="CT9" s="96">
        <v>40774</v>
      </c>
      <c r="CU9" s="96">
        <v>1958</v>
      </c>
      <c r="CV9" s="96">
        <v>1751</v>
      </c>
      <c r="CW9" s="96">
        <v>3709</v>
      </c>
      <c r="CX9" s="97">
        <v>24384</v>
      </c>
      <c r="CY9" s="98">
        <v>20099</v>
      </c>
      <c r="CZ9" s="98">
        <v>44483</v>
      </c>
      <c r="DA9" s="116">
        <v>0.75849197461739459</v>
      </c>
      <c r="DB9" s="116">
        <v>0.75438201403745819</v>
      </c>
      <c r="DC9" s="116">
        <v>0.75662941606708511</v>
      </c>
      <c r="DD9" s="96">
        <v>384</v>
      </c>
      <c r="DE9" s="96">
        <v>350</v>
      </c>
      <c r="DF9" s="96">
        <v>734</v>
      </c>
      <c r="DG9" s="99">
        <v>13</v>
      </c>
      <c r="DH9" s="96">
        <v>6</v>
      </c>
      <c r="DI9" s="96">
        <v>19</v>
      </c>
      <c r="DJ9" s="96">
        <v>11</v>
      </c>
      <c r="DK9" s="96">
        <v>7</v>
      </c>
      <c r="DL9" s="96">
        <v>18</v>
      </c>
      <c r="DM9" s="97">
        <v>24</v>
      </c>
      <c r="DN9" s="98">
        <v>13</v>
      </c>
      <c r="DO9" s="98">
        <v>37</v>
      </c>
      <c r="DP9" s="116">
        <v>6.25E-2</v>
      </c>
      <c r="DQ9" s="116">
        <v>3.7142857142857144E-2</v>
      </c>
      <c r="DR9" s="116">
        <v>5.0408719346049048E-2</v>
      </c>
      <c r="DS9" s="98">
        <v>32532</v>
      </c>
      <c r="DT9" s="98">
        <v>26993</v>
      </c>
      <c r="DU9" s="98">
        <v>59525</v>
      </c>
      <c r="DV9" s="98">
        <v>22439</v>
      </c>
      <c r="DW9" s="98">
        <v>18354</v>
      </c>
      <c r="DX9" s="98">
        <v>40793</v>
      </c>
      <c r="DY9" s="98">
        <v>1969</v>
      </c>
      <c r="DZ9" s="98">
        <v>1758</v>
      </c>
      <c r="EA9" s="98">
        <v>3727</v>
      </c>
      <c r="EB9" s="98">
        <v>24408</v>
      </c>
      <c r="EC9" s="98">
        <v>20112</v>
      </c>
      <c r="ED9" s="98">
        <v>44520</v>
      </c>
      <c r="EE9" s="116">
        <v>0.75027665068240501</v>
      </c>
      <c r="EF9" s="116">
        <v>0.74508205831141405</v>
      </c>
      <c r="EG9" s="116">
        <v>0.74792104157916839</v>
      </c>
      <c r="EH9" s="96">
        <v>273762</v>
      </c>
      <c r="EI9" s="96">
        <v>166099</v>
      </c>
      <c r="EJ9" s="96">
        <v>439861</v>
      </c>
      <c r="EK9" s="99">
        <v>237840</v>
      </c>
      <c r="EL9" s="96">
        <v>152900</v>
      </c>
      <c r="EM9" s="96">
        <v>390740</v>
      </c>
      <c r="EN9" s="96">
        <v>11082</v>
      </c>
      <c r="EO9" s="96">
        <v>5216</v>
      </c>
      <c r="EP9" s="96">
        <v>16298</v>
      </c>
      <c r="EQ9" s="97">
        <v>248922</v>
      </c>
      <c r="ER9" s="98">
        <v>158116</v>
      </c>
      <c r="ES9" s="98">
        <v>407038</v>
      </c>
      <c r="ET9" s="116">
        <v>0.90926425143007428</v>
      </c>
      <c r="EU9" s="116">
        <v>0.95193830185612194</v>
      </c>
      <c r="EV9" s="116">
        <v>0.92537869917996818</v>
      </c>
      <c r="EW9" s="96">
        <v>231</v>
      </c>
      <c r="EX9" s="96">
        <v>132</v>
      </c>
      <c r="EY9" s="96">
        <v>363</v>
      </c>
      <c r="EZ9" s="99">
        <v>64</v>
      </c>
      <c r="FA9" s="96">
        <v>27</v>
      </c>
      <c r="FB9" s="96">
        <v>91</v>
      </c>
      <c r="FC9" s="96">
        <v>14</v>
      </c>
      <c r="FD9" s="96">
        <v>14</v>
      </c>
      <c r="FE9" s="96">
        <v>28</v>
      </c>
      <c r="FF9" s="97">
        <v>78</v>
      </c>
      <c r="FG9" s="98">
        <v>41</v>
      </c>
      <c r="FH9" s="98">
        <v>119</v>
      </c>
      <c r="FI9" s="116">
        <v>0.33766233766233766</v>
      </c>
      <c r="FJ9" s="116">
        <v>0.31060606060606061</v>
      </c>
      <c r="FK9" s="116">
        <v>0.32782369146005508</v>
      </c>
      <c r="FL9" s="98">
        <v>273993</v>
      </c>
      <c r="FM9" s="98">
        <v>166231</v>
      </c>
      <c r="FN9" s="98">
        <v>440224</v>
      </c>
      <c r="FO9" s="98">
        <v>237904</v>
      </c>
      <c r="FP9" s="98">
        <v>152927</v>
      </c>
      <c r="FQ9" s="98">
        <v>390831</v>
      </c>
      <c r="FR9" s="98">
        <v>11096</v>
      </c>
      <c r="FS9" s="98">
        <v>5230</v>
      </c>
      <c r="FT9" s="98">
        <v>16326</v>
      </c>
      <c r="FU9" s="98">
        <v>249000</v>
      </c>
      <c r="FV9" s="98">
        <v>158157</v>
      </c>
      <c r="FW9" s="98">
        <v>407157</v>
      </c>
      <c r="FX9" s="116">
        <v>0.90878234115470102</v>
      </c>
      <c r="FY9" s="116">
        <v>0.95142903549879387</v>
      </c>
      <c r="FZ9" s="116">
        <v>0.9248859671439994</v>
      </c>
      <c r="GA9" s="98">
        <v>845699</v>
      </c>
      <c r="GB9" s="98">
        <v>603382</v>
      </c>
      <c r="GC9" s="98">
        <v>1449081</v>
      </c>
      <c r="GD9" s="98">
        <v>516080</v>
      </c>
      <c r="GE9" s="98">
        <v>418369</v>
      </c>
      <c r="GF9" s="98">
        <v>934449</v>
      </c>
      <c r="GG9" s="100">
        <v>61.024075941913139</v>
      </c>
      <c r="GH9" s="100">
        <v>69.337335220473932</v>
      </c>
      <c r="GI9" s="100">
        <v>64.48562916772768</v>
      </c>
      <c r="GJ9" s="98">
        <v>62604</v>
      </c>
      <c r="GK9" s="98">
        <v>46585</v>
      </c>
      <c r="GL9" s="98">
        <v>109189</v>
      </c>
      <c r="GM9" s="98">
        <v>32852</v>
      </c>
      <c r="GN9" s="98">
        <v>26224</v>
      </c>
      <c r="GO9" s="98">
        <v>59076</v>
      </c>
      <c r="GP9" s="100">
        <v>52.475880135454602</v>
      </c>
      <c r="GQ9" s="100">
        <v>56.29279811097993</v>
      </c>
      <c r="GR9" s="100">
        <v>54.104351170905495</v>
      </c>
      <c r="GS9" s="98">
        <v>24408</v>
      </c>
      <c r="GT9" s="98">
        <v>20112</v>
      </c>
      <c r="GU9" s="98">
        <v>44520</v>
      </c>
      <c r="GV9" s="98">
        <v>11820</v>
      </c>
      <c r="GW9" s="98">
        <v>10239</v>
      </c>
      <c r="GX9" s="98">
        <v>22059</v>
      </c>
      <c r="GY9" s="100">
        <v>48.426745329400198</v>
      </c>
      <c r="GZ9" s="100">
        <v>50.909904534606206</v>
      </c>
      <c r="HA9" s="100">
        <v>49.548517520215633</v>
      </c>
      <c r="HB9" s="98">
        <v>249000</v>
      </c>
      <c r="HC9" s="98">
        <v>158157</v>
      </c>
      <c r="HD9" s="98">
        <v>407157</v>
      </c>
      <c r="HE9" s="98">
        <v>152157</v>
      </c>
      <c r="HF9" s="98">
        <v>113341</v>
      </c>
      <c r="HG9" s="98">
        <v>265498</v>
      </c>
      <c r="HH9" s="100">
        <v>61.107228915662652</v>
      </c>
      <c r="HI9" s="100">
        <v>71.663600093577898</v>
      </c>
      <c r="HJ9" s="100">
        <v>65.20776997570961</v>
      </c>
    </row>
    <row r="10" spans="1:218" ht="28.5">
      <c r="A10" s="420">
        <v>2</v>
      </c>
      <c r="B10" s="118" t="s">
        <v>215</v>
      </c>
      <c r="C10" s="96">
        <v>100122</v>
      </c>
      <c r="D10" s="96">
        <v>82915</v>
      </c>
      <c r="E10" s="96">
        <v>183037</v>
      </c>
      <c r="F10" s="96">
        <v>98390</v>
      </c>
      <c r="G10" s="96">
        <v>82091</v>
      </c>
      <c r="H10" s="96">
        <v>180481</v>
      </c>
      <c r="I10" s="104"/>
      <c r="J10" s="104"/>
      <c r="K10" s="104"/>
      <c r="L10" s="97">
        <v>98390</v>
      </c>
      <c r="M10" s="98">
        <v>82091</v>
      </c>
      <c r="N10" s="98">
        <v>180481</v>
      </c>
      <c r="O10" s="116">
        <v>0.98270110465232419</v>
      </c>
      <c r="P10" s="116">
        <v>0.99006211180124226</v>
      </c>
      <c r="Q10" s="116">
        <v>0.98603561028644482</v>
      </c>
      <c r="R10" s="96">
        <v>241</v>
      </c>
      <c r="S10" s="96">
        <v>109</v>
      </c>
      <c r="T10" s="96">
        <v>350</v>
      </c>
      <c r="U10" s="96">
        <v>133</v>
      </c>
      <c r="V10" s="96">
        <v>65</v>
      </c>
      <c r="W10" s="96">
        <v>198</v>
      </c>
      <c r="X10" s="104"/>
      <c r="Y10" s="104"/>
      <c r="Z10" s="104"/>
      <c r="AA10" s="97">
        <v>133</v>
      </c>
      <c r="AB10" s="98">
        <v>65</v>
      </c>
      <c r="AC10" s="98">
        <v>198</v>
      </c>
      <c r="AD10" s="116">
        <v>0.55186721991701249</v>
      </c>
      <c r="AE10" s="116">
        <v>0.59633027522935778</v>
      </c>
      <c r="AF10" s="116">
        <v>0.56571428571428573</v>
      </c>
      <c r="AG10" s="98">
        <v>100363</v>
      </c>
      <c r="AH10" s="98">
        <v>83024</v>
      </c>
      <c r="AI10" s="98">
        <v>183387</v>
      </c>
      <c r="AJ10" s="98">
        <v>98523</v>
      </c>
      <c r="AK10" s="98">
        <v>82156</v>
      </c>
      <c r="AL10" s="98">
        <v>180679</v>
      </c>
      <c r="AM10" s="103"/>
      <c r="AN10" s="103"/>
      <c r="AO10" s="103"/>
      <c r="AP10" s="98">
        <v>98523</v>
      </c>
      <c r="AQ10" s="98">
        <v>82156</v>
      </c>
      <c r="AR10" s="98">
        <v>180679</v>
      </c>
      <c r="AS10" s="116">
        <v>0.98166655042196826</v>
      </c>
      <c r="AT10" s="116">
        <v>0.98954519175178257</v>
      </c>
      <c r="AU10" s="116">
        <v>0.98523341349168703</v>
      </c>
      <c r="AV10" s="96">
        <v>4959</v>
      </c>
      <c r="AW10" s="96">
        <v>3909</v>
      </c>
      <c r="AX10" s="96">
        <v>8868</v>
      </c>
      <c r="AY10" s="96">
        <v>4811</v>
      </c>
      <c r="AZ10" s="96">
        <v>3846</v>
      </c>
      <c r="BA10" s="96">
        <v>8657</v>
      </c>
      <c r="BB10" s="104"/>
      <c r="BC10" s="104"/>
      <c r="BD10" s="104"/>
      <c r="BE10" s="97">
        <v>4811</v>
      </c>
      <c r="BF10" s="98">
        <v>3846</v>
      </c>
      <c r="BG10" s="98">
        <v>8657</v>
      </c>
      <c r="BH10" s="116">
        <v>0.97015527324057271</v>
      </c>
      <c r="BI10" s="116">
        <v>0.98388334612432848</v>
      </c>
      <c r="BJ10" s="116">
        <v>0.97620658547586825</v>
      </c>
      <c r="BK10" s="96">
        <v>12</v>
      </c>
      <c r="BL10" s="96">
        <v>7</v>
      </c>
      <c r="BM10" s="96">
        <v>19</v>
      </c>
      <c r="BN10" s="96">
        <v>6</v>
      </c>
      <c r="BO10" s="96">
        <v>5</v>
      </c>
      <c r="BP10" s="96">
        <v>11</v>
      </c>
      <c r="BQ10" s="104"/>
      <c r="BR10" s="104"/>
      <c r="BS10" s="104"/>
      <c r="BT10" s="97">
        <v>6</v>
      </c>
      <c r="BU10" s="98">
        <v>5</v>
      </c>
      <c r="BV10" s="98">
        <v>11</v>
      </c>
      <c r="BW10" s="116">
        <v>0.5</v>
      </c>
      <c r="BX10" s="116">
        <v>0.7142857142857143</v>
      </c>
      <c r="BY10" s="116">
        <v>0.57894736842105265</v>
      </c>
      <c r="BZ10" s="98">
        <v>4971</v>
      </c>
      <c r="CA10" s="98">
        <v>3916</v>
      </c>
      <c r="CB10" s="98">
        <v>8887</v>
      </c>
      <c r="CC10" s="98">
        <v>4817</v>
      </c>
      <c r="CD10" s="98">
        <v>3851</v>
      </c>
      <c r="CE10" s="98">
        <v>8668</v>
      </c>
      <c r="CF10" s="103"/>
      <c r="CG10" s="103"/>
      <c r="CH10" s="103"/>
      <c r="CI10" s="98">
        <v>4817</v>
      </c>
      <c r="CJ10" s="98">
        <v>3851</v>
      </c>
      <c r="CK10" s="98">
        <v>8668</v>
      </c>
      <c r="CL10" s="116">
        <v>0.9690203178434923</v>
      </c>
      <c r="CM10" s="116">
        <v>0.98340143003064351</v>
      </c>
      <c r="CN10" s="116">
        <v>0.97535726341847639</v>
      </c>
      <c r="CO10" s="96">
        <v>3034</v>
      </c>
      <c r="CP10" s="96">
        <v>2877</v>
      </c>
      <c r="CQ10" s="96">
        <v>5911</v>
      </c>
      <c r="CR10" s="96">
        <v>2946</v>
      </c>
      <c r="CS10" s="96">
        <v>2814</v>
      </c>
      <c r="CT10" s="96">
        <v>5760</v>
      </c>
      <c r="CU10" s="104"/>
      <c r="CV10" s="104"/>
      <c r="CW10" s="104"/>
      <c r="CX10" s="97">
        <v>2946</v>
      </c>
      <c r="CY10" s="98">
        <v>2814</v>
      </c>
      <c r="CZ10" s="98">
        <v>5760</v>
      </c>
      <c r="DA10" s="116">
        <v>0.97099538562953203</v>
      </c>
      <c r="DB10" s="116">
        <v>0.97810218978102192</v>
      </c>
      <c r="DC10" s="116">
        <v>0.97445440703772623</v>
      </c>
      <c r="DD10" s="96">
        <v>16</v>
      </c>
      <c r="DE10" s="96">
        <v>13</v>
      </c>
      <c r="DF10" s="96">
        <v>29</v>
      </c>
      <c r="DG10" s="96">
        <v>11</v>
      </c>
      <c r="DH10" s="96">
        <v>7</v>
      </c>
      <c r="DI10" s="96">
        <v>18</v>
      </c>
      <c r="DJ10" s="104"/>
      <c r="DK10" s="104"/>
      <c r="DL10" s="104"/>
      <c r="DM10" s="97">
        <v>11</v>
      </c>
      <c r="DN10" s="98">
        <v>7</v>
      </c>
      <c r="DO10" s="98">
        <v>18</v>
      </c>
      <c r="DP10" s="116">
        <v>0.6875</v>
      </c>
      <c r="DQ10" s="116">
        <v>0.53846153846153844</v>
      </c>
      <c r="DR10" s="116">
        <v>0.62068965517241381</v>
      </c>
      <c r="DS10" s="98">
        <v>3050</v>
      </c>
      <c r="DT10" s="98">
        <v>2890</v>
      </c>
      <c r="DU10" s="98">
        <v>5940</v>
      </c>
      <c r="DV10" s="98">
        <v>2957</v>
      </c>
      <c r="DW10" s="98">
        <v>2821</v>
      </c>
      <c r="DX10" s="98">
        <v>5778</v>
      </c>
      <c r="DY10" s="103"/>
      <c r="DZ10" s="103"/>
      <c r="EA10" s="103"/>
      <c r="EB10" s="98">
        <v>2957</v>
      </c>
      <c r="EC10" s="98">
        <v>2821</v>
      </c>
      <c r="ED10" s="98">
        <v>5778</v>
      </c>
      <c r="EE10" s="116">
        <v>0.9695081967213115</v>
      </c>
      <c r="EF10" s="116">
        <v>0.97612456747404841</v>
      </c>
      <c r="EG10" s="116">
        <v>0.97272727272727277</v>
      </c>
      <c r="EH10" s="96">
        <v>20105</v>
      </c>
      <c r="EI10" s="96">
        <v>15445</v>
      </c>
      <c r="EJ10" s="96">
        <v>35550</v>
      </c>
      <c r="EK10" s="96">
        <v>19767</v>
      </c>
      <c r="EL10" s="96">
        <v>15306</v>
      </c>
      <c r="EM10" s="96">
        <v>35073</v>
      </c>
      <c r="EN10" s="104"/>
      <c r="EO10" s="104"/>
      <c r="EP10" s="104"/>
      <c r="EQ10" s="97">
        <v>19767</v>
      </c>
      <c r="ER10" s="98">
        <v>15306</v>
      </c>
      <c r="ES10" s="98">
        <v>35073</v>
      </c>
      <c r="ET10" s="116">
        <v>0.98318826162646111</v>
      </c>
      <c r="EU10" s="116">
        <v>0.9910003237293622</v>
      </c>
      <c r="EV10" s="116">
        <v>0.98658227848101265</v>
      </c>
      <c r="EW10" s="96">
        <v>30</v>
      </c>
      <c r="EX10" s="96">
        <v>13</v>
      </c>
      <c r="EY10" s="96">
        <v>43</v>
      </c>
      <c r="EZ10" s="96">
        <v>12</v>
      </c>
      <c r="FA10" s="96">
        <v>10</v>
      </c>
      <c r="FB10" s="96">
        <v>22</v>
      </c>
      <c r="FC10" s="104"/>
      <c r="FD10" s="104"/>
      <c r="FE10" s="104"/>
      <c r="FF10" s="97">
        <v>12</v>
      </c>
      <c r="FG10" s="98">
        <v>10</v>
      </c>
      <c r="FH10" s="98">
        <v>22</v>
      </c>
      <c r="FI10" s="116">
        <v>0.4</v>
      </c>
      <c r="FJ10" s="116">
        <v>0.76923076923076927</v>
      </c>
      <c r="FK10" s="116">
        <v>0.51162790697674421</v>
      </c>
      <c r="FL10" s="98">
        <v>20135</v>
      </c>
      <c r="FM10" s="98">
        <v>15458</v>
      </c>
      <c r="FN10" s="98">
        <v>35593</v>
      </c>
      <c r="FO10" s="98">
        <v>19779</v>
      </c>
      <c r="FP10" s="98">
        <v>15316</v>
      </c>
      <c r="FQ10" s="98">
        <v>35095</v>
      </c>
      <c r="FR10" s="103"/>
      <c r="FS10" s="103"/>
      <c r="FT10" s="103"/>
      <c r="FU10" s="98">
        <v>19779</v>
      </c>
      <c r="FV10" s="98">
        <v>15316</v>
      </c>
      <c r="FW10" s="98">
        <v>35095</v>
      </c>
      <c r="FX10" s="116">
        <v>0.98231934442513036</v>
      </c>
      <c r="FY10" s="116">
        <v>0.99081381808772162</v>
      </c>
      <c r="FZ10" s="116">
        <v>0.98600848481442982</v>
      </c>
      <c r="GA10" s="98">
        <v>98523</v>
      </c>
      <c r="GB10" s="98">
        <v>82156</v>
      </c>
      <c r="GC10" s="98">
        <v>180679</v>
      </c>
      <c r="GD10" s="98">
        <v>87474</v>
      </c>
      <c r="GE10" s="98">
        <v>76294</v>
      </c>
      <c r="GF10" s="98">
        <v>163768</v>
      </c>
      <c r="GG10" s="100">
        <v>88.785359763709991</v>
      </c>
      <c r="GH10" s="100">
        <v>92.864793806903933</v>
      </c>
      <c r="GI10" s="100">
        <v>90.640306842521824</v>
      </c>
      <c r="GJ10" s="98">
        <v>4817</v>
      </c>
      <c r="GK10" s="98">
        <v>3851</v>
      </c>
      <c r="GL10" s="98">
        <v>8668</v>
      </c>
      <c r="GM10" s="98">
        <v>3991</v>
      </c>
      <c r="GN10" s="98">
        <v>3321</v>
      </c>
      <c r="GO10" s="98">
        <v>7312</v>
      </c>
      <c r="GP10" s="100">
        <v>82.852397757940622</v>
      </c>
      <c r="GQ10" s="100">
        <v>86.237340950402498</v>
      </c>
      <c r="GR10" s="100">
        <v>84.356252884171667</v>
      </c>
      <c r="GS10" s="98">
        <v>2957</v>
      </c>
      <c r="GT10" s="98">
        <v>2821</v>
      </c>
      <c r="GU10" s="98">
        <v>5778</v>
      </c>
      <c r="GV10" s="98">
        <v>2174</v>
      </c>
      <c r="GW10" s="98">
        <v>2296</v>
      </c>
      <c r="GX10" s="98">
        <v>4470</v>
      </c>
      <c r="GY10" s="100">
        <v>73.520459925600264</v>
      </c>
      <c r="GZ10" s="100">
        <v>81.389578163771716</v>
      </c>
      <c r="HA10" s="100">
        <v>77.362409138110067</v>
      </c>
      <c r="HB10" s="98">
        <v>19779</v>
      </c>
      <c r="HC10" s="98">
        <v>15316</v>
      </c>
      <c r="HD10" s="98">
        <v>35095</v>
      </c>
      <c r="HE10" s="98">
        <v>17225</v>
      </c>
      <c r="HF10" s="98">
        <v>14083</v>
      </c>
      <c r="HG10" s="98">
        <v>31308</v>
      </c>
      <c r="HH10" s="100">
        <v>87.087314828858894</v>
      </c>
      <c r="HI10" s="100">
        <v>91.949595194567777</v>
      </c>
      <c r="HJ10" s="100">
        <v>89.20928907251745</v>
      </c>
    </row>
    <row r="11" spans="1:218" ht="28.5">
      <c r="A11" s="420">
        <v>3</v>
      </c>
      <c r="B11" s="372" t="s">
        <v>133</v>
      </c>
      <c r="C11" s="96">
        <v>310054</v>
      </c>
      <c r="D11" s="96">
        <v>294473</v>
      </c>
      <c r="E11" s="96">
        <v>604527</v>
      </c>
      <c r="F11" s="96">
        <v>293167</v>
      </c>
      <c r="G11" s="96">
        <v>278783</v>
      </c>
      <c r="H11" s="96">
        <v>571950</v>
      </c>
      <c r="I11" s="104"/>
      <c r="J11" s="104"/>
      <c r="K11" s="104"/>
      <c r="L11" s="97">
        <v>293167</v>
      </c>
      <c r="M11" s="98">
        <v>278783</v>
      </c>
      <c r="N11" s="98">
        <v>571950</v>
      </c>
      <c r="O11" s="116">
        <v>0.94553529385203872</v>
      </c>
      <c r="P11" s="116">
        <v>0.94671837485949473</v>
      </c>
      <c r="Q11" s="116">
        <v>0.94611158806802675</v>
      </c>
      <c r="R11" s="96">
        <v>19283</v>
      </c>
      <c r="S11" s="96">
        <v>17598</v>
      </c>
      <c r="T11" s="96">
        <v>36881</v>
      </c>
      <c r="U11" s="96">
        <v>9679</v>
      </c>
      <c r="V11" s="96">
        <v>8745</v>
      </c>
      <c r="W11" s="96">
        <v>18424</v>
      </c>
      <c r="X11" s="104"/>
      <c r="Y11" s="104"/>
      <c r="Z11" s="104"/>
      <c r="AA11" s="97">
        <v>9679</v>
      </c>
      <c r="AB11" s="98">
        <v>8745</v>
      </c>
      <c r="AC11" s="98">
        <v>18424</v>
      </c>
      <c r="AD11" s="116">
        <v>0.50194471814551678</v>
      </c>
      <c r="AE11" s="116">
        <v>0.49693146948516875</v>
      </c>
      <c r="AF11" s="116">
        <v>0.49955261516770155</v>
      </c>
      <c r="AG11" s="98">
        <v>329337</v>
      </c>
      <c r="AH11" s="98">
        <v>312071</v>
      </c>
      <c r="AI11" s="98">
        <v>641408</v>
      </c>
      <c r="AJ11" s="98">
        <v>302846</v>
      </c>
      <c r="AK11" s="98">
        <v>287528</v>
      </c>
      <c r="AL11" s="98">
        <v>590374</v>
      </c>
      <c r="AM11" s="103"/>
      <c r="AN11" s="103"/>
      <c r="AO11" s="103"/>
      <c r="AP11" s="98">
        <v>302846</v>
      </c>
      <c r="AQ11" s="98">
        <v>287528</v>
      </c>
      <c r="AR11" s="98">
        <v>590374</v>
      </c>
      <c r="AS11" s="116">
        <v>0.91956263644837966</v>
      </c>
      <c r="AT11" s="116">
        <v>0.9213544353688744</v>
      </c>
      <c r="AU11" s="116">
        <v>0.92043441927758929</v>
      </c>
      <c r="AV11" s="96">
        <v>57571</v>
      </c>
      <c r="AW11" s="96">
        <v>57358</v>
      </c>
      <c r="AX11" s="96">
        <v>114929</v>
      </c>
      <c r="AY11" s="96">
        <v>52339</v>
      </c>
      <c r="AZ11" s="96">
        <v>52494</v>
      </c>
      <c r="BA11" s="96">
        <v>104833</v>
      </c>
      <c r="BB11" s="104"/>
      <c r="BC11" s="104"/>
      <c r="BD11" s="104"/>
      <c r="BE11" s="97">
        <v>52339</v>
      </c>
      <c r="BF11" s="98">
        <v>52494</v>
      </c>
      <c r="BG11" s="98">
        <v>104833</v>
      </c>
      <c r="BH11" s="116">
        <v>0.90912091157006136</v>
      </c>
      <c r="BI11" s="116">
        <v>0.91519927473063911</v>
      </c>
      <c r="BJ11" s="116">
        <v>0.91215446058001026</v>
      </c>
      <c r="BK11" s="96">
        <v>5909</v>
      </c>
      <c r="BL11" s="96">
        <v>5421</v>
      </c>
      <c r="BM11" s="96">
        <v>11330</v>
      </c>
      <c r="BN11" s="96">
        <v>2880</v>
      </c>
      <c r="BO11" s="96">
        <v>2636</v>
      </c>
      <c r="BP11" s="96">
        <v>5516</v>
      </c>
      <c r="BQ11" s="104"/>
      <c r="BR11" s="104"/>
      <c r="BS11" s="104"/>
      <c r="BT11" s="97">
        <v>2880</v>
      </c>
      <c r="BU11" s="98">
        <v>2636</v>
      </c>
      <c r="BV11" s="98">
        <v>5516</v>
      </c>
      <c r="BW11" s="116">
        <v>0.48739211372482655</v>
      </c>
      <c r="BX11" s="116">
        <v>0.48625714812765175</v>
      </c>
      <c r="BY11" s="116">
        <v>0.48684907325684024</v>
      </c>
      <c r="BZ11" s="98">
        <v>63480</v>
      </c>
      <c r="CA11" s="98">
        <v>62779</v>
      </c>
      <c r="CB11" s="98">
        <v>126259</v>
      </c>
      <c r="CC11" s="98">
        <v>55219</v>
      </c>
      <c r="CD11" s="98">
        <v>55130</v>
      </c>
      <c r="CE11" s="98">
        <v>110349</v>
      </c>
      <c r="CF11" s="103"/>
      <c r="CG11" s="103"/>
      <c r="CH11" s="103"/>
      <c r="CI11" s="98">
        <v>55219</v>
      </c>
      <c r="CJ11" s="98">
        <v>55130</v>
      </c>
      <c r="CK11" s="98">
        <v>110349</v>
      </c>
      <c r="CL11" s="116">
        <v>0.86986452425960936</v>
      </c>
      <c r="CM11" s="116">
        <v>0.87815989423214769</v>
      </c>
      <c r="CN11" s="116">
        <v>0.87398918096927747</v>
      </c>
      <c r="CO11" s="96">
        <v>14539</v>
      </c>
      <c r="CP11" s="96">
        <v>15012</v>
      </c>
      <c r="CQ11" s="96">
        <v>29551</v>
      </c>
      <c r="CR11" s="96">
        <v>13364</v>
      </c>
      <c r="CS11" s="96">
        <v>13677</v>
      </c>
      <c r="CT11" s="96">
        <v>27041</v>
      </c>
      <c r="CU11" s="403"/>
      <c r="CV11" s="403"/>
      <c r="CW11" s="403"/>
      <c r="CX11" s="97">
        <v>13364</v>
      </c>
      <c r="CY11" s="98">
        <v>13677</v>
      </c>
      <c r="CZ11" s="98">
        <v>27041</v>
      </c>
      <c r="DA11" s="116">
        <v>0.91918288740628651</v>
      </c>
      <c r="DB11" s="116">
        <v>0.91107114308553161</v>
      </c>
      <c r="DC11" s="116">
        <v>0.91506209603735911</v>
      </c>
      <c r="DD11" s="96">
        <v>1414</v>
      </c>
      <c r="DE11" s="96">
        <v>1487</v>
      </c>
      <c r="DF11" s="96">
        <v>2901</v>
      </c>
      <c r="DG11" s="96">
        <v>767</v>
      </c>
      <c r="DH11" s="96">
        <v>882</v>
      </c>
      <c r="DI11" s="96">
        <v>1649</v>
      </c>
      <c r="DJ11" s="403"/>
      <c r="DK11" s="403"/>
      <c r="DL11" s="403"/>
      <c r="DM11" s="97">
        <v>767</v>
      </c>
      <c r="DN11" s="98">
        <v>882</v>
      </c>
      <c r="DO11" s="98">
        <v>1649</v>
      </c>
      <c r="DP11" s="116">
        <v>0.54243281471004245</v>
      </c>
      <c r="DQ11" s="116">
        <v>0.59314055144586419</v>
      </c>
      <c r="DR11" s="116">
        <v>0.56842468114443301</v>
      </c>
      <c r="DS11" s="98">
        <v>15953</v>
      </c>
      <c r="DT11" s="98">
        <v>16499</v>
      </c>
      <c r="DU11" s="98">
        <v>32452</v>
      </c>
      <c r="DV11" s="98">
        <v>14131</v>
      </c>
      <c r="DW11" s="98">
        <v>14559</v>
      </c>
      <c r="DX11" s="98">
        <v>28690</v>
      </c>
      <c r="DY11" s="103"/>
      <c r="DZ11" s="103"/>
      <c r="EA11" s="103"/>
      <c r="EB11" s="98">
        <v>14131</v>
      </c>
      <c r="EC11" s="98">
        <v>14559</v>
      </c>
      <c r="ED11" s="98">
        <v>28690</v>
      </c>
      <c r="EE11" s="116">
        <v>0.88578950667586032</v>
      </c>
      <c r="EF11" s="116">
        <v>0.88241711618885998</v>
      </c>
      <c r="EG11" s="116">
        <v>0.88407494145199061</v>
      </c>
      <c r="EH11" s="96">
        <v>237944</v>
      </c>
      <c r="EI11" s="96">
        <v>222103</v>
      </c>
      <c r="EJ11" s="96">
        <v>460047</v>
      </c>
      <c r="EK11" s="96">
        <v>227464</v>
      </c>
      <c r="EL11" s="96">
        <v>212612</v>
      </c>
      <c r="EM11" s="96">
        <v>440076</v>
      </c>
      <c r="EN11" s="403"/>
      <c r="EO11" s="403"/>
      <c r="EP11" s="404"/>
      <c r="EQ11" s="97">
        <v>227464</v>
      </c>
      <c r="ER11" s="98">
        <v>212612</v>
      </c>
      <c r="ES11" s="98">
        <v>440076</v>
      </c>
      <c r="ET11" s="116">
        <v>0.95595602326597851</v>
      </c>
      <c r="EU11" s="116">
        <v>0.95726757405347973</v>
      </c>
      <c r="EV11" s="116">
        <v>0.95658921805815489</v>
      </c>
      <c r="EW11" s="96">
        <v>11960</v>
      </c>
      <c r="EX11" s="96">
        <v>10690</v>
      </c>
      <c r="EY11" s="96">
        <v>22650</v>
      </c>
      <c r="EZ11" s="96">
        <v>6032</v>
      </c>
      <c r="FA11" s="96">
        <v>5227</v>
      </c>
      <c r="FB11" s="96">
        <v>11259</v>
      </c>
      <c r="FC11" s="403"/>
      <c r="FD11" s="403"/>
      <c r="FE11" s="404"/>
      <c r="FF11" s="97">
        <v>6032</v>
      </c>
      <c r="FG11" s="98">
        <v>5227</v>
      </c>
      <c r="FH11" s="98">
        <v>11259</v>
      </c>
      <c r="FI11" s="116">
        <v>0.5043478260869565</v>
      </c>
      <c r="FJ11" s="116">
        <v>0.48896164639850326</v>
      </c>
      <c r="FK11" s="116">
        <v>0.4970860927152318</v>
      </c>
      <c r="FL11" s="98">
        <v>249904</v>
      </c>
      <c r="FM11" s="98">
        <v>232793</v>
      </c>
      <c r="FN11" s="98">
        <v>482697</v>
      </c>
      <c r="FO11" s="98">
        <v>233496</v>
      </c>
      <c r="FP11" s="98">
        <v>217839</v>
      </c>
      <c r="FQ11" s="98">
        <v>451335</v>
      </c>
      <c r="FR11" s="103"/>
      <c r="FS11" s="103"/>
      <c r="FT11" s="103"/>
      <c r="FU11" s="98">
        <v>233496</v>
      </c>
      <c r="FV11" s="98">
        <v>217839</v>
      </c>
      <c r="FW11" s="98">
        <v>451335</v>
      </c>
      <c r="FX11" s="116">
        <v>0.93434278763045009</v>
      </c>
      <c r="FY11" s="116">
        <v>0.93576267327625828</v>
      </c>
      <c r="FZ11" s="116">
        <v>0.9350275638754747</v>
      </c>
      <c r="GA11" s="98">
        <v>302846</v>
      </c>
      <c r="GB11" s="98">
        <v>287528</v>
      </c>
      <c r="GC11" s="98">
        <v>590374</v>
      </c>
      <c r="GD11" s="98">
        <v>287987</v>
      </c>
      <c r="GE11" s="98">
        <v>275551</v>
      </c>
      <c r="GF11" s="98">
        <v>563538</v>
      </c>
      <c r="GG11" s="379">
        <v>95.093545894613101</v>
      </c>
      <c r="GH11" s="379">
        <v>95.834492640716732</v>
      </c>
      <c r="GI11" s="379">
        <v>95.454406867511096</v>
      </c>
      <c r="GJ11" s="98">
        <v>55219</v>
      </c>
      <c r="GK11" s="98">
        <v>55130</v>
      </c>
      <c r="GL11" s="98">
        <v>110349</v>
      </c>
      <c r="GM11" s="380">
        <v>50734</v>
      </c>
      <c r="GN11" s="380">
        <v>51471</v>
      </c>
      <c r="GO11" s="380">
        <v>102205</v>
      </c>
      <c r="GP11" s="381">
        <v>91.877795686267405</v>
      </c>
      <c r="GQ11" s="381">
        <v>93.362960275711956</v>
      </c>
      <c r="GR11" s="381">
        <v>92.619779064604117</v>
      </c>
      <c r="GS11" s="98">
        <v>14131</v>
      </c>
      <c r="GT11" s="98">
        <v>14559</v>
      </c>
      <c r="GU11" s="98">
        <v>28690</v>
      </c>
      <c r="GV11" s="380">
        <v>12968</v>
      </c>
      <c r="GW11" s="380">
        <v>13376</v>
      </c>
      <c r="GX11" s="380">
        <v>26344</v>
      </c>
      <c r="GY11" s="381">
        <v>91.769867666831786</v>
      </c>
      <c r="GZ11" s="381">
        <v>91.874441925956447</v>
      </c>
      <c r="HA11" s="381">
        <v>91.82293482049495</v>
      </c>
      <c r="HB11" s="98">
        <v>233496</v>
      </c>
      <c r="HC11" s="98">
        <v>217839</v>
      </c>
      <c r="HD11" s="98">
        <v>451335</v>
      </c>
      <c r="HE11" s="380">
        <v>224285</v>
      </c>
      <c r="HF11" s="380">
        <v>210704</v>
      </c>
      <c r="HG11" s="380">
        <v>434989</v>
      </c>
      <c r="HH11" s="381">
        <v>96.055178675437702</v>
      </c>
      <c r="HI11" s="381">
        <v>96.724645265540147</v>
      </c>
      <c r="HJ11" s="381">
        <v>96.378299932422706</v>
      </c>
    </row>
    <row r="12" spans="1:218" s="427" customFormat="1" ht="28.5">
      <c r="A12" s="420">
        <v>4</v>
      </c>
      <c r="B12" s="118" t="s">
        <v>388</v>
      </c>
      <c r="C12" s="96">
        <v>253792</v>
      </c>
      <c r="D12" s="96">
        <v>247940</v>
      </c>
      <c r="E12" s="96">
        <v>501732</v>
      </c>
      <c r="F12" s="96">
        <v>209226</v>
      </c>
      <c r="G12" s="96">
        <v>211081</v>
      </c>
      <c r="H12" s="96">
        <v>420307</v>
      </c>
      <c r="I12" s="403"/>
      <c r="J12" s="403"/>
      <c r="K12" s="403"/>
      <c r="L12" s="97">
        <v>209226</v>
      </c>
      <c r="M12" s="98">
        <v>211081</v>
      </c>
      <c r="N12" s="98">
        <v>420307</v>
      </c>
      <c r="O12" s="116">
        <v>0.82439950825873154</v>
      </c>
      <c r="P12" s="116">
        <v>0.85133903363717023</v>
      </c>
      <c r="Q12" s="116">
        <v>0.83771216506023138</v>
      </c>
      <c r="R12" s="96">
        <v>20659</v>
      </c>
      <c r="S12" s="96">
        <v>12335</v>
      </c>
      <c r="T12" s="96">
        <v>32994</v>
      </c>
      <c r="U12" s="96">
        <v>6325</v>
      </c>
      <c r="V12" s="96">
        <v>4508</v>
      </c>
      <c r="W12" s="96">
        <v>10833</v>
      </c>
      <c r="X12" s="403"/>
      <c r="Y12" s="403"/>
      <c r="Z12" s="403"/>
      <c r="AA12" s="97">
        <v>6325</v>
      </c>
      <c r="AB12" s="98">
        <v>4508</v>
      </c>
      <c r="AC12" s="98">
        <v>10833</v>
      </c>
      <c r="AD12" s="116">
        <v>0.30616196330896944</v>
      </c>
      <c r="AE12" s="116">
        <v>0.36546412646939602</v>
      </c>
      <c r="AF12" s="116">
        <v>0.32833242407710495</v>
      </c>
      <c r="AG12" s="98">
        <v>274451</v>
      </c>
      <c r="AH12" s="98">
        <v>260275</v>
      </c>
      <c r="AI12" s="98">
        <v>534726</v>
      </c>
      <c r="AJ12" s="98">
        <v>215551</v>
      </c>
      <c r="AK12" s="98">
        <v>215589</v>
      </c>
      <c r="AL12" s="98">
        <v>431140</v>
      </c>
      <c r="AM12" s="98">
        <v>26505</v>
      </c>
      <c r="AN12" s="98">
        <v>22158</v>
      </c>
      <c r="AO12" s="98">
        <v>48663</v>
      </c>
      <c r="AP12" s="98">
        <v>242056</v>
      </c>
      <c r="AQ12" s="98">
        <v>237747</v>
      </c>
      <c r="AR12" s="98">
        <v>479803</v>
      </c>
      <c r="AS12" s="116">
        <v>0.88196435793638939</v>
      </c>
      <c r="AT12" s="116">
        <v>0.91344539429449623</v>
      </c>
      <c r="AU12" s="116">
        <v>0.89728758279941501</v>
      </c>
      <c r="AV12" s="96">
        <v>43715</v>
      </c>
      <c r="AW12" s="96">
        <v>44404</v>
      </c>
      <c r="AX12" s="96">
        <v>88119</v>
      </c>
      <c r="AY12" s="96">
        <v>34591</v>
      </c>
      <c r="AZ12" s="96">
        <v>36675</v>
      </c>
      <c r="BA12" s="96">
        <v>71266</v>
      </c>
      <c r="BB12" s="403"/>
      <c r="BC12" s="403"/>
      <c r="BD12" s="403"/>
      <c r="BE12" s="97">
        <v>34591</v>
      </c>
      <c r="BF12" s="98">
        <v>36675</v>
      </c>
      <c r="BG12" s="98">
        <v>71266</v>
      </c>
      <c r="BH12" s="116">
        <v>0.79128445613633769</v>
      </c>
      <c r="BI12" s="116">
        <v>0.8259391045851725</v>
      </c>
      <c r="BJ12" s="116">
        <v>0.80874726222494586</v>
      </c>
      <c r="BK12" s="96">
        <v>4442</v>
      </c>
      <c r="BL12" s="96">
        <v>2960</v>
      </c>
      <c r="BM12" s="96">
        <v>7402</v>
      </c>
      <c r="BN12" s="96">
        <v>1309</v>
      </c>
      <c r="BO12" s="96">
        <v>965</v>
      </c>
      <c r="BP12" s="96">
        <v>2274</v>
      </c>
      <c r="BQ12" s="403"/>
      <c r="BR12" s="403"/>
      <c r="BS12" s="403"/>
      <c r="BT12" s="97">
        <v>1309</v>
      </c>
      <c r="BU12" s="98">
        <v>965</v>
      </c>
      <c r="BV12" s="98">
        <v>2274</v>
      </c>
      <c r="BW12" s="116">
        <v>0.29468707789284104</v>
      </c>
      <c r="BX12" s="116">
        <v>0.32601351351351349</v>
      </c>
      <c r="BY12" s="116">
        <v>0.30721426641448257</v>
      </c>
      <c r="BZ12" s="98">
        <v>48157</v>
      </c>
      <c r="CA12" s="98">
        <v>47364</v>
      </c>
      <c r="CB12" s="98">
        <v>95521</v>
      </c>
      <c r="CC12" s="98">
        <v>35900</v>
      </c>
      <c r="CD12" s="98">
        <v>37640</v>
      </c>
      <c r="CE12" s="98">
        <v>73540</v>
      </c>
      <c r="CF12" s="98">
        <v>5648</v>
      </c>
      <c r="CG12" s="98">
        <v>4875</v>
      </c>
      <c r="CH12" s="98">
        <v>10523</v>
      </c>
      <c r="CI12" s="98">
        <v>41548</v>
      </c>
      <c r="CJ12" s="98">
        <v>42515</v>
      </c>
      <c r="CK12" s="98">
        <v>84063</v>
      </c>
      <c r="CL12" s="116">
        <v>0.86276138463774732</v>
      </c>
      <c r="CM12" s="116">
        <v>0.89762266700447602</v>
      </c>
      <c r="CN12" s="116">
        <v>0.88004731943761061</v>
      </c>
      <c r="CO12" s="96">
        <v>26129</v>
      </c>
      <c r="CP12" s="96">
        <v>24169</v>
      </c>
      <c r="CQ12" s="96">
        <v>50298</v>
      </c>
      <c r="CR12" s="96">
        <v>20151</v>
      </c>
      <c r="CS12" s="96">
        <v>18466</v>
      </c>
      <c r="CT12" s="96">
        <v>38617</v>
      </c>
      <c r="CU12" s="403"/>
      <c r="CV12" s="403"/>
      <c r="CW12" s="403"/>
      <c r="CX12" s="97">
        <v>20151</v>
      </c>
      <c r="CY12" s="98">
        <v>18466</v>
      </c>
      <c r="CZ12" s="98">
        <v>38617</v>
      </c>
      <c r="DA12" s="116">
        <v>0.77121206322476943</v>
      </c>
      <c r="DB12" s="116">
        <v>0.76403657577889028</v>
      </c>
      <c r="DC12" s="116">
        <v>0.76776412581017139</v>
      </c>
      <c r="DD12" s="96">
        <v>2212</v>
      </c>
      <c r="DE12" s="96">
        <v>1777</v>
      </c>
      <c r="DF12" s="96">
        <v>3989</v>
      </c>
      <c r="DG12" s="96">
        <v>597</v>
      </c>
      <c r="DH12" s="96">
        <v>534</v>
      </c>
      <c r="DI12" s="96">
        <v>1131</v>
      </c>
      <c r="DJ12" s="403"/>
      <c r="DK12" s="403"/>
      <c r="DL12" s="403"/>
      <c r="DM12" s="97">
        <v>597</v>
      </c>
      <c r="DN12" s="98">
        <v>534</v>
      </c>
      <c r="DO12" s="98">
        <v>1131</v>
      </c>
      <c r="DP12" s="116">
        <v>0.26989150090415914</v>
      </c>
      <c r="DQ12" s="116">
        <v>0.30050647158131683</v>
      </c>
      <c r="DR12" s="116">
        <v>0.28352970669340688</v>
      </c>
      <c r="DS12" s="98">
        <v>28341</v>
      </c>
      <c r="DT12" s="98">
        <v>25946</v>
      </c>
      <c r="DU12" s="98">
        <v>54287</v>
      </c>
      <c r="DV12" s="98">
        <v>20748</v>
      </c>
      <c r="DW12" s="98">
        <v>19000</v>
      </c>
      <c r="DX12" s="98">
        <v>39748</v>
      </c>
      <c r="DY12" s="98">
        <v>3032</v>
      </c>
      <c r="DZ12" s="98">
        <v>2932</v>
      </c>
      <c r="EA12" s="98">
        <v>5964</v>
      </c>
      <c r="EB12" s="98">
        <v>23780</v>
      </c>
      <c r="EC12" s="98">
        <v>21932</v>
      </c>
      <c r="ED12" s="98">
        <v>45712</v>
      </c>
      <c r="EE12" s="116">
        <v>0.83906707596767938</v>
      </c>
      <c r="EF12" s="116">
        <v>0.84529407230401599</v>
      </c>
      <c r="EG12" s="116">
        <v>0.84204321476596611</v>
      </c>
      <c r="EH12" s="96">
        <v>140614</v>
      </c>
      <c r="EI12" s="96">
        <v>136291</v>
      </c>
      <c r="EJ12" s="96">
        <v>276905</v>
      </c>
      <c r="EK12" s="96">
        <v>118760</v>
      </c>
      <c r="EL12" s="96">
        <v>118802</v>
      </c>
      <c r="EM12" s="96">
        <v>237562</v>
      </c>
      <c r="EN12" s="403"/>
      <c r="EO12" s="403"/>
      <c r="EP12" s="403"/>
      <c r="EQ12" s="97">
        <v>118760</v>
      </c>
      <c r="ER12" s="98">
        <v>118802</v>
      </c>
      <c r="ES12" s="98">
        <v>237562</v>
      </c>
      <c r="ET12" s="116">
        <v>0.84458162060676745</v>
      </c>
      <c r="EU12" s="116">
        <v>0.87167898100388141</v>
      </c>
      <c r="EV12" s="116">
        <v>0.85791878080930284</v>
      </c>
      <c r="EW12" s="96">
        <v>10088</v>
      </c>
      <c r="EX12" s="96">
        <v>5943</v>
      </c>
      <c r="EY12" s="96">
        <v>16031</v>
      </c>
      <c r="EZ12" s="96">
        <v>2840</v>
      </c>
      <c r="FA12" s="96">
        <v>1996</v>
      </c>
      <c r="FB12" s="96">
        <v>4836</v>
      </c>
      <c r="FC12" s="403"/>
      <c r="FD12" s="403"/>
      <c r="FE12" s="403"/>
      <c r="FF12" s="97">
        <v>2840</v>
      </c>
      <c r="FG12" s="98">
        <v>1996</v>
      </c>
      <c r="FH12" s="98">
        <v>4836</v>
      </c>
      <c r="FI12" s="116">
        <v>0.28152260111022998</v>
      </c>
      <c r="FJ12" s="116">
        <v>0.33585731112232881</v>
      </c>
      <c r="FK12" s="116">
        <v>0.30166552304909239</v>
      </c>
      <c r="FL12" s="98">
        <v>150702</v>
      </c>
      <c r="FM12" s="98">
        <v>142234</v>
      </c>
      <c r="FN12" s="98">
        <v>292936</v>
      </c>
      <c r="FO12" s="98">
        <v>121600</v>
      </c>
      <c r="FP12" s="98">
        <v>120798</v>
      </c>
      <c r="FQ12" s="98">
        <v>242398</v>
      </c>
      <c r="FR12" s="98">
        <v>13546</v>
      </c>
      <c r="FS12" s="98">
        <v>10884</v>
      </c>
      <c r="FT12" s="98">
        <v>24430</v>
      </c>
      <c r="FU12" s="98">
        <v>135146</v>
      </c>
      <c r="FV12" s="98">
        <v>131682</v>
      </c>
      <c r="FW12" s="98">
        <v>266828</v>
      </c>
      <c r="FX12" s="116">
        <v>0.89677641968918798</v>
      </c>
      <c r="FY12" s="116">
        <v>0.92581239366114998</v>
      </c>
      <c r="FZ12" s="116">
        <v>0.91087473031651967</v>
      </c>
      <c r="GA12" s="98">
        <v>242056</v>
      </c>
      <c r="GB12" s="98">
        <v>237747</v>
      </c>
      <c r="GC12" s="98">
        <v>479803</v>
      </c>
      <c r="GD12" s="404"/>
      <c r="GE12" s="404"/>
      <c r="GF12" s="404"/>
      <c r="GG12" s="407"/>
      <c r="GH12" s="407"/>
      <c r="GI12" s="407"/>
      <c r="GJ12" s="98">
        <v>41548</v>
      </c>
      <c r="GK12" s="98">
        <v>42515</v>
      </c>
      <c r="GL12" s="98">
        <v>84063</v>
      </c>
      <c r="GM12" s="404"/>
      <c r="GN12" s="404"/>
      <c r="GO12" s="404"/>
      <c r="GP12" s="407"/>
      <c r="GQ12" s="407"/>
      <c r="GR12" s="407"/>
      <c r="GS12" s="98">
        <v>23780</v>
      </c>
      <c r="GT12" s="98">
        <v>21932</v>
      </c>
      <c r="GU12" s="98">
        <v>45712</v>
      </c>
      <c r="GV12" s="404"/>
      <c r="GW12" s="404"/>
      <c r="GX12" s="404"/>
      <c r="GY12" s="407"/>
      <c r="GZ12" s="407"/>
      <c r="HA12" s="407"/>
      <c r="HB12" s="98">
        <v>135146</v>
      </c>
      <c r="HC12" s="98">
        <v>131682</v>
      </c>
      <c r="HD12" s="98">
        <v>266828</v>
      </c>
      <c r="HE12" s="404"/>
      <c r="HF12" s="404"/>
      <c r="HG12" s="404"/>
      <c r="HH12" s="407">
        <v>0</v>
      </c>
      <c r="HI12" s="407">
        <v>0</v>
      </c>
      <c r="HJ12" s="407">
        <v>0</v>
      </c>
    </row>
    <row r="13" spans="1:218" ht="28.5">
      <c r="A13" s="420">
        <v>5</v>
      </c>
      <c r="B13" s="118" t="s">
        <v>134</v>
      </c>
      <c r="C13" s="96">
        <v>172012</v>
      </c>
      <c r="D13" s="96">
        <v>181546</v>
      </c>
      <c r="E13" s="96">
        <v>353558</v>
      </c>
      <c r="F13" s="96">
        <v>99282</v>
      </c>
      <c r="G13" s="96">
        <v>94567</v>
      </c>
      <c r="H13" s="96">
        <v>193849</v>
      </c>
      <c r="I13" s="96">
        <v>9628</v>
      </c>
      <c r="J13" s="96">
        <v>11899</v>
      </c>
      <c r="K13" s="96">
        <v>21527</v>
      </c>
      <c r="L13" s="97">
        <v>108910</v>
      </c>
      <c r="M13" s="98">
        <v>106466</v>
      </c>
      <c r="N13" s="98">
        <v>215376</v>
      </c>
      <c r="O13" s="116">
        <v>0.63315350091854061</v>
      </c>
      <c r="P13" s="116">
        <v>0.58644090203033938</v>
      </c>
      <c r="Q13" s="116">
        <v>0.6091673784782129</v>
      </c>
      <c r="R13" s="403"/>
      <c r="S13" s="403"/>
      <c r="T13" s="403"/>
      <c r="U13" s="403"/>
      <c r="V13" s="403"/>
      <c r="W13" s="403"/>
      <c r="X13" s="403"/>
      <c r="Y13" s="403"/>
      <c r="Z13" s="403"/>
      <c r="AA13" s="404"/>
      <c r="AB13" s="404"/>
      <c r="AC13" s="404"/>
      <c r="AD13" s="405"/>
      <c r="AE13" s="405"/>
      <c r="AF13" s="405"/>
      <c r="AG13" s="98">
        <v>172012</v>
      </c>
      <c r="AH13" s="98">
        <v>181546</v>
      </c>
      <c r="AI13" s="98">
        <v>353558</v>
      </c>
      <c r="AJ13" s="98">
        <v>99282</v>
      </c>
      <c r="AK13" s="98">
        <v>94567</v>
      </c>
      <c r="AL13" s="98">
        <v>193849</v>
      </c>
      <c r="AM13" s="98">
        <v>9628</v>
      </c>
      <c r="AN13" s="98">
        <v>11899</v>
      </c>
      <c r="AO13" s="98">
        <v>21527</v>
      </c>
      <c r="AP13" s="98">
        <v>108910</v>
      </c>
      <c r="AQ13" s="98">
        <v>106466</v>
      </c>
      <c r="AR13" s="98">
        <v>215376</v>
      </c>
      <c r="AS13" s="116">
        <v>0.63315350091854061</v>
      </c>
      <c r="AT13" s="116">
        <v>0.58644090203033938</v>
      </c>
      <c r="AU13" s="116">
        <v>0.6091673784782129</v>
      </c>
      <c r="AV13" s="96">
        <v>16194</v>
      </c>
      <c r="AW13" s="96">
        <v>16599</v>
      </c>
      <c r="AX13" s="96">
        <v>32793</v>
      </c>
      <c r="AY13" s="96">
        <v>8384</v>
      </c>
      <c r="AZ13" s="96">
        <v>7381</v>
      </c>
      <c r="BA13" s="96">
        <v>15765</v>
      </c>
      <c r="BB13" s="96">
        <v>1007</v>
      </c>
      <c r="BC13" s="96">
        <v>1149</v>
      </c>
      <c r="BD13" s="96">
        <v>2156</v>
      </c>
      <c r="BE13" s="97">
        <v>9391</v>
      </c>
      <c r="BF13" s="98">
        <v>8530</v>
      </c>
      <c r="BG13" s="98">
        <v>17921</v>
      </c>
      <c r="BH13" s="116">
        <v>0.57990613807583058</v>
      </c>
      <c r="BI13" s="116">
        <v>0.51388637869751186</v>
      </c>
      <c r="BJ13" s="116">
        <v>0.54648857987985244</v>
      </c>
      <c r="BK13" s="403"/>
      <c r="BL13" s="403"/>
      <c r="BM13" s="403"/>
      <c r="BN13" s="403"/>
      <c r="BO13" s="403"/>
      <c r="BP13" s="403"/>
      <c r="BQ13" s="403"/>
      <c r="BR13" s="403"/>
      <c r="BS13" s="403"/>
      <c r="BT13" s="404"/>
      <c r="BU13" s="404"/>
      <c r="BV13" s="404"/>
      <c r="BW13" s="405"/>
      <c r="BX13" s="405"/>
      <c r="BY13" s="405"/>
      <c r="BZ13" s="98">
        <v>16194</v>
      </c>
      <c r="CA13" s="98">
        <v>16599</v>
      </c>
      <c r="CB13" s="98">
        <v>32793</v>
      </c>
      <c r="CC13" s="98">
        <v>8384</v>
      </c>
      <c r="CD13" s="98">
        <v>7381</v>
      </c>
      <c r="CE13" s="98">
        <v>15765</v>
      </c>
      <c r="CF13" s="98">
        <v>1007</v>
      </c>
      <c r="CG13" s="98">
        <v>1149</v>
      </c>
      <c r="CH13" s="98">
        <v>2156</v>
      </c>
      <c r="CI13" s="98">
        <v>9391</v>
      </c>
      <c r="CJ13" s="98">
        <v>8530</v>
      </c>
      <c r="CK13" s="98">
        <v>17921</v>
      </c>
      <c r="CL13" s="116">
        <v>0.57990613807583058</v>
      </c>
      <c r="CM13" s="116">
        <v>0.51388637869751186</v>
      </c>
      <c r="CN13" s="116">
        <v>0.54648857987985244</v>
      </c>
      <c r="CO13" s="96">
        <v>34375</v>
      </c>
      <c r="CP13" s="96">
        <v>35224</v>
      </c>
      <c r="CQ13" s="96">
        <v>69599</v>
      </c>
      <c r="CR13" s="96">
        <v>18747</v>
      </c>
      <c r="CS13" s="96">
        <v>17682</v>
      </c>
      <c r="CT13" s="96">
        <v>36429</v>
      </c>
      <c r="CU13" s="96">
        <v>2215</v>
      </c>
      <c r="CV13" s="96">
        <v>2579</v>
      </c>
      <c r="CW13" s="96">
        <v>4794</v>
      </c>
      <c r="CX13" s="97">
        <v>20962</v>
      </c>
      <c r="CY13" s="98">
        <v>20261</v>
      </c>
      <c r="CZ13" s="98">
        <v>41223</v>
      </c>
      <c r="DA13" s="116">
        <v>0.60980363636363633</v>
      </c>
      <c r="DB13" s="116">
        <v>0.57520440608675905</v>
      </c>
      <c r="DC13" s="116">
        <v>0.59229299271541258</v>
      </c>
      <c r="DD13" s="403"/>
      <c r="DE13" s="403"/>
      <c r="DF13" s="403"/>
      <c r="DG13" s="403"/>
      <c r="DH13" s="403"/>
      <c r="DI13" s="403"/>
      <c r="DJ13" s="403"/>
      <c r="DK13" s="403"/>
      <c r="DL13" s="403"/>
      <c r="DM13" s="404"/>
      <c r="DN13" s="404"/>
      <c r="DO13" s="404"/>
      <c r="DP13" s="405"/>
      <c r="DQ13" s="405"/>
      <c r="DR13" s="405"/>
      <c r="DS13" s="98">
        <v>34375</v>
      </c>
      <c r="DT13" s="98">
        <v>35224</v>
      </c>
      <c r="DU13" s="98">
        <v>69599</v>
      </c>
      <c r="DV13" s="98">
        <v>18747</v>
      </c>
      <c r="DW13" s="98">
        <v>17682</v>
      </c>
      <c r="DX13" s="98">
        <v>36429</v>
      </c>
      <c r="DY13" s="98">
        <v>2215</v>
      </c>
      <c r="DZ13" s="98">
        <v>2579</v>
      </c>
      <c r="EA13" s="98">
        <v>4794</v>
      </c>
      <c r="EB13" s="98">
        <v>20962</v>
      </c>
      <c r="EC13" s="98">
        <v>20261</v>
      </c>
      <c r="ED13" s="98">
        <v>41223</v>
      </c>
      <c r="EE13" s="116">
        <v>0.60980363636363633</v>
      </c>
      <c r="EF13" s="116">
        <v>0.57520440608675905</v>
      </c>
      <c r="EG13" s="116">
        <v>0.59229299271541258</v>
      </c>
      <c r="EH13" s="96">
        <v>42784</v>
      </c>
      <c r="EI13" s="96">
        <v>43586</v>
      </c>
      <c r="EJ13" s="96">
        <v>86370</v>
      </c>
      <c r="EK13" s="96">
        <v>25508</v>
      </c>
      <c r="EL13" s="96">
        <v>24326</v>
      </c>
      <c r="EM13" s="96">
        <v>49834</v>
      </c>
      <c r="EN13" s="96">
        <v>2522</v>
      </c>
      <c r="EO13" s="96">
        <v>2903</v>
      </c>
      <c r="EP13" s="96">
        <v>5425</v>
      </c>
      <c r="EQ13" s="97">
        <v>28030</v>
      </c>
      <c r="ER13" s="98">
        <v>27229</v>
      </c>
      <c r="ES13" s="98">
        <v>55259</v>
      </c>
      <c r="ET13" s="116">
        <v>0.65515145848915479</v>
      </c>
      <c r="EU13" s="116">
        <v>0.62471894645069515</v>
      </c>
      <c r="EV13" s="116">
        <v>0.6397939099224268</v>
      </c>
      <c r="EW13" s="403"/>
      <c r="EX13" s="403"/>
      <c r="EY13" s="403"/>
      <c r="EZ13" s="403"/>
      <c r="FA13" s="403"/>
      <c r="FB13" s="403"/>
      <c r="FC13" s="403"/>
      <c r="FD13" s="403"/>
      <c r="FE13" s="403"/>
      <c r="FF13" s="404"/>
      <c r="FG13" s="404"/>
      <c r="FH13" s="404"/>
      <c r="FI13" s="405"/>
      <c r="FJ13" s="405"/>
      <c r="FK13" s="405"/>
      <c r="FL13" s="98">
        <v>42784</v>
      </c>
      <c r="FM13" s="98">
        <v>43586</v>
      </c>
      <c r="FN13" s="98">
        <v>86370</v>
      </c>
      <c r="FO13" s="98">
        <v>25508</v>
      </c>
      <c r="FP13" s="98">
        <v>24326</v>
      </c>
      <c r="FQ13" s="98">
        <v>49834</v>
      </c>
      <c r="FR13" s="98">
        <v>2522</v>
      </c>
      <c r="FS13" s="98">
        <v>2903</v>
      </c>
      <c r="FT13" s="98">
        <v>5425</v>
      </c>
      <c r="FU13" s="98">
        <v>28030</v>
      </c>
      <c r="FV13" s="98">
        <v>27229</v>
      </c>
      <c r="FW13" s="98">
        <v>55259</v>
      </c>
      <c r="FX13" s="116">
        <v>0.65515145848915479</v>
      </c>
      <c r="FY13" s="116">
        <v>0.62471894645069515</v>
      </c>
      <c r="FZ13" s="116">
        <v>0.6397939099224268</v>
      </c>
      <c r="GA13" s="98">
        <v>108910</v>
      </c>
      <c r="GB13" s="98">
        <v>106466</v>
      </c>
      <c r="GC13" s="98">
        <v>215376</v>
      </c>
      <c r="GD13" s="98">
        <v>32442</v>
      </c>
      <c r="GE13" s="98">
        <v>29812</v>
      </c>
      <c r="GF13" s="98">
        <v>62254</v>
      </c>
      <c r="GG13" s="100">
        <v>29.787898264622164</v>
      </c>
      <c r="GH13" s="100">
        <v>28.001427685833974</v>
      </c>
      <c r="GI13" s="100">
        <v>28.90479904910482</v>
      </c>
      <c r="GJ13" s="98">
        <v>9391</v>
      </c>
      <c r="GK13" s="98">
        <v>8530</v>
      </c>
      <c r="GL13" s="98">
        <v>17921</v>
      </c>
      <c r="GM13" s="98">
        <v>2230</v>
      </c>
      <c r="GN13" s="98">
        <v>1862</v>
      </c>
      <c r="GO13" s="98">
        <v>4092</v>
      </c>
      <c r="GP13" s="100">
        <v>23.746139921201149</v>
      </c>
      <c r="GQ13" s="100">
        <v>21.828839390386872</v>
      </c>
      <c r="GR13" s="100">
        <v>22.833547235087327</v>
      </c>
      <c r="GS13" s="98">
        <v>20962</v>
      </c>
      <c r="GT13" s="98">
        <v>20261</v>
      </c>
      <c r="GU13" s="98">
        <v>41223</v>
      </c>
      <c r="GV13" s="98">
        <v>4395</v>
      </c>
      <c r="GW13" s="98">
        <v>3934</v>
      </c>
      <c r="GX13" s="98">
        <v>8329</v>
      </c>
      <c r="GY13" s="100">
        <v>20.966510829119358</v>
      </c>
      <c r="GZ13" s="100">
        <v>19.416613197769113</v>
      </c>
      <c r="HA13" s="100">
        <v>20.204740072289741</v>
      </c>
      <c r="HB13" s="98">
        <v>28030</v>
      </c>
      <c r="HC13" s="98">
        <v>27229</v>
      </c>
      <c r="HD13" s="98">
        <v>55259</v>
      </c>
      <c r="HE13" s="98">
        <v>9131</v>
      </c>
      <c r="HF13" s="98">
        <v>8749</v>
      </c>
      <c r="HG13" s="98">
        <v>17880</v>
      </c>
      <c r="HH13" s="100">
        <v>32.575811630396004</v>
      </c>
      <c r="HI13" s="100">
        <v>32.131183664475373</v>
      </c>
      <c r="HJ13" s="100">
        <v>32.35672017227963</v>
      </c>
    </row>
    <row r="14" spans="1:218">
      <c r="A14" s="420">
        <v>6</v>
      </c>
      <c r="B14" s="118" t="s">
        <v>136</v>
      </c>
      <c r="C14" s="96">
        <v>20</v>
      </c>
      <c r="D14" s="96">
        <v>295</v>
      </c>
      <c r="E14" s="96">
        <v>315</v>
      </c>
      <c r="F14" s="96">
        <v>20</v>
      </c>
      <c r="G14" s="96">
        <v>290</v>
      </c>
      <c r="H14" s="96">
        <v>310</v>
      </c>
      <c r="I14" s="104"/>
      <c r="J14" s="104"/>
      <c r="K14" s="104"/>
      <c r="L14" s="97">
        <v>20</v>
      </c>
      <c r="M14" s="98">
        <v>290</v>
      </c>
      <c r="N14" s="98">
        <v>310</v>
      </c>
      <c r="O14" s="116">
        <v>1</v>
      </c>
      <c r="P14" s="116">
        <v>0.98305084745762716</v>
      </c>
      <c r="Q14" s="116">
        <v>0.98412698412698407</v>
      </c>
      <c r="R14" s="403"/>
      <c r="S14" s="403"/>
      <c r="T14" s="403"/>
      <c r="U14" s="403"/>
      <c r="V14" s="403"/>
      <c r="W14" s="403"/>
      <c r="X14" s="403"/>
      <c r="Y14" s="403"/>
      <c r="Z14" s="403"/>
      <c r="AA14" s="404"/>
      <c r="AB14" s="404"/>
      <c r="AC14" s="404"/>
      <c r="AD14" s="405"/>
      <c r="AE14" s="405"/>
      <c r="AF14" s="405"/>
      <c r="AG14" s="98">
        <v>20</v>
      </c>
      <c r="AH14" s="98">
        <v>295</v>
      </c>
      <c r="AI14" s="98">
        <v>315</v>
      </c>
      <c r="AJ14" s="98">
        <v>20</v>
      </c>
      <c r="AK14" s="98">
        <v>290</v>
      </c>
      <c r="AL14" s="98">
        <v>310</v>
      </c>
      <c r="AM14" s="103"/>
      <c r="AN14" s="103"/>
      <c r="AO14" s="103"/>
      <c r="AP14" s="98">
        <v>20</v>
      </c>
      <c r="AQ14" s="98">
        <v>290</v>
      </c>
      <c r="AR14" s="98">
        <v>310</v>
      </c>
      <c r="AS14" s="116">
        <v>1</v>
      </c>
      <c r="AT14" s="116">
        <v>0.98305084745762716</v>
      </c>
      <c r="AU14" s="116">
        <v>0.98412698412698407</v>
      </c>
      <c r="AV14" s="96">
        <v>1</v>
      </c>
      <c r="AW14" s="96">
        <v>8</v>
      </c>
      <c r="AX14" s="96">
        <v>9</v>
      </c>
      <c r="AY14" s="96">
        <v>1</v>
      </c>
      <c r="AZ14" s="96">
        <v>8</v>
      </c>
      <c r="BA14" s="96">
        <v>9</v>
      </c>
      <c r="BB14" s="104"/>
      <c r="BC14" s="104"/>
      <c r="BD14" s="104"/>
      <c r="BE14" s="97">
        <v>1</v>
      </c>
      <c r="BF14" s="98">
        <v>8</v>
      </c>
      <c r="BG14" s="98">
        <v>9</v>
      </c>
      <c r="BH14" s="116">
        <v>1</v>
      </c>
      <c r="BI14" s="116">
        <v>1</v>
      </c>
      <c r="BJ14" s="116">
        <v>1</v>
      </c>
      <c r="BK14" s="403"/>
      <c r="BL14" s="403"/>
      <c r="BM14" s="403"/>
      <c r="BN14" s="403"/>
      <c r="BO14" s="403"/>
      <c r="BP14" s="403"/>
      <c r="BQ14" s="403"/>
      <c r="BR14" s="403"/>
      <c r="BS14" s="403"/>
      <c r="BT14" s="404"/>
      <c r="BU14" s="404"/>
      <c r="BV14" s="404"/>
      <c r="BW14" s="405"/>
      <c r="BX14" s="405"/>
      <c r="BY14" s="405"/>
      <c r="BZ14" s="98">
        <v>1</v>
      </c>
      <c r="CA14" s="98">
        <v>8</v>
      </c>
      <c r="CB14" s="98">
        <v>9</v>
      </c>
      <c r="CC14" s="98">
        <v>1</v>
      </c>
      <c r="CD14" s="98">
        <v>8</v>
      </c>
      <c r="CE14" s="98">
        <v>9</v>
      </c>
      <c r="CF14" s="103"/>
      <c r="CG14" s="103"/>
      <c r="CH14" s="103"/>
      <c r="CI14" s="98">
        <v>1</v>
      </c>
      <c r="CJ14" s="98">
        <v>8</v>
      </c>
      <c r="CK14" s="98">
        <v>9</v>
      </c>
      <c r="CL14" s="116">
        <v>1</v>
      </c>
      <c r="CM14" s="116">
        <v>1</v>
      </c>
      <c r="CN14" s="116">
        <v>1</v>
      </c>
      <c r="CO14" s="403"/>
      <c r="CP14" s="96">
        <v>8</v>
      </c>
      <c r="CQ14" s="96">
        <v>8</v>
      </c>
      <c r="CR14" s="403"/>
      <c r="CS14" s="96">
        <v>8</v>
      </c>
      <c r="CT14" s="96">
        <v>8</v>
      </c>
      <c r="CU14" s="104"/>
      <c r="CV14" s="104"/>
      <c r="CW14" s="104"/>
      <c r="CX14" s="404"/>
      <c r="CY14" s="98">
        <v>8</v>
      </c>
      <c r="CZ14" s="98">
        <v>8</v>
      </c>
      <c r="DA14" s="405"/>
      <c r="DB14" s="116">
        <v>1</v>
      </c>
      <c r="DC14" s="116">
        <v>1</v>
      </c>
      <c r="DD14" s="403"/>
      <c r="DE14" s="403"/>
      <c r="DF14" s="403"/>
      <c r="DG14" s="403"/>
      <c r="DH14" s="403"/>
      <c r="DI14" s="403"/>
      <c r="DJ14" s="403"/>
      <c r="DK14" s="403"/>
      <c r="DL14" s="403"/>
      <c r="DM14" s="404"/>
      <c r="DN14" s="404"/>
      <c r="DO14" s="404"/>
      <c r="DP14" s="405"/>
      <c r="DQ14" s="405"/>
      <c r="DR14" s="405"/>
      <c r="DS14" s="404"/>
      <c r="DT14" s="98">
        <v>8</v>
      </c>
      <c r="DU14" s="98">
        <v>8</v>
      </c>
      <c r="DV14" s="404"/>
      <c r="DW14" s="98">
        <v>8</v>
      </c>
      <c r="DX14" s="98">
        <v>8</v>
      </c>
      <c r="DY14" s="103"/>
      <c r="DZ14" s="103"/>
      <c r="EA14" s="404"/>
      <c r="EB14" s="404"/>
      <c r="EC14" s="98">
        <v>8</v>
      </c>
      <c r="ED14" s="98">
        <v>8</v>
      </c>
      <c r="EE14" s="116">
        <v>0</v>
      </c>
      <c r="EF14" s="116">
        <v>1</v>
      </c>
      <c r="EG14" s="116">
        <v>1</v>
      </c>
      <c r="EH14" s="96">
        <v>11</v>
      </c>
      <c r="EI14" s="96">
        <v>102</v>
      </c>
      <c r="EJ14" s="96">
        <v>113</v>
      </c>
      <c r="EK14" s="96">
        <v>11</v>
      </c>
      <c r="EL14" s="96">
        <v>102</v>
      </c>
      <c r="EM14" s="96">
        <v>113</v>
      </c>
      <c r="EN14" s="104"/>
      <c r="EO14" s="104"/>
      <c r="EP14" s="104"/>
      <c r="EQ14" s="98">
        <v>11</v>
      </c>
      <c r="ER14" s="98">
        <v>102</v>
      </c>
      <c r="ES14" s="98">
        <v>113</v>
      </c>
      <c r="ET14" s="116">
        <v>1</v>
      </c>
      <c r="EU14" s="116">
        <v>1</v>
      </c>
      <c r="EV14" s="116">
        <v>1</v>
      </c>
      <c r="EW14" s="403"/>
      <c r="EX14" s="403"/>
      <c r="EY14" s="403"/>
      <c r="EZ14" s="403"/>
      <c r="FA14" s="403"/>
      <c r="FB14" s="403"/>
      <c r="FC14" s="403"/>
      <c r="FD14" s="403"/>
      <c r="FE14" s="403"/>
      <c r="FF14" s="404"/>
      <c r="FG14" s="404"/>
      <c r="FH14" s="404"/>
      <c r="FI14" s="405"/>
      <c r="FJ14" s="405"/>
      <c r="FK14" s="405"/>
      <c r="FL14" s="98">
        <v>11</v>
      </c>
      <c r="FM14" s="98">
        <v>102</v>
      </c>
      <c r="FN14" s="98">
        <v>113</v>
      </c>
      <c r="FO14" s="98">
        <v>11</v>
      </c>
      <c r="FP14" s="98">
        <v>102</v>
      </c>
      <c r="FQ14" s="98">
        <v>113</v>
      </c>
      <c r="FR14" s="103"/>
      <c r="FS14" s="103"/>
      <c r="FT14" s="103"/>
      <c r="FU14" s="98">
        <v>11</v>
      </c>
      <c r="FV14" s="98">
        <v>102</v>
      </c>
      <c r="FW14" s="98">
        <v>113</v>
      </c>
      <c r="FX14" s="116">
        <v>0</v>
      </c>
      <c r="FY14" s="116">
        <v>1</v>
      </c>
      <c r="FZ14" s="116">
        <v>1</v>
      </c>
      <c r="GA14" s="98">
        <v>20</v>
      </c>
      <c r="GB14" s="98">
        <v>290</v>
      </c>
      <c r="GC14" s="98">
        <v>310</v>
      </c>
      <c r="GD14" s="101">
        <v>9</v>
      </c>
      <c r="GE14" s="101">
        <v>246</v>
      </c>
      <c r="GF14" s="98">
        <v>255</v>
      </c>
      <c r="GG14" s="100">
        <v>45</v>
      </c>
      <c r="GH14" s="100">
        <v>84.827586206896555</v>
      </c>
      <c r="GI14" s="100">
        <v>82.258064516129039</v>
      </c>
      <c r="GJ14" s="98">
        <v>1</v>
      </c>
      <c r="GK14" s="98">
        <v>8</v>
      </c>
      <c r="GL14" s="98">
        <v>9</v>
      </c>
      <c r="GM14" s="101">
        <v>1</v>
      </c>
      <c r="GN14" s="101">
        <v>5</v>
      </c>
      <c r="GO14" s="98">
        <v>6</v>
      </c>
      <c r="GP14" s="100">
        <v>100</v>
      </c>
      <c r="GQ14" s="100">
        <v>62.5</v>
      </c>
      <c r="GR14" s="100">
        <v>66.666666666666671</v>
      </c>
      <c r="GS14" s="404"/>
      <c r="GT14" s="98">
        <v>8</v>
      </c>
      <c r="GU14" s="98">
        <v>8</v>
      </c>
      <c r="GV14" s="406"/>
      <c r="GW14" s="101">
        <v>5</v>
      </c>
      <c r="GX14" s="98">
        <v>5</v>
      </c>
      <c r="GY14" s="100">
        <v>0</v>
      </c>
      <c r="GZ14" s="100">
        <v>62.5</v>
      </c>
      <c r="HA14" s="100">
        <v>62.5</v>
      </c>
      <c r="HB14" s="98">
        <v>11</v>
      </c>
      <c r="HC14" s="98">
        <v>102</v>
      </c>
      <c r="HD14" s="98">
        <v>113</v>
      </c>
      <c r="HE14" s="101">
        <v>5</v>
      </c>
      <c r="HF14" s="101">
        <v>88</v>
      </c>
      <c r="HG14" s="98">
        <v>93</v>
      </c>
      <c r="HH14" s="100">
        <v>45.454545454545453</v>
      </c>
      <c r="HI14" s="100">
        <v>86.274509803921575</v>
      </c>
      <c r="HJ14" s="100">
        <v>82.30088495575221</v>
      </c>
    </row>
    <row r="15" spans="1:218" ht="28.5">
      <c r="A15" s="420">
        <v>7</v>
      </c>
      <c r="B15" s="118" t="s">
        <v>376</v>
      </c>
      <c r="C15" s="96">
        <v>663793</v>
      </c>
      <c r="D15" s="96">
        <v>649336</v>
      </c>
      <c r="E15" s="96">
        <v>1313129</v>
      </c>
      <c r="F15" s="96">
        <v>511572</v>
      </c>
      <c r="G15" s="96">
        <v>419134</v>
      </c>
      <c r="H15" s="96">
        <v>930706</v>
      </c>
      <c r="I15" s="380">
        <v>23193</v>
      </c>
      <c r="J15" s="380">
        <v>34318</v>
      </c>
      <c r="K15" s="391">
        <v>57511</v>
      </c>
      <c r="L15" s="97">
        <v>534765</v>
      </c>
      <c r="M15" s="98">
        <v>453452</v>
      </c>
      <c r="N15" s="98">
        <v>988217</v>
      </c>
      <c r="O15" s="116">
        <v>0.80562012555118845</v>
      </c>
      <c r="P15" s="116">
        <v>0.69833183436618329</v>
      </c>
      <c r="Q15" s="116">
        <v>0.75256657952112849</v>
      </c>
      <c r="R15" s="96">
        <v>228490</v>
      </c>
      <c r="S15" s="96">
        <v>228206</v>
      </c>
      <c r="T15" s="96">
        <v>456696</v>
      </c>
      <c r="U15" s="96">
        <v>153747</v>
      </c>
      <c r="V15" s="96">
        <v>131141</v>
      </c>
      <c r="W15" s="96">
        <v>284888</v>
      </c>
      <c r="X15" s="392">
        <v>665</v>
      </c>
      <c r="Y15" s="392">
        <v>159</v>
      </c>
      <c r="Z15" s="393">
        <v>824</v>
      </c>
      <c r="AA15" s="97">
        <v>154412</v>
      </c>
      <c r="AB15" s="98">
        <v>131300</v>
      </c>
      <c r="AC15" s="98">
        <v>285712</v>
      </c>
      <c r="AD15" s="116">
        <v>0.67579325134579193</v>
      </c>
      <c r="AE15" s="116">
        <v>0.57535735256741716</v>
      </c>
      <c r="AF15" s="116">
        <v>0.62560653038344982</v>
      </c>
      <c r="AG15" s="98">
        <v>892283</v>
      </c>
      <c r="AH15" s="98">
        <v>877542</v>
      </c>
      <c r="AI15" s="98">
        <v>1769825</v>
      </c>
      <c r="AJ15" s="98">
        <v>665319</v>
      </c>
      <c r="AK15" s="98">
        <v>550275</v>
      </c>
      <c r="AL15" s="98">
        <v>1215594</v>
      </c>
      <c r="AM15" s="98">
        <v>23858</v>
      </c>
      <c r="AN15" s="98">
        <v>34477</v>
      </c>
      <c r="AO15" s="98">
        <v>58335</v>
      </c>
      <c r="AP15" s="98">
        <v>689177</v>
      </c>
      <c r="AQ15" s="98">
        <v>584752</v>
      </c>
      <c r="AR15" s="98">
        <v>1273929</v>
      </c>
      <c r="AS15" s="116">
        <v>0.77237490796081509</v>
      </c>
      <c r="AT15" s="116">
        <v>0.66635215180583951</v>
      </c>
      <c r="AU15" s="116">
        <v>0.71980506547257495</v>
      </c>
      <c r="AV15" s="96">
        <v>115400</v>
      </c>
      <c r="AW15" s="96">
        <v>101145</v>
      </c>
      <c r="AX15" s="96">
        <v>216545</v>
      </c>
      <c r="AY15" s="96">
        <v>82352</v>
      </c>
      <c r="AZ15" s="96">
        <v>53726</v>
      </c>
      <c r="BA15" s="96">
        <v>136078</v>
      </c>
      <c r="BB15" s="392">
        <v>4217</v>
      </c>
      <c r="BC15" s="392">
        <v>5365</v>
      </c>
      <c r="BD15" s="393">
        <v>9582</v>
      </c>
      <c r="BE15" s="97">
        <v>86569</v>
      </c>
      <c r="BF15" s="98">
        <v>59091</v>
      </c>
      <c r="BG15" s="98">
        <v>145660</v>
      </c>
      <c r="BH15" s="116">
        <v>0.7501646447140381</v>
      </c>
      <c r="BI15" s="116">
        <v>0.58422067329082006</v>
      </c>
      <c r="BJ15" s="116">
        <v>0.67265464453115975</v>
      </c>
      <c r="BK15" s="96">
        <v>49887</v>
      </c>
      <c r="BL15" s="96">
        <v>48974</v>
      </c>
      <c r="BM15" s="96">
        <v>98861</v>
      </c>
      <c r="BN15" s="96">
        <v>32627</v>
      </c>
      <c r="BO15" s="96">
        <v>23640</v>
      </c>
      <c r="BP15" s="96">
        <v>56267</v>
      </c>
      <c r="BQ15" s="392">
        <v>80</v>
      </c>
      <c r="BR15" s="392">
        <v>21</v>
      </c>
      <c r="BS15" s="393">
        <v>101</v>
      </c>
      <c r="BT15" s="97">
        <v>32707</v>
      </c>
      <c r="BU15" s="98">
        <v>23661</v>
      </c>
      <c r="BV15" s="98">
        <v>56368</v>
      </c>
      <c r="BW15" s="116">
        <v>0.65562170505342077</v>
      </c>
      <c r="BX15" s="116">
        <v>0.48313390778780579</v>
      </c>
      <c r="BY15" s="116">
        <v>0.570174285107373</v>
      </c>
      <c r="BZ15" s="98">
        <v>165287</v>
      </c>
      <c r="CA15" s="98">
        <v>150119</v>
      </c>
      <c r="CB15" s="98">
        <v>315406</v>
      </c>
      <c r="CC15" s="98">
        <v>114979</v>
      </c>
      <c r="CD15" s="98">
        <v>77366</v>
      </c>
      <c r="CE15" s="98">
        <v>192345</v>
      </c>
      <c r="CF15" s="98">
        <v>4297</v>
      </c>
      <c r="CG15" s="98">
        <v>5386</v>
      </c>
      <c r="CH15" s="98">
        <v>9683</v>
      </c>
      <c r="CI15" s="98">
        <v>119276</v>
      </c>
      <c r="CJ15" s="98">
        <v>82752</v>
      </c>
      <c r="CK15" s="98">
        <v>202028</v>
      </c>
      <c r="CL15" s="116">
        <v>0.72162965024472581</v>
      </c>
      <c r="CM15" s="116">
        <v>0.55124268080656014</v>
      </c>
      <c r="CN15" s="116">
        <v>0.64053315409345413</v>
      </c>
      <c r="CO15" s="96">
        <v>13983</v>
      </c>
      <c r="CP15" s="96">
        <v>13511</v>
      </c>
      <c r="CQ15" s="96">
        <v>27494</v>
      </c>
      <c r="CR15" s="96">
        <v>10207</v>
      </c>
      <c r="CS15" s="96">
        <v>8344</v>
      </c>
      <c r="CT15" s="96">
        <v>18551</v>
      </c>
      <c r="CU15" s="392">
        <v>332</v>
      </c>
      <c r="CV15" s="392">
        <v>519</v>
      </c>
      <c r="CW15" s="393">
        <v>851</v>
      </c>
      <c r="CX15" s="97">
        <v>10539</v>
      </c>
      <c r="CY15" s="98">
        <v>8863</v>
      </c>
      <c r="CZ15" s="98">
        <v>19402</v>
      </c>
      <c r="DA15" s="116">
        <v>0.75370092254880927</v>
      </c>
      <c r="DB15" s="116">
        <v>0.65598401302642295</v>
      </c>
      <c r="DC15" s="116">
        <v>0.70568123954317308</v>
      </c>
      <c r="DD15" s="96">
        <v>3667</v>
      </c>
      <c r="DE15" s="96">
        <v>3581</v>
      </c>
      <c r="DF15" s="96">
        <v>7248</v>
      </c>
      <c r="DG15" s="96">
        <v>2249</v>
      </c>
      <c r="DH15" s="96">
        <v>1646</v>
      </c>
      <c r="DI15" s="96">
        <v>3895</v>
      </c>
      <c r="DJ15" s="392">
        <v>6</v>
      </c>
      <c r="DK15" s="392">
        <v>3</v>
      </c>
      <c r="DL15" s="393">
        <v>9</v>
      </c>
      <c r="DM15" s="97">
        <v>2255</v>
      </c>
      <c r="DN15" s="98">
        <v>1649</v>
      </c>
      <c r="DO15" s="98">
        <v>3904</v>
      </c>
      <c r="DP15" s="116">
        <v>0.61494409599127353</v>
      </c>
      <c r="DQ15" s="116">
        <v>0.4604858977939123</v>
      </c>
      <c r="DR15" s="116">
        <v>0.53863134657836642</v>
      </c>
      <c r="DS15" s="98">
        <v>17650</v>
      </c>
      <c r="DT15" s="98">
        <v>17092</v>
      </c>
      <c r="DU15" s="98">
        <v>34742</v>
      </c>
      <c r="DV15" s="98">
        <v>12456</v>
      </c>
      <c r="DW15" s="98">
        <v>9990</v>
      </c>
      <c r="DX15" s="98">
        <v>22446</v>
      </c>
      <c r="DY15" s="98">
        <v>338</v>
      </c>
      <c r="DZ15" s="98">
        <v>522</v>
      </c>
      <c r="EA15" s="98">
        <v>860</v>
      </c>
      <c r="EB15" s="98">
        <v>12794</v>
      </c>
      <c r="EC15" s="98">
        <v>10512</v>
      </c>
      <c r="ED15" s="98">
        <v>23306</v>
      </c>
      <c r="EE15" s="116">
        <v>0.72487252124645896</v>
      </c>
      <c r="EF15" s="116">
        <v>0.61502457289960211</v>
      </c>
      <c r="EG15" s="116">
        <v>0.67083069483622126</v>
      </c>
      <c r="EH15" s="96">
        <v>445084</v>
      </c>
      <c r="EI15" s="96">
        <v>434668</v>
      </c>
      <c r="EJ15" s="96">
        <v>879752</v>
      </c>
      <c r="EK15" s="96">
        <v>349024</v>
      </c>
      <c r="EL15" s="96">
        <v>286760</v>
      </c>
      <c r="EM15" s="96">
        <v>635784</v>
      </c>
      <c r="EN15" s="392">
        <v>15365</v>
      </c>
      <c r="EO15" s="392">
        <v>23083</v>
      </c>
      <c r="EP15" s="393">
        <v>38448</v>
      </c>
      <c r="EQ15" s="97">
        <v>364389</v>
      </c>
      <c r="ER15" s="98">
        <v>309843</v>
      </c>
      <c r="ES15" s="98">
        <v>674232</v>
      </c>
      <c r="ET15" s="116">
        <v>0.81869714480862044</v>
      </c>
      <c r="EU15" s="116">
        <v>0.71282680114478181</v>
      </c>
      <c r="EV15" s="116">
        <v>0.76638870954541738</v>
      </c>
      <c r="EW15" s="96">
        <v>139814</v>
      </c>
      <c r="EX15" s="96">
        <v>144544</v>
      </c>
      <c r="EY15" s="96">
        <v>284358</v>
      </c>
      <c r="EZ15" s="96">
        <v>98443</v>
      </c>
      <c r="FA15" s="96">
        <v>83447</v>
      </c>
      <c r="FB15" s="96">
        <v>181890</v>
      </c>
      <c r="FC15" s="392">
        <v>494</v>
      </c>
      <c r="FD15" s="392">
        <v>107</v>
      </c>
      <c r="FE15" s="393">
        <v>601</v>
      </c>
      <c r="FF15" s="97">
        <v>98937</v>
      </c>
      <c r="FG15" s="98">
        <v>83554</v>
      </c>
      <c r="FH15" s="98">
        <v>182491</v>
      </c>
      <c r="FI15" s="116">
        <v>0.70763299812608182</v>
      </c>
      <c r="FJ15" s="116">
        <v>0.57805235775957498</v>
      </c>
      <c r="FK15" s="116">
        <v>0.64176495825684521</v>
      </c>
      <c r="FL15" s="98">
        <v>584898</v>
      </c>
      <c r="FM15" s="98">
        <v>579212</v>
      </c>
      <c r="FN15" s="98">
        <v>1164110</v>
      </c>
      <c r="FO15" s="98">
        <v>447467</v>
      </c>
      <c r="FP15" s="98">
        <v>370207</v>
      </c>
      <c r="FQ15" s="98">
        <v>817674</v>
      </c>
      <c r="FR15" s="98">
        <v>15859</v>
      </c>
      <c r="FS15" s="98">
        <v>23190</v>
      </c>
      <c r="FT15" s="98">
        <v>39049</v>
      </c>
      <c r="FU15" s="98">
        <v>463326</v>
      </c>
      <c r="FV15" s="98">
        <v>393397</v>
      </c>
      <c r="FW15" s="98">
        <v>856723</v>
      </c>
      <c r="FX15" s="116">
        <v>0.79214837458838983</v>
      </c>
      <c r="FY15" s="116">
        <v>0.67919345593668634</v>
      </c>
      <c r="FZ15" s="116">
        <v>0.73594677478932402</v>
      </c>
      <c r="GA15" s="98">
        <v>689177</v>
      </c>
      <c r="GB15" s="98">
        <v>584752</v>
      </c>
      <c r="GC15" s="98">
        <v>1273929</v>
      </c>
      <c r="GD15" s="101">
        <v>138986</v>
      </c>
      <c r="GE15" s="101">
        <v>87331</v>
      </c>
      <c r="GF15" s="98">
        <v>226317</v>
      </c>
      <c r="GG15" s="100">
        <v>20.166952756693853</v>
      </c>
      <c r="GH15" s="100">
        <v>14.93470736312146</v>
      </c>
      <c r="GI15" s="100">
        <v>17.765275772825643</v>
      </c>
      <c r="GJ15" s="98">
        <v>119276</v>
      </c>
      <c r="GK15" s="98">
        <v>82752</v>
      </c>
      <c r="GL15" s="98">
        <v>202028</v>
      </c>
      <c r="GM15" s="101">
        <v>15324</v>
      </c>
      <c r="GN15" s="101">
        <v>7254</v>
      </c>
      <c r="GO15" s="98">
        <v>22578</v>
      </c>
      <c r="GP15" s="100">
        <v>12.847513330426908</v>
      </c>
      <c r="GQ15" s="100">
        <v>8.7659512761020881</v>
      </c>
      <c r="GR15" s="100">
        <v>11.175678618805314</v>
      </c>
      <c r="GS15" s="98">
        <v>12794</v>
      </c>
      <c r="GT15" s="98">
        <v>10512</v>
      </c>
      <c r="GU15" s="98">
        <v>23306</v>
      </c>
      <c r="GV15" s="101">
        <v>2126</v>
      </c>
      <c r="GW15" s="101">
        <v>1342</v>
      </c>
      <c r="GX15" s="98">
        <v>3468</v>
      </c>
      <c r="GY15" s="100">
        <v>16.61716429576364</v>
      </c>
      <c r="GZ15" s="100">
        <v>12.766362252663622</v>
      </c>
      <c r="HA15" s="100">
        <v>14.880288337767098</v>
      </c>
      <c r="HB15" s="98">
        <v>463326</v>
      </c>
      <c r="HC15" s="98">
        <v>393397</v>
      </c>
      <c r="HD15" s="98">
        <v>856723</v>
      </c>
      <c r="HE15" s="101">
        <v>94126</v>
      </c>
      <c r="HF15" s="101">
        <v>53728</v>
      </c>
      <c r="HG15" s="98">
        <v>147854</v>
      </c>
      <c r="HH15" s="100">
        <v>20.315285565670823</v>
      </c>
      <c r="HI15" s="100">
        <v>13.657450361848209</v>
      </c>
      <c r="HJ15" s="100">
        <v>17.258086919576105</v>
      </c>
    </row>
    <row r="16" spans="1:218" s="397" customFormat="1" ht="28.5">
      <c r="A16" s="420">
        <v>8</v>
      </c>
      <c r="B16" s="396" t="s">
        <v>139</v>
      </c>
      <c r="C16" s="99">
        <v>18134</v>
      </c>
      <c r="D16" s="99">
        <v>38144</v>
      </c>
      <c r="E16" s="99">
        <v>56278</v>
      </c>
      <c r="F16" s="99">
        <v>15358</v>
      </c>
      <c r="G16" s="99">
        <v>30219</v>
      </c>
      <c r="H16" s="99">
        <v>45577</v>
      </c>
      <c r="I16" s="403"/>
      <c r="J16" s="403"/>
      <c r="K16" s="403"/>
      <c r="L16" s="97">
        <v>15358</v>
      </c>
      <c r="M16" s="98">
        <v>30219</v>
      </c>
      <c r="N16" s="98">
        <v>45577</v>
      </c>
      <c r="O16" s="116">
        <v>0.84691739274291389</v>
      </c>
      <c r="P16" s="116">
        <v>0.79223468959731547</v>
      </c>
      <c r="Q16" s="116">
        <v>0.80985465012971325</v>
      </c>
      <c r="R16" s="99">
        <v>1536</v>
      </c>
      <c r="S16" s="99">
        <v>1887</v>
      </c>
      <c r="T16" s="99">
        <v>3423</v>
      </c>
      <c r="U16" s="99">
        <v>1359</v>
      </c>
      <c r="V16" s="99">
        <v>1531</v>
      </c>
      <c r="W16" s="99">
        <v>2890</v>
      </c>
      <c r="X16" s="403"/>
      <c r="Y16" s="403"/>
      <c r="Z16" s="403"/>
      <c r="AA16" s="97">
        <v>1359</v>
      </c>
      <c r="AB16" s="98">
        <v>1531</v>
      </c>
      <c r="AC16" s="98">
        <v>2890</v>
      </c>
      <c r="AD16" s="116">
        <v>0.884765625</v>
      </c>
      <c r="AE16" s="116">
        <v>0.81134075251722315</v>
      </c>
      <c r="AF16" s="116">
        <v>0.8442886356996786</v>
      </c>
      <c r="AG16" s="98">
        <v>19670</v>
      </c>
      <c r="AH16" s="98">
        <v>40031</v>
      </c>
      <c r="AI16" s="98">
        <v>59701</v>
      </c>
      <c r="AJ16" s="98">
        <v>16717</v>
      </c>
      <c r="AK16" s="98">
        <v>31750</v>
      </c>
      <c r="AL16" s="98">
        <v>48467</v>
      </c>
      <c r="AM16" s="404"/>
      <c r="AN16" s="404"/>
      <c r="AO16" s="404"/>
      <c r="AP16" s="98">
        <v>16717</v>
      </c>
      <c r="AQ16" s="98">
        <v>31750</v>
      </c>
      <c r="AR16" s="98">
        <v>48467</v>
      </c>
      <c r="AS16" s="116">
        <v>0.84987290289781392</v>
      </c>
      <c r="AT16" s="116">
        <v>0.79313532012690169</v>
      </c>
      <c r="AU16" s="116">
        <v>0.81182894758881763</v>
      </c>
      <c r="AV16" s="99">
        <v>35</v>
      </c>
      <c r="AW16" s="99">
        <v>49</v>
      </c>
      <c r="AX16" s="99">
        <v>84</v>
      </c>
      <c r="AY16" s="99">
        <v>28</v>
      </c>
      <c r="AZ16" s="99">
        <v>34</v>
      </c>
      <c r="BA16" s="99">
        <v>62</v>
      </c>
      <c r="BB16" s="403"/>
      <c r="BC16" s="403"/>
      <c r="BD16" s="403"/>
      <c r="BE16" s="97">
        <v>28</v>
      </c>
      <c r="BF16" s="98">
        <v>34</v>
      </c>
      <c r="BG16" s="98">
        <v>62</v>
      </c>
      <c r="BH16" s="116">
        <v>0.8</v>
      </c>
      <c r="BI16" s="116">
        <v>0.69387755102040816</v>
      </c>
      <c r="BJ16" s="116">
        <v>0.73809523809523814</v>
      </c>
      <c r="BK16" s="99">
        <v>1</v>
      </c>
      <c r="BL16" s="99">
        <v>2</v>
      </c>
      <c r="BM16" s="99">
        <v>3</v>
      </c>
      <c r="BN16" s="403"/>
      <c r="BO16" s="99">
        <v>2</v>
      </c>
      <c r="BP16" s="99">
        <v>2</v>
      </c>
      <c r="BQ16" s="403"/>
      <c r="BR16" s="403"/>
      <c r="BS16" s="403"/>
      <c r="BT16" s="404"/>
      <c r="BU16" s="98">
        <v>2</v>
      </c>
      <c r="BV16" s="98">
        <v>2</v>
      </c>
      <c r="BW16" s="116">
        <v>0</v>
      </c>
      <c r="BX16" s="116">
        <v>1</v>
      </c>
      <c r="BY16" s="116">
        <v>0.66666666666666663</v>
      </c>
      <c r="BZ16" s="98">
        <v>36</v>
      </c>
      <c r="CA16" s="98">
        <v>51</v>
      </c>
      <c r="CB16" s="98">
        <v>87</v>
      </c>
      <c r="CC16" s="98">
        <v>28</v>
      </c>
      <c r="CD16" s="98">
        <v>36</v>
      </c>
      <c r="CE16" s="98">
        <v>64</v>
      </c>
      <c r="CF16" s="404"/>
      <c r="CG16" s="404"/>
      <c r="CH16" s="404"/>
      <c r="CI16" s="98">
        <v>28</v>
      </c>
      <c r="CJ16" s="98">
        <v>36</v>
      </c>
      <c r="CK16" s="98">
        <v>64</v>
      </c>
      <c r="CL16" s="116">
        <v>0.77777777777777779</v>
      </c>
      <c r="CM16" s="116">
        <v>0.70588235294117652</v>
      </c>
      <c r="CN16" s="116">
        <v>0.73563218390804597</v>
      </c>
      <c r="CO16" s="403"/>
      <c r="CP16" s="403"/>
      <c r="CQ16" s="403"/>
      <c r="CR16" s="403"/>
      <c r="CS16" s="403"/>
      <c r="CT16" s="403"/>
      <c r="CU16" s="403"/>
      <c r="CV16" s="403"/>
      <c r="CW16" s="403"/>
      <c r="CX16" s="404"/>
      <c r="CY16" s="404"/>
      <c r="CZ16" s="404"/>
      <c r="DA16" s="405"/>
      <c r="DB16" s="405"/>
      <c r="DC16" s="405"/>
      <c r="DD16" s="403"/>
      <c r="DE16" s="403"/>
      <c r="DF16" s="403"/>
      <c r="DG16" s="403"/>
      <c r="DH16" s="403"/>
      <c r="DI16" s="403"/>
      <c r="DJ16" s="403"/>
      <c r="DK16" s="403"/>
      <c r="DL16" s="403"/>
      <c r="DM16" s="404"/>
      <c r="DN16" s="404"/>
      <c r="DO16" s="404"/>
      <c r="DP16" s="405"/>
      <c r="DQ16" s="405"/>
      <c r="DR16" s="405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5"/>
      <c r="EF16" s="405"/>
      <c r="EG16" s="405"/>
      <c r="EH16" s="99">
        <v>10213</v>
      </c>
      <c r="EI16" s="99">
        <v>21706</v>
      </c>
      <c r="EJ16" s="99">
        <v>31919</v>
      </c>
      <c r="EK16" s="99">
        <v>8541</v>
      </c>
      <c r="EL16" s="99">
        <v>16875</v>
      </c>
      <c r="EM16" s="99">
        <v>25416</v>
      </c>
      <c r="EN16" s="403"/>
      <c r="EO16" s="403"/>
      <c r="EP16" s="403"/>
      <c r="EQ16" s="97">
        <v>8541</v>
      </c>
      <c r="ER16" s="98">
        <v>16875</v>
      </c>
      <c r="ES16" s="98">
        <v>25416</v>
      </c>
      <c r="ET16" s="116">
        <v>0.83628708508763339</v>
      </c>
      <c r="EU16" s="116">
        <v>0.77743481065143283</v>
      </c>
      <c r="EV16" s="116">
        <v>0.79626554716626463</v>
      </c>
      <c r="EW16" s="99">
        <v>790</v>
      </c>
      <c r="EX16" s="99">
        <v>950</v>
      </c>
      <c r="EY16" s="99">
        <v>1740</v>
      </c>
      <c r="EZ16" s="99">
        <v>695</v>
      </c>
      <c r="FA16" s="99">
        <v>759</v>
      </c>
      <c r="FB16" s="99">
        <v>1454</v>
      </c>
      <c r="FC16" s="403"/>
      <c r="FD16" s="403"/>
      <c r="FE16" s="403"/>
      <c r="FF16" s="97">
        <v>695</v>
      </c>
      <c r="FG16" s="98">
        <v>759</v>
      </c>
      <c r="FH16" s="98">
        <v>1454</v>
      </c>
      <c r="FI16" s="116">
        <v>0.879746835443038</v>
      </c>
      <c r="FJ16" s="116">
        <v>0.79894736842105263</v>
      </c>
      <c r="FK16" s="116">
        <v>0.83563218390804594</v>
      </c>
      <c r="FL16" s="98">
        <v>11003</v>
      </c>
      <c r="FM16" s="98">
        <v>22656</v>
      </c>
      <c r="FN16" s="98">
        <v>33659</v>
      </c>
      <c r="FO16" s="98">
        <v>9236</v>
      </c>
      <c r="FP16" s="98">
        <v>17634</v>
      </c>
      <c r="FQ16" s="98">
        <v>26870</v>
      </c>
      <c r="FR16" s="404"/>
      <c r="FS16" s="404"/>
      <c r="FT16" s="404"/>
      <c r="FU16" s="98">
        <v>9236</v>
      </c>
      <c r="FV16" s="98">
        <v>17634</v>
      </c>
      <c r="FW16" s="98">
        <v>26870</v>
      </c>
      <c r="FX16" s="116">
        <v>0.83940743433609011</v>
      </c>
      <c r="FY16" s="116">
        <v>0.77833686440677963</v>
      </c>
      <c r="FZ16" s="116">
        <v>0.7983006031076384</v>
      </c>
      <c r="GA16" s="98">
        <v>16717</v>
      </c>
      <c r="GB16" s="98">
        <v>31750</v>
      </c>
      <c r="GC16" s="98">
        <v>48467</v>
      </c>
      <c r="GD16" s="98">
        <v>467</v>
      </c>
      <c r="GE16" s="98">
        <v>726</v>
      </c>
      <c r="GF16" s="98">
        <v>1193</v>
      </c>
      <c r="GG16" s="100">
        <v>2.7935634384159838</v>
      </c>
      <c r="GH16" s="100">
        <v>2.2866141732283465</v>
      </c>
      <c r="GI16" s="100">
        <v>2.4614686281387335</v>
      </c>
      <c r="GJ16" s="98">
        <v>28</v>
      </c>
      <c r="GK16" s="98">
        <v>36</v>
      </c>
      <c r="GL16" s="98">
        <v>64</v>
      </c>
      <c r="GM16" s="380">
        <v>0</v>
      </c>
      <c r="GN16" s="380">
        <v>0</v>
      </c>
      <c r="GO16" s="392">
        <v>0</v>
      </c>
      <c r="GP16" s="100">
        <v>0</v>
      </c>
      <c r="GQ16" s="100">
        <v>0</v>
      </c>
      <c r="GR16" s="100">
        <v>0</v>
      </c>
      <c r="GS16" s="404"/>
      <c r="GT16" s="404"/>
      <c r="GU16" s="404"/>
      <c r="GV16" s="406"/>
      <c r="GW16" s="406"/>
      <c r="GX16" s="404"/>
      <c r="GY16" s="407"/>
      <c r="GZ16" s="407"/>
      <c r="HA16" s="407"/>
      <c r="HB16" s="98">
        <v>9236</v>
      </c>
      <c r="HC16" s="98">
        <v>17634</v>
      </c>
      <c r="HD16" s="98">
        <v>26870</v>
      </c>
      <c r="HE16" s="98">
        <v>247</v>
      </c>
      <c r="HF16" s="98">
        <v>408</v>
      </c>
      <c r="HG16" s="98">
        <v>655</v>
      </c>
      <c r="HH16" s="100">
        <v>2.6743178865309658</v>
      </c>
      <c r="HI16" s="100">
        <v>2.3137121469887716</v>
      </c>
      <c r="HJ16" s="100">
        <v>2.4376628209899516</v>
      </c>
    </row>
    <row r="17" spans="1:219" s="397" customFormat="1">
      <c r="A17" s="420">
        <v>9</v>
      </c>
      <c r="B17" s="396" t="s">
        <v>384</v>
      </c>
      <c r="C17" s="99">
        <v>6361</v>
      </c>
      <c r="D17" s="99">
        <v>6387</v>
      </c>
      <c r="E17" s="99">
        <v>12748</v>
      </c>
      <c r="F17" s="99">
        <v>4507</v>
      </c>
      <c r="G17" s="99">
        <v>4746</v>
      </c>
      <c r="H17" s="99">
        <v>9253</v>
      </c>
      <c r="I17" s="403"/>
      <c r="J17" s="403"/>
      <c r="K17" s="403"/>
      <c r="L17" s="97">
        <v>4507</v>
      </c>
      <c r="M17" s="98">
        <v>4746</v>
      </c>
      <c r="N17" s="98">
        <v>9253</v>
      </c>
      <c r="O17" s="116">
        <v>0.70853639364879739</v>
      </c>
      <c r="P17" s="116">
        <v>0.74307186472522313</v>
      </c>
      <c r="Q17" s="116">
        <v>0.72583934734860367</v>
      </c>
      <c r="R17" s="403"/>
      <c r="S17" s="403"/>
      <c r="T17" s="403"/>
      <c r="U17" s="403"/>
      <c r="V17" s="403"/>
      <c r="W17" s="403"/>
      <c r="X17" s="403"/>
      <c r="Y17" s="403"/>
      <c r="Z17" s="403"/>
      <c r="AA17" s="404"/>
      <c r="AB17" s="404"/>
      <c r="AC17" s="404"/>
      <c r="AD17" s="405"/>
      <c r="AE17" s="405"/>
      <c r="AF17" s="405"/>
      <c r="AG17" s="98">
        <v>6361</v>
      </c>
      <c r="AH17" s="98">
        <v>6387</v>
      </c>
      <c r="AI17" s="98">
        <v>12748</v>
      </c>
      <c r="AJ17" s="98">
        <v>4507</v>
      </c>
      <c r="AK17" s="98">
        <v>4746</v>
      </c>
      <c r="AL17" s="98">
        <v>9253</v>
      </c>
      <c r="AM17" s="404"/>
      <c r="AN17" s="404"/>
      <c r="AO17" s="404"/>
      <c r="AP17" s="98">
        <v>4507</v>
      </c>
      <c r="AQ17" s="98">
        <v>4746</v>
      </c>
      <c r="AR17" s="98">
        <v>9253</v>
      </c>
      <c r="AS17" s="116">
        <v>0.70853639364879739</v>
      </c>
      <c r="AT17" s="116">
        <v>0.74307186472522313</v>
      </c>
      <c r="AU17" s="116">
        <v>0.72583934734860367</v>
      </c>
      <c r="AV17" s="99">
        <v>1425</v>
      </c>
      <c r="AW17" s="99">
        <v>1510</v>
      </c>
      <c r="AX17" s="99">
        <v>2935</v>
      </c>
      <c r="AY17" s="403"/>
      <c r="AZ17" s="403"/>
      <c r="BA17" s="403"/>
      <c r="BB17" s="403"/>
      <c r="BC17" s="403"/>
      <c r="BD17" s="403"/>
      <c r="BE17" s="404"/>
      <c r="BF17" s="404"/>
      <c r="BG17" s="404"/>
      <c r="BH17" s="405"/>
      <c r="BI17" s="405"/>
      <c r="BJ17" s="405"/>
      <c r="BK17" s="403"/>
      <c r="BL17" s="403"/>
      <c r="BM17" s="403"/>
      <c r="BN17" s="403"/>
      <c r="BO17" s="403"/>
      <c r="BP17" s="403"/>
      <c r="BQ17" s="403"/>
      <c r="BR17" s="403"/>
      <c r="BS17" s="403"/>
      <c r="BT17" s="404"/>
      <c r="BU17" s="404"/>
      <c r="BV17" s="404"/>
      <c r="BW17" s="405"/>
      <c r="BX17" s="405"/>
      <c r="BY17" s="405"/>
      <c r="BZ17" s="98">
        <v>1425</v>
      </c>
      <c r="CA17" s="98">
        <v>1510</v>
      </c>
      <c r="CB17" s="98">
        <v>2935</v>
      </c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05"/>
      <c r="CN17" s="405"/>
      <c r="CO17" s="99">
        <v>260</v>
      </c>
      <c r="CP17" s="99">
        <v>264</v>
      </c>
      <c r="CQ17" s="99">
        <v>524</v>
      </c>
      <c r="CR17" s="403"/>
      <c r="CS17" s="403"/>
      <c r="CT17" s="403"/>
      <c r="CU17" s="403"/>
      <c r="CV17" s="403"/>
      <c r="CW17" s="403"/>
      <c r="CX17" s="404"/>
      <c r="CY17" s="404"/>
      <c r="CZ17" s="404"/>
      <c r="DA17" s="405"/>
      <c r="DB17" s="405"/>
      <c r="DC17" s="405"/>
      <c r="DD17" s="403"/>
      <c r="DE17" s="403"/>
      <c r="DF17" s="403"/>
      <c r="DG17" s="403"/>
      <c r="DH17" s="403"/>
      <c r="DI17" s="403"/>
      <c r="DJ17" s="403"/>
      <c r="DK17" s="403"/>
      <c r="DL17" s="403"/>
      <c r="DM17" s="404"/>
      <c r="DN17" s="404"/>
      <c r="DO17" s="404"/>
      <c r="DP17" s="405"/>
      <c r="DQ17" s="405"/>
      <c r="DR17" s="405"/>
      <c r="DS17" s="98">
        <v>260</v>
      </c>
      <c r="DT17" s="98">
        <v>264</v>
      </c>
      <c r="DU17" s="98">
        <v>524</v>
      </c>
      <c r="DV17" s="404"/>
      <c r="DW17" s="404"/>
      <c r="DX17" s="404"/>
      <c r="DY17" s="404"/>
      <c r="DZ17" s="404"/>
      <c r="EA17" s="404"/>
      <c r="EB17" s="404"/>
      <c r="EC17" s="404"/>
      <c r="ED17" s="404"/>
      <c r="EE17" s="405"/>
      <c r="EF17" s="405"/>
      <c r="EG17" s="405"/>
      <c r="EH17" s="403"/>
      <c r="EI17" s="403"/>
      <c r="EJ17" s="403"/>
      <c r="EK17" s="403"/>
      <c r="EL17" s="403"/>
      <c r="EM17" s="403"/>
      <c r="EN17" s="403"/>
      <c r="EO17" s="403"/>
      <c r="EP17" s="403"/>
      <c r="EQ17" s="404"/>
      <c r="ER17" s="404"/>
      <c r="ES17" s="404"/>
      <c r="ET17" s="405"/>
      <c r="EU17" s="405"/>
      <c r="EV17" s="405"/>
      <c r="EW17" s="403"/>
      <c r="EX17" s="403"/>
      <c r="EY17" s="403"/>
      <c r="EZ17" s="403"/>
      <c r="FA17" s="403"/>
      <c r="FB17" s="403"/>
      <c r="FC17" s="403"/>
      <c r="FD17" s="403"/>
      <c r="FE17" s="403"/>
      <c r="FF17" s="404"/>
      <c r="FG17" s="404"/>
      <c r="FH17" s="404"/>
      <c r="FI17" s="405"/>
      <c r="FJ17" s="405"/>
      <c r="FK17" s="405"/>
      <c r="FL17" s="98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5"/>
      <c r="FY17" s="405"/>
      <c r="FZ17" s="405"/>
      <c r="GA17" s="98">
        <v>4507</v>
      </c>
      <c r="GB17" s="98">
        <v>4746</v>
      </c>
      <c r="GC17" s="98">
        <v>9253</v>
      </c>
      <c r="GD17" s="98">
        <v>140</v>
      </c>
      <c r="GE17" s="98">
        <v>104</v>
      </c>
      <c r="GF17" s="98">
        <v>244</v>
      </c>
      <c r="GG17" s="100">
        <v>3.1062791213667627</v>
      </c>
      <c r="GH17" s="100">
        <v>2.1913190054782974</v>
      </c>
      <c r="GI17" s="100">
        <v>2.6369826002377605</v>
      </c>
      <c r="GJ17" s="404"/>
      <c r="GK17" s="404"/>
      <c r="GL17" s="404"/>
      <c r="GM17" s="406"/>
      <c r="GN17" s="406"/>
      <c r="GO17" s="404"/>
      <c r="GP17" s="407"/>
      <c r="GQ17" s="407"/>
      <c r="GR17" s="407"/>
      <c r="GS17" s="404"/>
      <c r="GT17" s="404"/>
      <c r="GU17" s="404"/>
      <c r="GV17" s="406"/>
      <c r="GW17" s="406"/>
      <c r="GX17" s="404"/>
      <c r="GY17" s="407"/>
      <c r="GZ17" s="407"/>
      <c r="HA17" s="407"/>
      <c r="HB17" s="404"/>
      <c r="HC17" s="404"/>
      <c r="HD17" s="404"/>
      <c r="HE17" s="404"/>
      <c r="HF17" s="404"/>
      <c r="HG17" s="404"/>
      <c r="HH17" s="407"/>
      <c r="HI17" s="407"/>
      <c r="HJ17" s="407"/>
    </row>
    <row r="18" spans="1:219" ht="28.5">
      <c r="A18" s="420">
        <v>10</v>
      </c>
      <c r="B18" s="118" t="s">
        <v>145</v>
      </c>
      <c r="C18" s="393">
        <v>176121</v>
      </c>
      <c r="D18" s="393">
        <v>204735</v>
      </c>
      <c r="E18" s="393">
        <v>380856</v>
      </c>
      <c r="F18" s="393">
        <v>117185</v>
      </c>
      <c r="G18" s="96">
        <v>142385</v>
      </c>
      <c r="H18" s="96">
        <v>259570</v>
      </c>
      <c r="I18" s="96">
        <v>3903</v>
      </c>
      <c r="J18" s="96">
        <v>5024</v>
      </c>
      <c r="K18" s="96">
        <v>8927</v>
      </c>
      <c r="L18" s="97">
        <v>121088</v>
      </c>
      <c r="M18" s="98">
        <v>147409</v>
      </c>
      <c r="N18" s="98">
        <v>268497</v>
      </c>
      <c r="O18" s="116">
        <v>0.68752732496408719</v>
      </c>
      <c r="P18" s="116">
        <v>0.71999902312745745</v>
      </c>
      <c r="Q18" s="116">
        <v>0.70498298569538098</v>
      </c>
      <c r="R18" s="96">
        <v>4194</v>
      </c>
      <c r="S18" s="96">
        <v>3380</v>
      </c>
      <c r="T18" s="96">
        <v>7574</v>
      </c>
      <c r="U18" s="96">
        <v>994</v>
      </c>
      <c r="V18" s="96">
        <v>865</v>
      </c>
      <c r="W18" s="96">
        <v>1859</v>
      </c>
      <c r="X18" s="96">
        <v>1848</v>
      </c>
      <c r="Y18" s="96">
        <v>1746</v>
      </c>
      <c r="Z18" s="96">
        <v>3594</v>
      </c>
      <c r="AA18" s="97">
        <v>2842</v>
      </c>
      <c r="AB18" s="98">
        <v>2611</v>
      </c>
      <c r="AC18" s="98">
        <v>5453</v>
      </c>
      <c r="AD18" s="116">
        <v>0.67763471626132565</v>
      </c>
      <c r="AE18" s="116">
        <v>0.77248520710059176</v>
      </c>
      <c r="AF18" s="116">
        <v>0.71996303142329021</v>
      </c>
      <c r="AG18" s="98">
        <v>180315</v>
      </c>
      <c r="AH18" s="98">
        <v>208115</v>
      </c>
      <c r="AI18" s="98">
        <v>388430</v>
      </c>
      <c r="AJ18" s="98">
        <v>118179</v>
      </c>
      <c r="AK18" s="98">
        <v>143250</v>
      </c>
      <c r="AL18" s="98">
        <v>261429</v>
      </c>
      <c r="AM18" s="98">
        <v>5751</v>
      </c>
      <c r="AN18" s="98">
        <v>6770</v>
      </c>
      <c r="AO18" s="98">
        <v>12521</v>
      </c>
      <c r="AP18" s="98">
        <v>123930</v>
      </c>
      <c r="AQ18" s="98">
        <v>150020</v>
      </c>
      <c r="AR18" s="98">
        <v>273950</v>
      </c>
      <c r="AS18" s="116">
        <v>0.68729722984776642</v>
      </c>
      <c r="AT18" s="116">
        <v>0.72085145232203351</v>
      </c>
      <c r="AU18" s="116">
        <v>0.70527508173930953</v>
      </c>
      <c r="AV18" s="96">
        <v>26434</v>
      </c>
      <c r="AW18" s="96">
        <v>30184</v>
      </c>
      <c r="AX18" s="96">
        <v>56618</v>
      </c>
      <c r="AY18" s="96">
        <v>16214</v>
      </c>
      <c r="AZ18" s="96">
        <v>19206</v>
      </c>
      <c r="BA18" s="96">
        <v>35420</v>
      </c>
      <c r="BB18" s="96">
        <v>607</v>
      </c>
      <c r="BC18" s="96">
        <v>815</v>
      </c>
      <c r="BD18" s="96">
        <v>1422</v>
      </c>
      <c r="BE18" s="97">
        <v>16821</v>
      </c>
      <c r="BF18" s="98">
        <v>20021</v>
      </c>
      <c r="BG18" s="98">
        <v>36842</v>
      </c>
      <c r="BH18" s="116">
        <v>0.6363395626844216</v>
      </c>
      <c r="BI18" s="116">
        <v>0.66329843625761997</v>
      </c>
      <c r="BJ18" s="116">
        <v>0.65071178777067362</v>
      </c>
      <c r="BK18" s="96">
        <v>635</v>
      </c>
      <c r="BL18" s="96">
        <v>490</v>
      </c>
      <c r="BM18" s="96">
        <v>1125</v>
      </c>
      <c r="BN18" s="96">
        <v>134</v>
      </c>
      <c r="BO18" s="96">
        <v>102</v>
      </c>
      <c r="BP18" s="96">
        <v>236</v>
      </c>
      <c r="BQ18" s="96">
        <v>332</v>
      </c>
      <c r="BR18" s="96">
        <v>318</v>
      </c>
      <c r="BS18" s="96">
        <v>650</v>
      </c>
      <c r="BT18" s="97">
        <v>466</v>
      </c>
      <c r="BU18" s="98">
        <v>420</v>
      </c>
      <c r="BV18" s="98">
        <v>886</v>
      </c>
      <c r="BW18" s="116">
        <v>0.7338582677165354</v>
      </c>
      <c r="BX18" s="116">
        <v>0.8571428571428571</v>
      </c>
      <c r="BY18" s="116">
        <v>0.78755555555555556</v>
      </c>
      <c r="BZ18" s="98">
        <v>27069</v>
      </c>
      <c r="CA18" s="98">
        <v>30674</v>
      </c>
      <c r="CB18" s="98">
        <v>57743</v>
      </c>
      <c r="CC18" s="98">
        <v>16348</v>
      </c>
      <c r="CD18" s="98">
        <v>19308</v>
      </c>
      <c r="CE18" s="98">
        <v>35656</v>
      </c>
      <c r="CF18" s="98">
        <v>939</v>
      </c>
      <c r="CG18" s="98">
        <v>1133</v>
      </c>
      <c r="CH18" s="98">
        <v>2072</v>
      </c>
      <c r="CI18" s="98">
        <v>17287</v>
      </c>
      <c r="CJ18" s="98">
        <v>20441</v>
      </c>
      <c r="CK18" s="98">
        <v>37728</v>
      </c>
      <c r="CL18" s="116">
        <v>0.63862721193985739</v>
      </c>
      <c r="CM18" s="116">
        <v>0.66639499250179302</v>
      </c>
      <c r="CN18" s="116">
        <v>0.65337789861974616</v>
      </c>
      <c r="CO18" s="393">
        <v>47678</v>
      </c>
      <c r="CP18" s="96">
        <v>58122</v>
      </c>
      <c r="CQ18" s="96">
        <v>105800</v>
      </c>
      <c r="CR18" s="96">
        <v>32465</v>
      </c>
      <c r="CS18" s="96">
        <v>39906</v>
      </c>
      <c r="CT18" s="96">
        <v>72371</v>
      </c>
      <c r="CU18" s="96">
        <v>967</v>
      </c>
      <c r="CV18" s="96">
        <v>1341</v>
      </c>
      <c r="CW18" s="96">
        <v>2308</v>
      </c>
      <c r="CX18" s="97">
        <v>33432</v>
      </c>
      <c r="CY18" s="98">
        <v>41247</v>
      </c>
      <c r="CZ18" s="98">
        <v>74679</v>
      </c>
      <c r="DA18" s="116">
        <v>0.70120390955996481</v>
      </c>
      <c r="DB18" s="116">
        <v>0.70966243419015174</v>
      </c>
      <c r="DC18" s="116">
        <v>0.70585066162570886</v>
      </c>
      <c r="DD18" s="96">
        <v>971</v>
      </c>
      <c r="DE18" s="96">
        <v>951</v>
      </c>
      <c r="DF18" s="96">
        <v>1922</v>
      </c>
      <c r="DG18" s="96">
        <v>257</v>
      </c>
      <c r="DH18" s="96">
        <v>236</v>
      </c>
      <c r="DI18" s="96">
        <v>493</v>
      </c>
      <c r="DJ18" s="96">
        <v>360</v>
      </c>
      <c r="DK18" s="96">
        <v>410</v>
      </c>
      <c r="DL18" s="96">
        <v>770</v>
      </c>
      <c r="DM18" s="97">
        <v>617</v>
      </c>
      <c r="DN18" s="98">
        <v>646</v>
      </c>
      <c r="DO18" s="98">
        <v>1263</v>
      </c>
      <c r="DP18" s="116">
        <v>0.63542739443872298</v>
      </c>
      <c r="DQ18" s="116">
        <v>0.67928496319663512</v>
      </c>
      <c r="DR18" s="116">
        <v>0.6571279916753382</v>
      </c>
      <c r="DS18" s="98">
        <v>48649</v>
      </c>
      <c r="DT18" s="98">
        <v>59073</v>
      </c>
      <c r="DU18" s="98">
        <v>107722</v>
      </c>
      <c r="DV18" s="98">
        <v>32722</v>
      </c>
      <c r="DW18" s="98">
        <v>40142</v>
      </c>
      <c r="DX18" s="98">
        <v>72864</v>
      </c>
      <c r="DY18" s="98">
        <v>1327</v>
      </c>
      <c r="DZ18" s="98">
        <v>1751</v>
      </c>
      <c r="EA18" s="98">
        <v>3078</v>
      </c>
      <c r="EB18" s="98">
        <v>34049</v>
      </c>
      <c r="EC18" s="98">
        <v>41893</v>
      </c>
      <c r="ED18" s="98">
        <v>75942</v>
      </c>
      <c r="EE18" s="116">
        <v>0.69989105634237081</v>
      </c>
      <c r="EF18" s="116">
        <v>0.70917339562913684</v>
      </c>
      <c r="EG18" s="116">
        <v>0.70498134085887743</v>
      </c>
      <c r="EH18" s="96">
        <v>89866</v>
      </c>
      <c r="EI18" s="96">
        <v>104030</v>
      </c>
      <c r="EJ18" s="96">
        <v>193896</v>
      </c>
      <c r="EK18" s="96">
        <v>60333</v>
      </c>
      <c r="EL18" s="96">
        <v>74038</v>
      </c>
      <c r="EM18" s="96">
        <v>134371</v>
      </c>
      <c r="EN18" s="96">
        <v>1994</v>
      </c>
      <c r="EO18" s="96">
        <v>2548</v>
      </c>
      <c r="EP18" s="96">
        <v>4542</v>
      </c>
      <c r="EQ18" s="97">
        <v>62327</v>
      </c>
      <c r="ER18" s="98">
        <v>76586</v>
      </c>
      <c r="ES18" s="98">
        <v>138913</v>
      </c>
      <c r="ET18" s="116">
        <v>0.69355484832973535</v>
      </c>
      <c r="EU18" s="116">
        <v>0.73619148322599248</v>
      </c>
      <c r="EV18" s="116">
        <v>0.71643045756488011</v>
      </c>
      <c r="EW18" s="96">
        <v>1614</v>
      </c>
      <c r="EX18" s="96">
        <v>1365</v>
      </c>
      <c r="EY18" s="96">
        <v>2979</v>
      </c>
      <c r="EZ18" s="96">
        <v>364</v>
      </c>
      <c r="FA18" s="96">
        <v>343</v>
      </c>
      <c r="FB18" s="96">
        <v>707</v>
      </c>
      <c r="FC18" s="96">
        <v>934</v>
      </c>
      <c r="FD18" s="96">
        <v>860</v>
      </c>
      <c r="FE18" s="96">
        <v>1794</v>
      </c>
      <c r="FF18" s="97">
        <v>1298</v>
      </c>
      <c r="FG18" s="98">
        <v>1203</v>
      </c>
      <c r="FH18" s="98">
        <v>2501</v>
      </c>
      <c r="FI18" s="116">
        <v>0.80421313506815362</v>
      </c>
      <c r="FJ18" s="116">
        <v>0.8813186813186813</v>
      </c>
      <c r="FK18" s="116">
        <v>0.83954347096341053</v>
      </c>
      <c r="FL18" s="98">
        <v>91480</v>
      </c>
      <c r="FM18" s="98">
        <v>105395</v>
      </c>
      <c r="FN18" s="98">
        <v>196875</v>
      </c>
      <c r="FO18" s="98">
        <v>60697</v>
      </c>
      <c r="FP18" s="98">
        <v>74381</v>
      </c>
      <c r="FQ18" s="98">
        <v>135078</v>
      </c>
      <c r="FR18" s="98">
        <v>2928</v>
      </c>
      <c r="FS18" s="98">
        <v>3408</v>
      </c>
      <c r="FT18" s="98">
        <v>6336</v>
      </c>
      <c r="FU18" s="98">
        <v>63625</v>
      </c>
      <c r="FV18" s="98">
        <v>77789</v>
      </c>
      <c r="FW18" s="98">
        <v>141414</v>
      </c>
      <c r="FX18" s="116">
        <v>0.69550721469173593</v>
      </c>
      <c r="FY18" s="116">
        <v>0.73807106598984773</v>
      </c>
      <c r="FZ18" s="116">
        <v>0.71829333333333334</v>
      </c>
      <c r="GA18" s="98">
        <v>123930</v>
      </c>
      <c r="GB18" s="98">
        <v>150020</v>
      </c>
      <c r="GC18" s="98">
        <v>273950</v>
      </c>
      <c r="GD18" s="101">
        <v>42439</v>
      </c>
      <c r="GE18" s="101">
        <v>54514</v>
      </c>
      <c r="GF18" s="98">
        <v>96953</v>
      </c>
      <c r="GG18" s="100">
        <v>34.244331477446948</v>
      </c>
      <c r="GH18" s="100">
        <v>36.337821623783498</v>
      </c>
      <c r="GI18" s="100">
        <v>35.390764738090894</v>
      </c>
      <c r="GJ18" s="98">
        <v>17287</v>
      </c>
      <c r="GK18" s="98">
        <v>20441</v>
      </c>
      <c r="GL18" s="98">
        <v>37728</v>
      </c>
      <c r="GM18" s="101">
        <v>5728</v>
      </c>
      <c r="GN18" s="101">
        <v>6881</v>
      </c>
      <c r="GO18" s="98">
        <v>12609</v>
      </c>
      <c r="GP18" s="100">
        <v>33.134725516283915</v>
      </c>
      <c r="GQ18" s="100">
        <v>33.662736656719339</v>
      </c>
      <c r="GR18" s="100">
        <v>33.420801526717554</v>
      </c>
      <c r="GS18" s="98">
        <v>34049</v>
      </c>
      <c r="GT18" s="98">
        <v>41893</v>
      </c>
      <c r="GU18" s="98">
        <v>75942</v>
      </c>
      <c r="GV18" s="101">
        <v>9639</v>
      </c>
      <c r="GW18" s="101">
        <v>12104</v>
      </c>
      <c r="GX18" s="98">
        <v>21743</v>
      </c>
      <c r="GY18" s="100">
        <v>28.309201444976356</v>
      </c>
      <c r="GZ18" s="100">
        <v>28.892655097510325</v>
      </c>
      <c r="HA18" s="100">
        <v>28.631060546206314</v>
      </c>
      <c r="HB18" s="98">
        <v>63625</v>
      </c>
      <c r="HC18" s="98">
        <v>77789</v>
      </c>
      <c r="HD18" s="98">
        <v>141414</v>
      </c>
      <c r="HE18" s="101">
        <v>23529</v>
      </c>
      <c r="HF18" s="101">
        <v>30852</v>
      </c>
      <c r="HG18" s="98">
        <v>54381</v>
      </c>
      <c r="HH18" s="100">
        <v>36.98074656188605</v>
      </c>
      <c r="HI18" s="100">
        <v>39.661134607720889</v>
      </c>
      <c r="HJ18" s="100">
        <v>38.45517416945988</v>
      </c>
      <c r="HK18" t="s">
        <v>367</v>
      </c>
    </row>
    <row r="19" spans="1:219" s="397" customFormat="1" ht="28.5">
      <c r="A19" s="420">
        <v>11</v>
      </c>
      <c r="B19" s="396" t="s">
        <v>377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4"/>
      <c r="M19" s="404"/>
      <c r="N19" s="404"/>
      <c r="O19" s="405"/>
      <c r="P19" s="405"/>
      <c r="Q19" s="405"/>
      <c r="R19" s="99">
        <v>114</v>
      </c>
      <c r="S19" s="99">
        <v>65</v>
      </c>
      <c r="T19" s="99">
        <v>179</v>
      </c>
      <c r="U19" s="99">
        <v>37</v>
      </c>
      <c r="V19" s="99">
        <v>39</v>
      </c>
      <c r="W19" s="99">
        <v>76</v>
      </c>
      <c r="X19" s="403"/>
      <c r="Y19" s="403"/>
      <c r="Z19" s="403"/>
      <c r="AA19" s="98">
        <v>37</v>
      </c>
      <c r="AB19" s="98">
        <v>39</v>
      </c>
      <c r="AC19" s="98">
        <v>76</v>
      </c>
      <c r="AD19" s="116">
        <v>0.32456140350877194</v>
      </c>
      <c r="AE19" s="116">
        <v>0.6</v>
      </c>
      <c r="AF19" s="116">
        <v>0.42458100558659218</v>
      </c>
      <c r="AG19" s="98">
        <v>114</v>
      </c>
      <c r="AH19" s="98">
        <v>65</v>
      </c>
      <c r="AI19" s="98">
        <v>179</v>
      </c>
      <c r="AJ19" s="98">
        <v>37</v>
      </c>
      <c r="AK19" s="98">
        <v>39</v>
      </c>
      <c r="AL19" s="98">
        <v>76</v>
      </c>
      <c r="AM19" s="404"/>
      <c r="AN19" s="404"/>
      <c r="AO19" s="404"/>
      <c r="AP19" s="98">
        <v>37</v>
      </c>
      <c r="AQ19" s="98">
        <v>39</v>
      </c>
      <c r="AR19" s="98">
        <v>76</v>
      </c>
      <c r="AS19" s="116">
        <v>0.32456140350877194</v>
      </c>
      <c r="AT19" s="116">
        <v>0.6</v>
      </c>
      <c r="AU19" s="116">
        <v>0.42458100558659218</v>
      </c>
      <c r="AV19" s="403"/>
      <c r="AW19" s="403"/>
      <c r="AX19" s="403"/>
      <c r="AY19" s="403"/>
      <c r="AZ19" s="403"/>
      <c r="BA19" s="403"/>
      <c r="BB19" s="403"/>
      <c r="BC19" s="403"/>
      <c r="BD19" s="403"/>
      <c r="BE19" s="404"/>
      <c r="BF19" s="404"/>
      <c r="BG19" s="404"/>
      <c r="BH19" s="405"/>
      <c r="BI19" s="405"/>
      <c r="BJ19" s="405"/>
      <c r="BK19" s="403"/>
      <c r="BL19" s="403"/>
      <c r="BM19" s="403"/>
      <c r="BN19" s="403"/>
      <c r="BO19" s="403"/>
      <c r="BP19" s="403"/>
      <c r="BQ19" s="403"/>
      <c r="BR19" s="403"/>
      <c r="BS19" s="403"/>
      <c r="BT19" s="404"/>
      <c r="BU19" s="404"/>
      <c r="BV19" s="404"/>
      <c r="BW19" s="405"/>
      <c r="BX19" s="405"/>
      <c r="BY19" s="405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5"/>
      <c r="CM19" s="405"/>
      <c r="CN19" s="405"/>
      <c r="CO19" s="403"/>
      <c r="CP19" s="403"/>
      <c r="CQ19" s="403"/>
      <c r="CR19" s="403"/>
      <c r="CS19" s="403"/>
      <c r="CT19" s="403"/>
      <c r="CU19" s="403"/>
      <c r="CV19" s="403"/>
      <c r="CW19" s="403"/>
      <c r="CX19" s="404"/>
      <c r="CY19" s="404"/>
      <c r="CZ19" s="404"/>
      <c r="DA19" s="405"/>
      <c r="DB19" s="405"/>
      <c r="DC19" s="405"/>
      <c r="DD19" s="403"/>
      <c r="DE19" s="403"/>
      <c r="DF19" s="403"/>
      <c r="DG19" s="403"/>
      <c r="DH19" s="403"/>
      <c r="DI19" s="403"/>
      <c r="DJ19" s="403"/>
      <c r="DK19" s="403"/>
      <c r="DL19" s="403"/>
      <c r="DM19" s="404"/>
      <c r="DN19" s="404"/>
      <c r="DO19" s="404"/>
      <c r="DP19" s="405"/>
      <c r="DQ19" s="405"/>
      <c r="DR19" s="405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5"/>
      <c r="EF19" s="405"/>
      <c r="EG19" s="405"/>
      <c r="EH19" s="403"/>
      <c r="EI19" s="403"/>
      <c r="EJ19" s="403"/>
      <c r="EK19" s="403"/>
      <c r="EL19" s="403"/>
      <c r="EM19" s="403"/>
      <c r="EN19" s="403"/>
      <c r="EO19" s="403"/>
      <c r="EP19" s="403"/>
      <c r="EQ19" s="404"/>
      <c r="ER19" s="404"/>
      <c r="ES19" s="404"/>
      <c r="ET19" s="405"/>
      <c r="EU19" s="405"/>
      <c r="EV19" s="405"/>
      <c r="EW19" s="403"/>
      <c r="EX19" s="403"/>
      <c r="EY19" s="403"/>
      <c r="EZ19" s="403"/>
      <c r="FA19" s="403"/>
      <c r="FB19" s="403"/>
      <c r="FC19" s="403"/>
      <c r="FD19" s="403"/>
      <c r="FE19" s="403"/>
      <c r="FF19" s="404"/>
      <c r="FG19" s="404"/>
      <c r="FH19" s="404"/>
      <c r="FI19" s="405"/>
      <c r="FJ19" s="405"/>
      <c r="FK19" s="405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5"/>
      <c r="FY19" s="405"/>
      <c r="FZ19" s="405"/>
      <c r="GA19" s="98">
        <v>37</v>
      </c>
      <c r="GB19" s="98">
        <v>39</v>
      </c>
      <c r="GC19" s="98">
        <v>76</v>
      </c>
      <c r="GD19" s="404"/>
      <c r="GE19" s="404"/>
      <c r="GF19" s="404"/>
      <c r="GG19" s="404"/>
      <c r="GH19" s="407"/>
      <c r="GI19" s="407"/>
      <c r="GJ19" s="404"/>
      <c r="GK19" s="404"/>
      <c r="GL19" s="404"/>
      <c r="GM19" s="404"/>
      <c r="GN19" s="404"/>
      <c r="GO19" s="404"/>
      <c r="GP19" s="407"/>
      <c r="GQ19" s="407"/>
      <c r="GR19" s="407"/>
      <c r="GS19" s="404"/>
      <c r="GT19" s="404"/>
      <c r="GU19" s="404"/>
      <c r="GV19" s="404"/>
      <c r="GW19" s="404"/>
      <c r="GX19" s="404"/>
      <c r="GY19" s="407"/>
      <c r="GZ19" s="407"/>
      <c r="HA19" s="407"/>
      <c r="HB19" s="404"/>
      <c r="HC19" s="404"/>
      <c r="HD19" s="404"/>
      <c r="HE19" s="404"/>
      <c r="HF19" s="404"/>
      <c r="HG19" s="404"/>
      <c r="HH19" s="407"/>
      <c r="HI19" s="407"/>
      <c r="HJ19" s="407"/>
    </row>
    <row r="20" spans="1:219" ht="28.5">
      <c r="A20" s="420">
        <v>12</v>
      </c>
      <c r="B20" s="118" t="s">
        <v>378</v>
      </c>
      <c r="C20" s="96">
        <v>448</v>
      </c>
      <c r="D20" s="96">
        <v>255</v>
      </c>
      <c r="E20" s="96">
        <v>703</v>
      </c>
      <c r="F20" s="96">
        <v>421</v>
      </c>
      <c r="G20" s="96">
        <v>231</v>
      </c>
      <c r="H20" s="96">
        <v>652</v>
      </c>
      <c r="I20" s="96">
        <v>9</v>
      </c>
      <c r="J20" s="96">
        <v>7</v>
      </c>
      <c r="K20" s="96">
        <v>16</v>
      </c>
      <c r="L20" s="97">
        <v>430</v>
      </c>
      <c r="M20" s="98">
        <v>238</v>
      </c>
      <c r="N20" s="98">
        <v>668</v>
      </c>
      <c r="O20" s="116">
        <v>0.9598214285714286</v>
      </c>
      <c r="P20" s="116">
        <v>0.93333333333333335</v>
      </c>
      <c r="Q20" s="116">
        <v>0.9502133712660028</v>
      </c>
      <c r="R20" s="96">
        <v>67</v>
      </c>
      <c r="S20" s="96">
        <v>48</v>
      </c>
      <c r="T20" s="96">
        <v>115</v>
      </c>
      <c r="U20" s="96">
        <v>67</v>
      </c>
      <c r="V20" s="96">
        <v>48</v>
      </c>
      <c r="W20" s="96">
        <v>115</v>
      </c>
      <c r="X20" s="403"/>
      <c r="Y20" s="403"/>
      <c r="Z20" s="403"/>
      <c r="AA20" s="97">
        <v>67</v>
      </c>
      <c r="AB20" s="98">
        <v>48</v>
      </c>
      <c r="AC20" s="98">
        <v>115</v>
      </c>
      <c r="AD20" s="116">
        <v>1</v>
      </c>
      <c r="AE20" s="116">
        <v>1</v>
      </c>
      <c r="AF20" s="116">
        <v>1</v>
      </c>
      <c r="AG20" s="98">
        <v>515</v>
      </c>
      <c r="AH20" s="98">
        <v>303</v>
      </c>
      <c r="AI20" s="98">
        <v>818</v>
      </c>
      <c r="AJ20" s="98">
        <v>488</v>
      </c>
      <c r="AK20" s="98">
        <v>279</v>
      </c>
      <c r="AL20" s="98">
        <v>767</v>
      </c>
      <c r="AM20" s="98">
        <v>9</v>
      </c>
      <c r="AN20" s="98">
        <v>7</v>
      </c>
      <c r="AO20" s="98">
        <v>16</v>
      </c>
      <c r="AP20" s="98">
        <v>497</v>
      </c>
      <c r="AQ20" s="98">
        <v>286</v>
      </c>
      <c r="AR20" s="98">
        <v>783</v>
      </c>
      <c r="AS20" s="116">
        <v>0.96504854368932036</v>
      </c>
      <c r="AT20" s="116">
        <v>0.94389438943894388</v>
      </c>
      <c r="AU20" s="116">
        <v>0.95721271393643037</v>
      </c>
      <c r="AV20" s="96">
        <v>126</v>
      </c>
      <c r="AW20" s="96">
        <v>85</v>
      </c>
      <c r="AX20" s="96">
        <v>211</v>
      </c>
      <c r="AY20" s="96">
        <v>121</v>
      </c>
      <c r="AZ20" s="96">
        <v>80</v>
      </c>
      <c r="BA20" s="96">
        <v>201</v>
      </c>
      <c r="BB20" s="96">
        <v>1</v>
      </c>
      <c r="BC20" s="96">
        <v>2</v>
      </c>
      <c r="BD20" s="96">
        <v>3</v>
      </c>
      <c r="BE20" s="97">
        <v>122</v>
      </c>
      <c r="BF20" s="98">
        <v>82</v>
      </c>
      <c r="BG20" s="98">
        <v>204</v>
      </c>
      <c r="BH20" s="116">
        <v>0.96825396825396826</v>
      </c>
      <c r="BI20" s="116">
        <v>0.96470588235294119</v>
      </c>
      <c r="BJ20" s="116">
        <v>0.96682464454976302</v>
      </c>
      <c r="BK20" s="403"/>
      <c r="BL20" s="403"/>
      <c r="BM20" s="403"/>
      <c r="BN20" s="403"/>
      <c r="BO20" s="403"/>
      <c r="BP20" s="403"/>
      <c r="BQ20" s="403"/>
      <c r="BR20" s="403"/>
      <c r="BS20" s="403"/>
      <c r="BT20" s="404"/>
      <c r="BU20" s="404"/>
      <c r="BV20" s="404"/>
      <c r="BW20" s="405"/>
      <c r="BX20" s="405"/>
      <c r="BY20" s="405"/>
      <c r="BZ20" s="98">
        <v>126</v>
      </c>
      <c r="CA20" s="98">
        <v>85</v>
      </c>
      <c r="CB20" s="98">
        <v>211</v>
      </c>
      <c r="CC20" s="98">
        <v>121</v>
      </c>
      <c r="CD20" s="98">
        <v>80</v>
      </c>
      <c r="CE20" s="98">
        <v>201</v>
      </c>
      <c r="CF20" s="98">
        <v>1</v>
      </c>
      <c r="CG20" s="98">
        <v>2</v>
      </c>
      <c r="CH20" s="98">
        <v>3</v>
      </c>
      <c r="CI20" s="98">
        <v>122</v>
      </c>
      <c r="CJ20" s="98">
        <v>82</v>
      </c>
      <c r="CK20" s="98">
        <v>204</v>
      </c>
      <c r="CL20" s="116">
        <v>0.96825396825396826</v>
      </c>
      <c r="CM20" s="116">
        <v>0.96470588235294119</v>
      </c>
      <c r="CN20" s="116">
        <v>0.96682464454976302</v>
      </c>
      <c r="CO20" s="96">
        <v>184</v>
      </c>
      <c r="CP20" s="96">
        <v>109</v>
      </c>
      <c r="CQ20" s="96">
        <v>293</v>
      </c>
      <c r="CR20" s="96">
        <v>178</v>
      </c>
      <c r="CS20" s="96">
        <v>103</v>
      </c>
      <c r="CT20" s="96">
        <v>281</v>
      </c>
      <c r="CU20" s="96">
        <v>1</v>
      </c>
      <c r="CV20" s="96">
        <v>1</v>
      </c>
      <c r="CW20" s="96">
        <v>2</v>
      </c>
      <c r="CX20" s="97">
        <v>179</v>
      </c>
      <c r="CY20" s="98">
        <v>104</v>
      </c>
      <c r="CZ20" s="98">
        <v>283</v>
      </c>
      <c r="DA20" s="116">
        <v>0.97282608695652173</v>
      </c>
      <c r="DB20" s="116">
        <v>0.95412844036697253</v>
      </c>
      <c r="DC20" s="116">
        <v>0.96587030716723554</v>
      </c>
      <c r="DD20" s="96">
        <v>23</v>
      </c>
      <c r="DE20" s="96">
        <v>20</v>
      </c>
      <c r="DF20" s="96">
        <v>43</v>
      </c>
      <c r="DG20" s="96">
        <v>23</v>
      </c>
      <c r="DH20" s="96">
        <v>20</v>
      </c>
      <c r="DI20" s="96">
        <v>43</v>
      </c>
      <c r="DJ20" s="403"/>
      <c r="DK20" s="403"/>
      <c r="DL20" s="403"/>
      <c r="DM20" s="97">
        <v>23</v>
      </c>
      <c r="DN20" s="98">
        <v>20</v>
      </c>
      <c r="DO20" s="98">
        <v>43</v>
      </c>
      <c r="DP20" s="116">
        <v>1</v>
      </c>
      <c r="DQ20" s="116">
        <v>1</v>
      </c>
      <c r="DR20" s="116">
        <v>1</v>
      </c>
      <c r="DS20" s="98">
        <v>207</v>
      </c>
      <c r="DT20" s="98">
        <v>129</v>
      </c>
      <c r="DU20" s="98">
        <v>336</v>
      </c>
      <c r="DV20" s="98">
        <v>201</v>
      </c>
      <c r="DW20" s="98">
        <v>123</v>
      </c>
      <c r="DX20" s="98">
        <v>324</v>
      </c>
      <c r="DY20" s="98">
        <v>1</v>
      </c>
      <c r="DZ20" s="98">
        <v>1</v>
      </c>
      <c r="EA20" s="98">
        <v>2</v>
      </c>
      <c r="EB20" s="98">
        <v>202</v>
      </c>
      <c r="EC20" s="98">
        <v>124</v>
      </c>
      <c r="ED20" s="98">
        <v>326</v>
      </c>
      <c r="EE20" s="116">
        <v>0.97584541062801933</v>
      </c>
      <c r="EF20" s="116">
        <v>0.96124031007751942</v>
      </c>
      <c r="EG20" s="116">
        <v>0.97023809523809523</v>
      </c>
      <c r="EH20" s="96">
        <v>113</v>
      </c>
      <c r="EI20" s="96">
        <v>86</v>
      </c>
      <c r="EJ20" s="96">
        <v>199</v>
      </c>
      <c r="EK20" s="96">
        <v>107</v>
      </c>
      <c r="EL20" s="96">
        <v>63</v>
      </c>
      <c r="EM20" s="96">
        <v>170</v>
      </c>
      <c r="EN20" s="96">
        <v>4</v>
      </c>
      <c r="EO20" s="96">
        <v>7</v>
      </c>
      <c r="EP20" s="96">
        <v>11</v>
      </c>
      <c r="EQ20" s="97">
        <v>111</v>
      </c>
      <c r="ER20" s="98">
        <v>70</v>
      </c>
      <c r="ES20" s="98">
        <v>181</v>
      </c>
      <c r="ET20" s="116">
        <v>0.98230088495575218</v>
      </c>
      <c r="EU20" s="116">
        <v>0.81395348837209303</v>
      </c>
      <c r="EV20" s="116">
        <v>0.90954773869346739</v>
      </c>
      <c r="EW20" s="96">
        <v>40</v>
      </c>
      <c r="EX20" s="96">
        <v>23</v>
      </c>
      <c r="EY20" s="96">
        <v>63</v>
      </c>
      <c r="EZ20" s="96">
        <v>40</v>
      </c>
      <c r="FA20" s="96">
        <v>23</v>
      </c>
      <c r="FB20" s="96">
        <v>63</v>
      </c>
      <c r="FC20" s="403"/>
      <c r="FD20" s="403"/>
      <c r="FE20" s="403"/>
      <c r="FF20" s="97">
        <v>40</v>
      </c>
      <c r="FG20" s="98">
        <v>23</v>
      </c>
      <c r="FH20" s="98">
        <v>63</v>
      </c>
      <c r="FI20" s="116">
        <v>1</v>
      </c>
      <c r="FJ20" s="116">
        <v>1</v>
      </c>
      <c r="FK20" s="116">
        <v>1</v>
      </c>
      <c r="FL20" s="98">
        <v>153</v>
      </c>
      <c r="FM20" s="98">
        <v>109</v>
      </c>
      <c r="FN20" s="98">
        <v>262</v>
      </c>
      <c r="FO20" s="98">
        <v>147</v>
      </c>
      <c r="FP20" s="98">
        <v>86</v>
      </c>
      <c r="FQ20" s="98">
        <v>233</v>
      </c>
      <c r="FR20" s="98">
        <v>4</v>
      </c>
      <c r="FS20" s="98">
        <v>7</v>
      </c>
      <c r="FT20" s="98">
        <v>11</v>
      </c>
      <c r="FU20" s="98">
        <v>151</v>
      </c>
      <c r="FV20" s="98">
        <v>93</v>
      </c>
      <c r="FW20" s="98">
        <v>244</v>
      </c>
      <c r="FX20" s="116">
        <v>0.98692810457516345</v>
      </c>
      <c r="FY20" s="116">
        <v>0.85321100917431192</v>
      </c>
      <c r="FZ20" s="116">
        <v>0.93129770992366412</v>
      </c>
      <c r="GA20" s="98">
        <v>497</v>
      </c>
      <c r="GB20" s="98">
        <v>286</v>
      </c>
      <c r="GC20" s="98">
        <v>783</v>
      </c>
      <c r="GD20" s="98">
        <v>88</v>
      </c>
      <c r="GE20" s="98">
        <v>69</v>
      </c>
      <c r="GF20" s="98">
        <v>157</v>
      </c>
      <c r="GG20" s="100">
        <v>17.706237424547282</v>
      </c>
      <c r="GH20" s="100">
        <v>24.125874125874127</v>
      </c>
      <c r="GI20" s="100">
        <v>20.051085568326947</v>
      </c>
      <c r="GJ20" s="98">
        <v>122</v>
      </c>
      <c r="GK20" s="98">
        <v>82</v>
      </c>
      <c r="GL20" s="98">
        <v>204</v>
      </c>
      <c r="GM20" s="98">
        <v>12</v>
      </c>
      <c r="GN20" s="98">
        <v>19</v>
      </c>
      <c r="GO20" s="98">
        <v>31</v>
      </c>
      <c r="GP20" s="100">
        <v>9.8360655737704921</v>
      </c>
      <c r="GQ20" s="100">
        <v>23.170731707317074</v>
      </c>
      <c r="GR20" s="100">
        <v>15.196078431372548</v>
      </c>
      <c r="GS20" s="98">
        <v>202</v>
      </c>
      <c r="GT20" s="98">
        <v>124</v>
      </c>
      <c r="GU20" s="98">
        <v>326</v>
      </c>
      <c r="GV20" s="98">
        <v>24</v>
      </c>
      <c r="GW20" s="98">
        <v>17</v>
      </c>
      <c r="GX20" s="98">
        <v>41</v>
      </c>
      <c r="GY20" s="100">
        <v>11.881188118811881</v>
      </c>
      <c r="GZ20" s="100">
        <v>13.709677419354838</v>
      </c>
      <c r="HA20" s="100">
        <v>12.576687116564417</v>
      </c>
      <c r="HB20" s="98">
        <v>151</v>
      </c>
      <c r="HC20" s="98">
        <v>93</v>
      </c>
      <c r="HD20" s="98">
        <v>244</v>
      </c>
      <c r="HE20" s="98">
        <v>57</v>
      </c>
      <c r="HF20" s="98">
        <v>31</v>
      </c>
      <c r="HG20" s="98">
        <v>88</v>
      </c>
      <c r="HH20" s="100">
        <v>37.748344370860927</v>
      </c>
      <c r="HI20" s="100">
        <v>33.333333333333336</v>
      </c>
      <c r="HJ20" s="100">
        <v>36.065573770491802</v>
      </c>
    </row>
    <row r="21" spans="1:219" ht="28.5">
      <c r="A21" s="420">
        <v>13</v>
      </c>
      <c r="B21" s="372" t="s">
        <v>148</v>
      </c>
      <c r="C21" s="96">
        <v>9766</v>
      </c>
      <c r="D21" s="96">
        <v>9820</v>
      </c>
      <c r="E21" s="96">
        <v>19586</v>
      </c>
      <c r="F21" s="96">
        <v>8885</v>
      </c>
      <c r="G21" s="96">
        <v>9025</v>
      </c>
      <c r="H21" s="96">
        <v>17910</v>
      </c>
      <c r="I21" s="96">
        <v>314</v>
      </c>
      <c r="J21" s="96">
        <v>279</v>
      </c>
      <c r="K21" s="96">
        <v>593</v>
      </c>
      <c r="L21" s="97">
        <v>9199</v>
      </c>
      <c r="M21" s="98">
        <v>9304</v>
      </c>
      <c r="N21" s="98">
        <v>18503</v>
      </c>
      <c r="O21" s="116">
        <v>0.94194142944910919</v>
      </c>
      <c r="P21" s="116">
        <v>0.94745417515274954</v>
      </c>
      <c r="Q21" s="116">
        <v>0.94470540181762486</v>
      </c>
      <c r="R21" s="96">
        <v>374</v>
      </c>
      <c r="S21" s="96">
        <v>273</v>
      </c>
      <c r="T21" s="96">
        <v>647</v>
      </c>
      <c r="U21" s="96">
        <v>143</v>
      </c>
      <c r="V21" s="96">
        <v>116</v>
      </c>
      <c r="W21" s="96">
        <v>259</v>
      </c>
      <c r="X21" s="96">
        <v>46</v>
      </c>
      <c r="Y21" s="96">
        <v>33</v>
      </c>
      <c r="Z21" s="96">
        <v>79</v>
      </c>
      <c r="AA21" s="97">
        <v>189</v>
      </c>
      <c r="AB21" s="98">
        <v>149</v>
      </c>
      <c r="AC21" s="98">
        <v>338</v>
      </c>
      <c r="AD21" s="116">
        <v>0.50534759358288772</v>
      </c>
      <c r="AE21" s="116">
        <v>0.54578754578754574</v>
      </c>
      <c r="AF21" s="116">
        <v>0.52241112828438951</v>
      </c>
      <c r="AG21" s="98">
        <v>10140</v>
      </c>
      <c r="AH21" s="98">
        <v>10093</v>
      </c>
      <c r="AI21" s="98">
        <v>20233</v>
      </c>
      <c r="AJ21" s="98">
        <v>9028</v>
      </c>
      <c r="AK21" s="98">
        <v>9141</v>
      </c>
      <c r="AL21" s="98">
        <v>18169</v>
      </c>
      <c r="AM21" s="98">
        <v>360</v>
      </c>
      <c r="AN21" s="98">
        <v>312</v>
      </c>
      <c r="AO21" s="98">
        <v>672</v>
      </c>
      <c r="AP21" s="98">
        <v>9388</v>
      </c>
      <c r="AQ21" s="98">
        <v>9453</v>
      </c>
      <c r="AR21" s="98">
        <v>18841</v>
      </c>
      <c r="AS21" s="116">
        <v>0.92583826429980276</v>
      </c>
      <c r="AT21" s="116">
        <v>0.9365897156445061</v>
      </c>
      <c r="AU21" s="116">
        <v>0.93120150249592248</v>
      </c>
      <c r="AV21" s="96">
        <v>121</v>
      </c>
      <c r="AW21" s="96">
        <v>146</v>
      </c>
      <c r="AX21" s="96">
        <v>267</v>
      </c>
      <c r="AY21" s="96">
        <v>109</v>
      </c>
      <c r="AZ21" s="96">
        <v>135</v>
      </c>
      <c r="BA21" s="96">
        <v>244</v>
      </c>
      <c r="BB21" s="96">
        <v>3</v>
      </c>
      <c r="BC21" s="403"/>
      <c r="BD21" s="96">
        <v>3</v>
      </c>
      <c r="BE21" s="97">
        <v>112</v>
      </c>
      <c r="BF21" s="98">
        <v>135</v>
      </c>
      <c r="BG21" s="98">
        <v>247</v>
      </c>
      <c r="BH21" s="116">
        <v>0.92561983471074383</v>
      </c>
      <c r="BI21" s="116">
        <v>0.92465753424657537</v>
      </c>
      <c r="BJ21" s="116">
        <v>0.92509363295880154</v>
      </c>
      <c r="BK21" s="96">
        <v>4</v>
      </c>
      <c r="BL21" s="96">
        <v>8</v>
      </c>
      <c r="BM21" s="96">
        <v>12</v>
      </c>
      <c r="BN21" s="96">
        <v>1</v>
      </c>
      <c r="BO21" s="96">
        <v>1</v>
      </c>
      <c r="BP21" s="96">
        <v>2</v>
      </c>
      <c r="BQ21" s="403"/>
      <c r="BR21" s="96">
        <v>2</v>
      </c>
      <c r="BS21" s="96">
        <v>2</v>
      </c>
      <c r="BT21" s="97">
        <v>1</v>
      </c>
      <c r="BU21" s="98">
        <v>3</v>
      </c>
      <c r="BV21" s="98">
        <v>4</v>
      </c>
      <c r="BW21" s="116">
        <v>0.25</v>
      </c>
      <c r="BX21" s="116">
        <v>0.375</v>
      </c>
      <c r="BY21" s="116">
        <v>0.33333333333333331</v>
      </c>
      <c r="BZ21" s="98">
        <v>125</v>
      </c>
      <c r="CA21" s="98">
        <v>154</v>
      </c>
      <c r="CB21" s="98">
        <v>279</v>
      </c>
      <c r="CC21" s="98">
        <v>110</v>
      </c>
      <c r="CD21" s="98">
        <v>136</v>
      </c>
      <c r="CE21" s="98">
        <v>246</v>
      </c>
      <c r="CF21" s="98">
        <v>3</v>
      </c>
      <c r="CG21" s="98">
        <v>2</v>
      </c>
      <c r="CH21" s="98">
        <v>5</v>
      </c>
      <c r="CI21" s="98">
        <v>113</v>
      </c>
      <c r="CJ21" s="98">
        <v>138</v>
      </c>
      <c r="CK21" s="98">
        <v>251</v>
      </c>
      <c r="CL21" s="116">
        <v>0.90400000000000003</v>
      </c>
      <c r="CM21" s="116">
        <v>0.89610389610389607</v>
      </c>
      <c r="CN21" s="116">
        <v>0.89964157706093195</v>
      </c>
      <c r="CO21" s="96">
        <v>1109</v>
      </c>
      <c r="CP21" s="96">
        <v>1150</v>
      </c>
      <c r="CQ21" s="96">
        <v>2259</v>
      </c>
      <c r="CR21" s="96">
        <v>1005</v>
      </c>
      <c r="CS21" s="96">
        <v>1054</v>
      </c>
      <c r="CT21" s="96">
        <v>2059</v>
      </c>
      <c r="CU21" s="96">
        <v>42</v>
      </c>
      <c r="CV21" s="96">
        <v>45</v>
      </c>
      <c r="CW21" s="96">
        <v>87</v>
      </c>
      <c r="CX21" s="97">
        <v>1047</v>
      </c>
      <c r="CY21" s="98">
        <v>1099</v>
      </c>
      <c r="CZ21" s="98">
        <v>2146</v>
      </c>
      <c r="DA21" s="116">
        <v>0.94409377817853923</v>
      </c>
      <c r="DB21" s="116">
        <v>0.95565217391304347</v>
      </c>
      <c r="DC21" s="116">
        <v>0.94997786631252767</v>
      </c>
      <c r="DD21" s="96">
        <v>47</v>
      </c>
      <c r="DE21" s="96">
        <v>26</v>
      </c>
      <c r="DF21" s="96">
        <v>73</v>
      </c>
      <c r="DG21" s="96">
        <v>20</v>
      </c>
      <c r="DH21" s="96">
        <v>12</v>
      </c>
      <c r="DI21" s="96">
        <v>32</v>
      </c>
      <c r="DJ21" s="96">
        <v>8</v>
      </c>
      <c r="DK21" s="96">
        <v>2</v>
      </c>
      <c r="DL21" s="96">
        <v>10</v>
      </c>
      <c r="DM21" s="97">
        <v>28</v>
      </c>
      <c r="DN21" s="98">
        <v>14</v>
      </c>
      <c r="DO21" s="98">
        <v>42</v>
      </c>
      <c r="DP21" s="116">
        <v>0.5957446808510638</v>
      </c>
      <c r="DQ21" s="116">
        <v>0.53846153846153844</v>
      </c>
      <c r="DR21" s="116">
        <v>0.57534246575342463</v>
      </c>
      <c r="DS21" s="98">
        <v>1156</v>
      </c>
      <c r="DT21" s="98">
        <v>1176</v>
      </c>
      <c r="DU21" s="98">
        <v>2332</v>
      </c>
      <c r="DV21" s="98">
        <v>1025</v>
      </c>
      <c r="DW21" s="98">
        <v>1066</v>
      </c>
      <c r="DX21" s="98">
        <v>2091</v>
      </c>
      <c r="DY21" s="98">
        <v>50</v>
      </c>
      <c r="DZ21" s="98">
        <v>47</v>
      </c>
      <c r="EA21" s="98">
        <v>97</v>
      </c>
      <c r="EB21" s="98">
        <v>1075</v>
      </c>
      <c r="EC21" s="98">
        <v>1113</v>
      </c>
      <c r="ED21" s="98">
        <v>2188</v>
      </c>
      <c r="EE21" s="116">
        <v>0.92993079584775085</v>
      </c>
      <c r="EF21" s="116">
        <v>0.9464285714285714</v>
      </c>
      <c r="EG21" s="116">
        <v>0.93825042881646659</v>
      </c>
      <c r="EH21" s="96">
        <v>1286</v>
      </c>
      <c r="EI21" s="96">
        <v>1439</v>
      </c>
      <c r="EJ21" s="96">
        <v>2725</v>
      </c>
      <c r="EK21" s="96">
        <v>1190</v>
      </c>
      <c r="EL21" s="96">
        <v>1348</v>
      </c>
      <c r="EM21" s="96">
        <v>2538</v>
      </c>
      <c r="EN21" s="96">
        <v>49</v>
      </c>
      <c r="EO21" s="96">
        <v>38</v>
      </c>
      <c r="EP21" s="96">
        <v>87</v>
      </c>
      <c r="EQ21" s="97">
        <v>1239</v>
      </c>
      <c r="ER21" s="98">
        <v>1386</v>
      </c>
      <c r="ES21" s="98">
        <v>2625</v>
      </c>
      <c r="ET21" s="116">
        <v>0.96345256609642305</v>
      </c>
      <c r="EU21" s="116">
        <v>0.9631688672689368</v>
      </c>
      <c r="EV21" s="116">
        <v>0.96330275229357798</v>
      </c>
      <c r="EW21" s="96">
        <v>26</v>
      </c>
      <c r="EX21" s="96">
        <v>23</v>
      </c>
      <c r="EY21" s="96">
        <v>49</v>
      </c>
      <c r="EZ21" s="96">
        <v>9</v>
      </c>
      <c r="FA21" s="96">
        <v>10</v>
      </c>
      <c r="FB21" s="96">
        <v>19</v>
      </c>
      <c r="FC21" s="96">
        <v>5</v>
      </c>
      <c r="FD21" s="96">
        <v>3</v>
      </c>
      <c r="FE21" s="96">
        <v>8</v>
      </c>
      <c r="FF21" s="97">
        <v>14</v>
      </c>
      <c r="FG21" s="98">
        <v>13</v>
      </c>
      <c r="FH21" s="98">
        <v>27</v>
      </c>
      <c r="FI21" s="116">
        <v>0.53846153846153844</v>
      </c>
      <c r="FJ21" s="116">
        <v>0.56521739130434778</v>
      </c>
      <c r="FK21" s="116">
        <v>0.55102040816326525</v>
      </c>
      <c r="FL21" s="98">
        <v>1312</v>
      </c>
      <c r="FM21" s="98">
        <v>1462</v>
      </c>
      <c r="FN21" s="98">
        <v>2774</v>
      </c>
      <c r="FO21" s="98">
        <v>1199</v>
      </c>
      <c r="FP21" s="98">
        <v>1358</v>
      </c>
      <c r="FQ21" s="98">
        <v>2557</v>
      </c>
      <c r="FR21" s="98">
        <v>54</v>
      </c>
      <c r="FS21" s="98">
        <v>41</v>
      </c>
      <c r="FT21" s="98">
        <v>95</v>
      </c>
      <c r="FU21" s="98">
        <v>1253</v>
      </c>
      <c r="FV21" s="98">
        <v>1399</v>
      </c>
      <c r="FW21" s="98">
        <v>2652</v>
      </c>
      <c r="FX21" s="116">
        <v>0.95503048780487809</v>
      </c>
      <c r="FY21" s="116">
        <v>0.95690834473324216</v>
      </c>
      <c r="FZ21" s="116">
        <v>0.95602018745493866</v>
      </c>
      <c r="GA21" s="98">
        <v>9388</v>
      </c>
      <c r="GB21" s="98">
        <v>9453</v>
      </c>
      <c r="GC21" s="98">
        <v>18841</v>
      </c>
      <c r="GD21" s="101">
        <v>4313</v>
      </c>
      <c r="GE21" s="101">
        <v>5727</v>
      </c>
      <c r="GF21" s="98">
        <v>10040</v>
      </c>
      <c r="GG21" s="100">
        <v>45.94162760971453</v>
      </c>
      <c r="GH21" s="100">
        <v>60.583941605839414</v>
      </c>
      <c r="GI21" s="100">
        <v>53.288042035985349</v>
      </c>
      <c r="GJ21" s="98">
        <v>113</v>
      </c>
      <c r="GK21" s="98">
        <v>138</v>
      </c>
      <c r="GL21" s="98">
        <v>251</v>
      </c>
      <c r="GM21" s="101">
        <v>40</v>
      </c>
      <c r="GN21" s="101">
        <v>74</v>
      </c>
      <c r="GO21" s="98">
        <v>114</v>
      </c>
      <c r="GP21" s="100">
        <v>35.398230088495573</v>
      </c>
      <c r="GQ21" s="100">
        <v>53.623188405797102</v>
      </c>
      <c r="GR21" s="100">
        <v>45.418326693227094</v>
      </c>
      <c r="GS21" s="98">
        <v>1075</v>
      </c>
      <c r="GT21" s="98">
        <v>1113</v>
      </c>
      <c r="GU21" s="98">
        <v>2188</v>
      </c>
      <c r="GV21" s="101">
        <v>422</v>
      </c>
      <c r="GW21" s="101">
        <v>606</v>
      </c>
      <c r="GX21" s="98">
        <v>1028</v>
      </c>
      <c r="GY21" s="100">
        <v>39.255813953488371</v>
      </c>
      <c r="GZ21" s="100">
        <v>54.447439353099732</v>
      </c>
      <c r="HA21" s="100">
        <v>46.983546617915906</v>
      </c>
      <c r="HB21" s="98">
        <v>1253</v>
      </c>
      <c r="HC21" s="98">
        <v>1399</v>
      </c>
      <c r="HD21" s="98">
        <v>2652</v>
      </c>
      <c r="HE21" s="101">
        <v>586</v>
      </c>
      <c r="HF21" s="101">
        <v>903</v>
      </c>
      <c r="HG21" s="98">
        <v>1489</v>
      </c>
      <c r="HH21" s="100">
        <v>46.767757382282525</v>
      </c>
      <c r="HI21" s="100">
        <v>64.546104360257331</v>
      </c>
      <c r="HJ21" s="100">
        <v>56.146304675716443</v>
      </c>
    </row>
    <row r="22" spans="1:219" ht="28.5">
      <c r="A22" s="420">
        <v>14</v>
      </c>
      <c r="B22" s="118" t="s">
        <v>149</v>
      </c>
      <c r="C22" s="96">
        <v>454321</v>
      </c>
      <c r="D22" s="96">
        <v>329362</v>
      </c>
      <c r="E22" s="96">
        <v>783683</v>
      </c>
      <c r="F22" s="96">
        <v>289255</v>
      </c>
      <c r="G22" s="96">
        <v>239404</v>
      </c>
      <c r="H22" s="96">
        <v>528659</v>
      </c>
      <c r="I22" s="96">
        <v>3478</v>
      </c>
      <c r="J22" s="96">
        <v>2770</v>
      </c>
      <c r="K22" s="96">
        <v>6248</v>
      </c>
      <c r="L22" s="97">
        <v>292733</v>
      </c>
      <c r="M22" s="98">
        <v>242174</v>
      </c>
      <c r="N22" s="98">
        <v>534907</v>
      </c>
      <c r="O22" s="116">
        <v>0.64433077053448995</v>
      </c>
      <c r="P22" s="116">
        <v>0.73528215155360965</v>
      </c>
      <c r="Q22" s="116">
        <v>0.68255531892359533</v>
      </c>
      <c r="R22" s="96">
        <v>20891</v>
      </c>
      <c r="S22" s="96">
        <v>8182</v>
      </c>
      <c r="T22" s="96">
        <v>29073</v>
      </c>
      <c r="U22" s="96">
        <v>1019</v>
      </c>
      <c r="V22" s="96">
        <v>866</v>
      </c>
      <c r="W22" s="96">
        <v>1885</v>
      </c>
      <c r="X22" s="96">
        <v>137</v>
      </c>
      <c r="Y22" s="96">
        <v>157</v>
      </c>
      <c r="Z22" s="96">
        <v>294</v>
      </c>
      <c r="AA22" s="97">
        <v>1156</v>
      </c>
      <c r="AB22" s="98">
        <v>1023</v>
      </c>
      <c r="AC22" s="98">
        <v>2179</v>
      </c>
      <c r="AD22" s="116">
        <v>5.5334833181752911E-2</v>
      </c>
      <c r="AE22" s="116">
        <v>0.12503055487655829</v>
      </c>
      <c r="AF22" s="116">
        <v>7.4949265641660642E-2</v>
      </c>
      <c r="AG22" s="98">
        <v>475212</v>
      </c>
      <c r="AH22" s="98">
        <v>337544</v>
      </c>
      <c r="AI22" s="98">
        <v>812756</v>
      </c>
      <c r="AJ22" s="98">
        <v>290274</v>
      </c>
      <c r="AK22" s="98">
        <v>240270</v>
      </c>
      <c r="AL22" s="98">
        <v>530544</v>
      </c>
      <c r="AM22" s="98">
        <v>3615</v>
      </c>
      <c r="AN22" s="98">
        <v>2927</v>
      </c>
      <c r="AO22" s="98">
        <v>6542</v>
      </c>
      <c r="AP22" s="98">
        <v>293889</v>
      </c>
      <c r="AQ22" s="98">
        <v>243197</v>
      </c>
      <c r="AR22" s="98">
        <v>537086</v>
      </c>
      <c r="AS22" s="116">
        <v>0.61843766571551229</v>
      </c>
      <c r="AT22" s="116">
        <v>0.72048977318512553</v>
      </c>
      <c r="AU22" s="116">
        <v>0.66082071371973872</v>
      </c>
      <c r="AV22" s="96">
        <v>34020</v>
      </c>
      <c r="AW22" s="96">
        <v>26847</v>
      </c>
      <c r="AX22" s="96">
        <v>60867</v>
      </c>
      <c r="AY22" s="96">
        <v>20429</v>
      </c>
      <c r="AZ22" s="96">
        <v>18505</v>
      </c>
      <c r="BA22" s="96">
        <v>38934</v>
      </c>
      <c r="BB22" s="96">
        <v>326</v>
      </c>
      <c r="BC22" s="96">
        <v>300</v>
      </c>
      <c r="BD22" s="96">
        <v>626</v>
      </c>
      <c r="BE22" s="97">
        <v>20755</v>
      </c>
      <c r="BF22" s="98">
        <v>18805</v>
      </c>
      <c r="BG22" s="98">
        <v>39560</v>
      </c>
      <c r="BH22" s="116">
        <v>0.61008230452674894</v>
      </c>
      <c r="BI22" s="116">
        <v>0.70045070212686711</v>
      </c>
      <c r="BJ22" s="116">
        <v>0.64994167611349341</v>
      </c>
      <c r="BK22" s="96">
        <v>2214</v>
      </c>
      <c r="BL22" s="96">
        <v>1087</v>
      </c>
      <c r="BM22" s="96">
        <v>3301</v>
      </c>
      <c r="BN22" s="96">
        <v>75</v>
      </c>
      <c r="BO22" s="96">
        <v>80</v>
      </c>
      <c r="BP22" s="96">
        <v>155</v>
      </c>
      <c r="BQ22" s="96">
        <v>11</v>
      </c>
      <c r="BR22" s="96">
        <v>13</v>
      </c>
      <c r="BS22" s="96">
        <v>24</v>
      </c>
      <c r="BT22" s="97">
        <v>86</v>
      </c>
      <c r="BU22" s="98">
        <v>93</v>
      </c>
      <c r="BV22" s="98">
        <v>179</v>
      </c>
      <c r="BW22" s="116">
        <v>3.8843721770551037E-2</v>
      </c>
      <c r="BX22" s="116">
        <v>8.5556577736890529E-2</v>
      </c>
      <c r="BY22" s="116">
        <v>5.422599212359891E-2</v>
      </c>
      <c r="BZ22" s="98">
        <v>36234</v>
      </c>
      <c r="CA22" s="98">
        <v>27934</v>
      </c>
      <c r="CB22" s="98">
        <v>64168</v>
      </c>
      <c r="CC22" s="98">
        <v>20504</v>
      </c>
      <c r="CD22" s="98">
        <v>18585</v>
      </c>
      <c r="CE22" s="98">
        <v>39089</v>
      </c>
      <c r="CF22" s="98">
        <v>337</v>
      </c>
      <c r="CG22" s="98">
        <v>313</v>
      </c>
      <c r="CH22" s="98">
        <v>650</v>
      </c>
      <c r="CI22" s="98">
        <v>20841</v>
      </c>
      <c r="CJ22" s="98">
        <v>18898</v>
      </c>
      <c r="CK22" s="98">
        <v>39739</v>
      </c>
      <c r="CL22" s="116">
        <v>0.57517800960423915</v>
      </c>
      <c r="CM22" s="116">
        <v>0.67652323333571995</v>
      </c>
      <c r="CN22" s="116">
        <v>0.61929622241615756</v>
      </c>
      <c r="CO22" s="96">
        <v>59004</v>
      </c>
      <c r="CP22" s="96">
        <v>53558</v>
      </c>
      <c r="CQ22" s="96">
        <v>112562</v>
      </c>
      <c r="CR22" s="96">
        <v>28843</v>
      </c>
      <c r="CS22" s="96">
        <v>31200</v>
      </c>
      <c r="CT22" s="96">
        <v>60043</v>
      </c>
      <c r="CU22" s="96">
        <v>388</v>
      </c>
      <c r="CV22" s="96">
        <v>449</v>
      </c>
      <c r="CW22" s="96">
        <v>837</v>
      </c>
      <c r="CX22" s="97">
        <v>29231</v>
      </c>
      <c r="CY22" s="98">
        <v>31649</v>
      </c>
      <c r="CZ22" s="98">
        <v>60880</v>
      </c>
      <c r="DA22" s="116">
        <v>0.49540709104467495</v>
      </c>
      <c r="DB22" s="116">
        <v>0.59092945965121924</v>
      </c>
      <c r="DC22" s="116">
        <v>0.54085748298715375</v>
      </c>
      <c r="DD22" s="96">
        <v>1987</v>
      </c>
      <c r="DE22" s="96">
        <v>742</v>
      </c>
      <c r="DF22" s="96">
        <v>2729</v>
      </c>
      <c r="DG22" s="96">
        <v>80</v>
      </c>
      <c r="DH22" s="96">
        <v>44</v>
      </c>
      <c r="DI22" s="96">
        <v>124</v>
      </c>
      <c r="DJ22" s="96">
        <v>9</v>
      </c>
      <c r="DK22" s="96">
        <v>6</v>
      </c>
      <c r="DL22" s="96">
        <v>15</v>
      </c>
      <c r="DM22" s="97">
        <v>89</v>
      </c>
      <c r="DN22" s="98">
        <v>50</v>
      </c>
      <c r="DO22" s="98">
        <v>139</v>
      </c>
      <c r="DP22" s="116">
        <v>4.479114242576749E-2</v>
      </c>
      <c r="DQ22" s="116">
        <v>6.7385444743935305E-2</v>
      </c>
      <c r="DR22" s="116">
        <v>5.093440820813485E-2</v>
      </c>
      <c r="DS22" s="98">
        <v>60991</v>
      </c>
      <c r="DT22" s="98">
        <v>54300</v>
      </c>
      <c r="DU22" s="98">
        <v>115291</v>
      </c>
      <c r="DV22" s="98">
        <v>28923</v>
      </c>
      <c r="DW22" s="98">
        <v>31244</v>
      </c>
      <c r="DX22" s="98">
        <v>60167</v>
      </c>
      <c r="DY22" s="98">
        <v>397</v>
      </c>
      <c r="DZ22" s="98">
        <v>455</v>
      </c>
      <c r="EA22" s="98">
        <v>852</v>
      </c>
      <c r="EB22" s="98">
        <v>29320</v>
      </c>
      <c r="EC22" s="98">
        <v>31699</v>
      </c>
      <c r="ED22" s="98">
        <v>61019</v>
      </c>
      <c r="EE22" s="116">
        <v>0.48072666458985752</v>
      </c>
      <c r="EF22" s="116">
        <v>0.58377532228360962</v>
      </c>
      <c r="EG22" s="116">
        <v>0.52926074021389358</v>
      </c>
      <c r="EH22" s="96">
        <v>217845</v>
      </c>
      <c r="EI22" s="96">
        <v>144972</v>
      </c>
      <c r="EJ22" s="96">
        <v>362817</v>
      </c>
      <c r="EK22" s="96">
        <v>131052</v>
      </c>
      <c r="EL22" s="96">
        <v>102434</v>
      </c>
      <c r="EM22" s="96">
        <v>233486</v>
      </c>
      <c r="EN22" s="96">
        <v>1748</v>
      </c>
      <c r="EO22" s="96">
        <v>1256</v>
      </c>
      <c r="EP22" s="96">
        <v>3004</v>
      </c>
      <c r="EQ22" s="97">
        <v>132800</v>
      </c>
      <c r="ER22" s="98">
        <v>103690</v>
      </c>
      <c r="ES22" s="98">
        <v>236490</v>
      </c>
      <c r="ET22" s="116">
        <v>0.60960774862861211</v>
      </c>
      <c r="EU22" s="116">
        <v>0.71524156388819915</v>
      </c>
      <c r="EV22" s="116">
        <v>0.65181620486360892</v>
      </c>
      <c r="EW22" s="96">
        <v>12174</v>
      </c>
      <c r="EX22" s="96">
        <v>4504</v>
      </c>
      <c r="EY22" s="96">
        <v>16678</v>
      </c>
      <c r="EZ22" s="96">
        <v>503</v>
      </c>
      <c r="FA22" s="96">
        <v>432</v>
      </c>
      <c r="FB22" s="96">
        <v>935</v>
      </c>
      <c r="FC22" s="96">
        <v>68</v>
      </c>
      <c r="FD22" s="96">
        <v>77</v>
      </c>
      <c r="FE22" s="96">
        <v>145</v>
      </c>
      <c r="FF22" s="97">
        <v>571</v>
      </c>
      <c r="FG22" s="98">
        <v>509</v>
      </c>
      <c r="FH22" s="98">
        <v>1080</v>
      </c>
      <c r="FI22" s="116">
        <v>4.6903236405454247E-2</v>
      </c>
      <c r="FJ22" s="116">
        <v>0.11301065719360569</v>
      </c>
      <c r="FK22" s="116">
        <v>6.4755965943158647E-2</v>
      </c>
      <c r="FL22" s="98">
        <v>230019</v>
      </c>
      <c r="FM22" s="98">
        <v>149476</v>
      </c>
      <c r="FN22" s="98">
        <v>379495</v>
      </c>
      <c r="FO22" s="98">
        <v>131555</v>
      </c>
      <c r="FP22" s="98">
        <v>102866</v>
      </c>
      <c r="FQ22" s="98">
        <v>234421</v>
      </c>
      <c r="FR22" s="98">
        <v>1816</v>
      </c>
      <c r="FS22" s="98">
        <v>1333</v>
      </c>
      <c r="FT22" s="98">
        <v>3149</v>
      </c>
      <c r="FU22" s="98">
        <v>133371</v>
      </c>
      <c r="FV22" s="98">
        <v>104199</v>
      </c>
      <c r="FW22" s="98">
        <v>237570</v>
      </c>
      <c r="FX22" s="116">
        <v>0.57982601437272574</v>
      </c>
      <c r="FY22" s="116">
        <v>0.69709518584923336</v>
      </c>
      <c r="FZ22" s="116">
        <v>0.62601615304549463</v>
      </c>
      <c r="GA22" s="98">
        <v>293889</v>
      </c>
      <c r="GB22" s="98">
        <v>243197</v>
      </c>
      <c r="GC22" s="98">
        <v>537086</v>
      </c>
      <c r="GD22" s="101">
        <v>132842</v>
      </c>
      <c r="GE22" s="101">
        <v>121924</v>
      </c>
      <c r="GF22" s="98">
        <v>254766</v>
      </c>
      <c r="GG22" s="100">
        <v>45.201419583584276</v>
      </c>
      <c r="GH22" s="100">
        <v>50.133842111539202</v>
      </c>
      <c r="GI22" s="100">
        <v>47.434861456079659</v>
      </c>
      <c r="GJ22" s="98">
        <v>20841</v>
      </c>
      <c r="GK22" s="98">
        <v>18898</v>
      </c>
      <c r="GL22" s="98">
        <v>39739</v>
      </c>
      <c r="GM22" s="101">
        <v>8347</v>
      </c>
      <c r="GN22" s="101">
        <v>8295</v>
      </c>
      <c r="GO22" s="98">
        <v>16642</v>
      </c>
      <c r="GP22" s="100">
        <v>40.050861283047837</v>
      </c>
      <c r="GQ22" s="100">
        <v>43.893533707270613</v>
      </c>
      <c r="GR22" s="100">
        <v>41.878255617906845</v>
      </c>
      <c r="GS22" s="98">
        <v>29320</v>
      </c>
      <c r="GT22" s="98">
        <v>31699</v>
      </c>
      <c r="GU22" s="98">
        <v>61019</v>
      </c>
      <c r="GV22" s="101">
        <v>7469</v>
      </c>
      <c r="GW22" s="101">
        <v>9164</v>
      </c>
      <c r="GX22" s="98">
        <v>16633</v>
      </c>
      <c r="GY22" s="100">
        <v>25.474079126875854</v>
      </c>
      <c r="GZ22" s="100">
        <v>28.909429319536894</v>
      </c>
      <c r="HA22" s="100">
        <v>27.258722692931709</v>
      </c>
      <c r="HB22" s="98">
        <v>133371</v>
      </c>
      <c r="HC22" s="98">
        <v>104199</v>
      </c>
      <c r="HD22" s="98">
        <v>237570</v>
      </c>
      <c r="HE22" s="101">
        <v>54549</v>
      </c>
      <c r="HF22" s="101">
        <v>48406</v>
      </c>
      <c r="HG22" s="98">
        <v>102955</v>
      </c>
      <c r="HH22" s="100">
        <v>40.900195694716245</v>
      </c>
      <c r="HI22" s="100">
        <v>46.455340262382556</v>
      </c>
      <c r="HJ22" s="100">
        <v>43.336700761880707</v>
      </c>
    </row>
    <row r="23" spans="1:219">
      <c r="A23" s="420">
        <v>15</v>
      </c>
      <c r="B23" s="118" t="s">
        <v>140</v>
      </c>
      <c r="C23" s="96">
        <v>200751</v>
      </c>
      <c r="D23" s="96">
        <v>169187</v>
      </c>
      <c r="E23" s="96">
        <v>369938</v>
      </c>
      <c r="F23" s="96">
        <v>95566</v>
      </c>
      <c r="G23" s="96">
        <v>93576</v>
      </c>
      <c r="H23" s="96">
        <v>189142</v>
      </c>
      <c r="I23" s="96">
        <v>2675</v>
      </c>
      <c r="J23" s="96">
        <v>2236</v>
      </c>
      <c r="K23" s="96">
        <v>4911</v>
      </c>
      <c r="L23" s="97">
        <v>98241</v>
      </c>
      <c r="M23" s="98">
        <v>95812</v>
      </c>
      <c r="N23" s="98">
        <v>194053</v>
      </c>
      <c r="O23" s="116">
        <v>0.48936742531793115</v>
      </c>
      <c r="P23" s="116">
        <v>0.56630828609763162</v>
      </c>
      <c r="Q23" s="116">
        <v>0.52455546605106806</v>
      </c>
      <c r="R23" s="403"/>
      <c r="S23" s="403"/>
      <c r="T23" s="403"/>
      <c r="U23" s="403"/>
      <c r="V23" s="403"/>
      <c r="W23" s="403"/>
      <c r="X23" s="403"/>
      <c r="Y23" s="403"/>
      <c r="Z23" s="403"/>
      <c r="AA23" s="404"/>
      <c r="AB23" s="404"/>
      <c r="AC23" s="404"/>
      <c r="AD23" s="405"/>
      <c r="AE23" s="405"/>
      <c r="AF23" s="405"/>
      <c r="AG23" s="98">
        <v>200751</v>
      </c>
      <c r="AH23" s="98">
        <v>169187</v>
      </c>
      <c r="AI23" s="98">
        <v>369938</v>
      </c>
      <c r="AJ23" s="98">
        <v>95566</v>
      </c>
      <c r="AK23" s="98">
        <v>93576</v>
      </c>
      <c r="AL23" s="98">
        <v>189142</v>
      </c>
      <c r="AM23" s="98">
        <v>2675</v>
      </c>
      <c r="AN23" s="98">
        <v>2236</v>
      </c>
      <c r="AO23" s="98">
        <v>4911</v>
      </c>
      <c r="AP23" s="98">
        <v>98241</v>
      </c>
      <c r="AQ23" s="98">
        <v>95812</v>
      </c>
      <c r="AR23" s="98">
        <v>194053</v>
      </c>
      <c r="AS23" s="116">
        <v>0.48936742531793115</v>
      </c>
      <c r="AT23" s="116">
        <v>0.56630828609763162</v>
      </c>
      <c r="AU23" s="116">
        <v>0.52455546605106806</v>
      </c>
      <c r="AV23" s="96">
        <v>56878</v>
      </c>
      <c r="AW23" s="96">
        <v>54868</v>
      </c>
      <c r="AX23" s="96">
        <v>111746</v>
      </c>
      <c r="AY23" s="96">
        <v>21422</v>
      </c>
      <c r="AZ23" s="96">
        <v>22886</v>
      </c>
      <c r="BA23" s="96">
        <v>44308</v>
      </c>
      <c r="BB23" s="96">
        <v>698</v>
      </c>
      <c r="BC23" s="96">
        <v>695</v>
      </c>
      <c r="BD23" s="96">
        <v>1393</v>
      </c>
      <c r="BE23" s="97">
        <v>22120</v>
      </c>
      <c r="BF23" s="98">
        <v>23581</v>
      </c>
      <c r="BG23" s="98">
        <v>45701</v>
      </c>
      <c r="BH23" s="116">
        <v>0.38890256338127221</v>
      </c>
      <c r="BI23" s="116">
        <v>0.42977691915141797</v>
      </c>
      <c r="BJ23" s="116">
        <v>0.40897213323071968</v>
      </c>
      <c r="BK23" s="403"/>
      <c r="BL23" s="403"/>
      <c r="BM23" s="403"/>
      <c r="BN23" s="403"/>
      <c r="BO23" s="403"/>
      <c r="BP23" s="403"/>
      <c r="BQ23" s="403"/>
      <c r="BR23" s="403"/>
      <c r="BS23" s="403"/>
      <c r="BT23" s="404"/>
      <c r="BU23" s="404"/>
      <c r="BV23" s="404"/>
      <c r="BW23" s="405"/>
      <c r="BX23" s="405"/>
      <c r="BY23" s="405"/>
      <c r="BZ23" s="98">
        <v>56878</v>
      </c>
      <c r="CA23" s="98">
        <v>54868</v>
      </c>
      <c r="CB23" s="98">
        <v>111746</v>
      </c>
      <c r="CC23" s="98">
        <v>21422</v>
      </c>
      <c r="CD23" s="98">
        <v>22886</v>
      </c>
      <c r="CE23" s="98">
        <v>44308</v>
      </c>
      <c r="CF23" s="98">
        <v>698</v>
      </c>
      <c r="CG23" s="98">
        <v>695</v>
      </c>
      <c r="CH23" s="98">
        <v>1393</v>
      </c>
      <c r="CI23" s="98">
        <v>22120</v>
      </c>
      <c r="CJ23" s="98">
        <v>23581</v>
      </c>
      <c r="CK23" s="98">
        <v>45701</v>
      </c>
      <c r="CL23" s="116">
        <v>0.38890256338127221</v>
      </c>
      <c r="CM23" s="116">
        <v>0.42977691915141797</v>
      </c>
      <c r="CN23" s="116">
        <v>0.40897213323071968</v>
      </c>
      <c r="CO23" s="403"/>
      <c r="CP23" s="403"/>
      <c r="CQ23" s="403"/>
      <c r="CR23" s="403"/>
      <c r="CS23" s="403"/>
      <c r="CT23" s="403"/>
      <c r="CU23" s="403"/>
      <c r="CV23" s="403"/>
      <c r="CW23" s="403"/>
      <c r="CX23" s="404"/>
      <c r="CY23" s="404"/>
      <c r="CZ23" s="404"/>
      <c r="DA23" s="405"/>
      <c r="DB23" s="405"/>
      <c r="DC23" s="405"/>
      <c r="DD23" s="403"/>
      <c r="DE23" s="403"/>
      <c r="DF23" s="403"/>
      <c r="DG23" s="403"/>
      <c r="DH23" s="403"/>
      <c r="DI23" s="403"/>
      <c r="DJ23" s="403"/>
      <c r="DK23" s="403"/>
      <c r="DL23" s="403"/>
      <c r="DM23" s="404"/>
      <c r="DN23" s="404"/>
      <c r="DO23" s="404"/>
      <c r="DP23" s="405"/>
      <c r="DQ23" s="405"/>
      <c r="DR23" s="405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5"/>
      <c r="EF23" s="405"/>
      <c r="EG23" s="405"/>
      <c r="EH23" s="96">
        <v>96049</v>
      </c>
      <c r="EI23" s="96">
        <v>55534</v>
      </c>
      <c r="EJ23" s="96">
        <v>151583</v>
      </c>
      <c r="EK23" s="96">
        <v>32993</v>
      </c>
      <c r="EL23" s="96">
        <v>31570</v>
      </c>
      <c r="EM23" s="96">
        <v>64563</v>
      </c>
      <c r="EN23" s="96">
        <v>938</v>
      </c>
      <c r="EO23" s="96">
        <v>779</v>
      </c>
      <c r="EP23" s="96">
        <v>1717</v>
      </c>
      <c r="EQ23" s="97">
        <v>33931</v>
      </c>
      <c r="ER23" s="98">
        <v>32349</v>
      </c>
      <c r="ES23" s="98">
        <v>66280</v>
      </c>
      <c r="ET23" s="116">
        <v>0.35326760299430499</v>
      </c>
      <c r="EU23" s="116">
        <v>0.58250801310908629</v>
      </c>
      <c r="EV23" s="116">
        <v>0.43725219846552715</v>
      </c>
      <c r="EW23" s="403"/>
      <c r="EX23" s="403"/>
      <c r="EY23" s="403"/>
      <c r="EZ23" s="403"/>
      <c r="FA23" s="403"/>
      <c r="FB23" s="403"/>
      <c r="FC23" s="403"/>
      <c r="FD23" s="403"/>
      <c r="FE23" s="403"/>
      <c r="FF23" s="404"/>
      <c r="FG23" s="404"/>
      <c r="FH23" s="404"/>
      <c r="FI23" s="405"/>
      <c r="FJ23" s="405"/>
      <c r="FK23" s="405"/>
      <c r="FL23" s="98">
        <v>96049</v>
      </c>
      <c r="FM23" s="98">
        <v>55534</v>
      </c>
      <c r="FN23" s="98">
        <v>151583</v>
      </c>
      <c r="FO23" s="98">
        <v>32993</v>
      </c>
      <c r="FP23" s="98">
        <v>31570</v>
      </c>
      <c r="FQ23" s="98">
        <v>64563</v>
      </c>
      <c r="FR23" s="98">
        <v>938</v>
      </c>
      <c r="FS23" s="98">
        <v>779</v>
      </c>
      <c r="FT23" s="98">
        <v>1717</v>
      </c>
      <c r="FU23" s="98">
        <v>33931</v>
      </c>
      <c r="FV23" s="98">
        <v>32349</v>
      </c>
      <c r="FW23" s="98">
        <v>66280</v>
      </c>
      <c r="FX23" s="116">
        <v>0.35326760299430499</v>
      </c>
      <c r="FY23" s="116">
        <v>0.58250801310908629</v>
      </c>
      <c r="FZ23" s="116">
        <v>0.43725219846552715</v>
      </c>
      <c r="GA23" s="98">
        <v>98241</v>
      </c>
      <c r="GB23" s="98">
        <v>95812</v>
      </c>
      <c r="GC23" s="98">
        <v>194053</v>
      </c>
      <c r="GD23" s="101">
        <v>66998</v>
      </c>
      <c r="GE23" s="101">
        <v>71857</v>
      </c>
      <c r="GF23" s="98">
        <v>138855</v>
      </c>
      <c r="GG23" s="100">
        <v>68.197595708512736</v>
      </c>
      <c r="GH23" s="100">
        <v>74.997912578800154</v>
      </c>
      <c r="GI23" s="100">
        <v>71.555193684199679</v>
      </c>
      <c r="GJ23" s="98">
        <v>22120</v>
      </c>
      <c r="GK23" s="98">
        <v>23581</v>
      </c>
      <c r="GL23" s="98">
        <v>45701</v>
      </c>
      <c r="GM23" s="101">
        <v>11970</v>
      </c>
      <c r="GN23" s="101">
        <v>14086</v>
      </c>
      <c r="GO23" s="98">
        <v>26056</v>
      </c>
      <c r="GP23" s="100">
        <v>54.11392405063291</v>
      </c>
      <c r="GQ23" s="100">
        <v>59.734532038505577</v>
      </c>
      <c r="GR23" s="100">
        <v>57.014069714010631</v>
      </c>
      <c r="GS23" s="404"/>
      <c r="GT23" s="404"/>
      <c r="GU23" s="404"/>
      <c r="GV23" s="406"/>
      <c r="GW23" s="406"/>
      <c r="GX23" s="404"/>
      <c r="GY23" s="407"/>
      <c r="GZ23" s="407"/>
      <c r="HA23" s="407"/>
      <c r="HB23" s="98">
        <v>33931</v>
      </c>
      <c r="HC23" s="98">
        <v>32349</v>
      </c>
      <c r="HD23" s="98">
        <v>66280</v>
      </c>
      <c r="HE23" s="101">
        <v>23083</v>
      </c>
      <c r="HF23" s="101">
        <v>24304</v>
      </c>
      <c r="HG23" s="98">
        <v>47387</v>
      </c>
      <c r="HH23" s="100">
        <v>68.029235802068911</v>
      </c>
      <c r="HI23" s="100">
        <v>75.130606819376183</v>
      </c>
      <c r="HJ23" s="100">
        <v>71.495171997585999</v>
      </c>
    </row>
    <row r="24" spans="1:219">
      <c r="A24" s="420">
        <v>16</v>
      </c>
      <c r="B24" s="118" t="s">
        <v>150</v>
      </c>
      <c r="C24" s="96">
        <v>56395</v>
      </c>
      <c r="D24" s="96">
        <v>52097</v>
      </c>
      <c r="E24" s="96">
        <v>108492</v>
      </c>
      <c r="F24" s="96">
        <v>34253</v>
      </c>
      <c r="G24" s="96">
        <v>34882</v>
      </c>
      <c r="H24" s="96">
        <v>69135</v>
      </c>
      <c r="I24" s="96">
        <v>5104</v>
      </c>
      <c r="J24" s="96">
        <v>4308</v>
      </c>
      <c r="K24" s="96">
        <v>9412</v>
      </c>
      <c r="L24" s="97">
        <v>39357</v>
      </c>
      <c r="M24" s="98">
        <v>39190</v>
      </c>
      <c r="N24" s="98">
        <v>78547</v>
      </c>
      <c r="O24" s="116">
        <v>0.69788101782072876</v>
      </c>
      <c r="P24" s="116">
        <v>0.75225060944008293</v>
      </c>
      <c r="Q24" s="116">
        <v>0.72398886553847286</v>
      </c>
      <c r="R24" s="403"/>
      <c r="S24" s="403"/>
      <c r="T24" s="403"/>
      <c r="U24" s="403"/>
      <c r="V24" s="403"/>
      <c r="W24" s="403"/>
      <c r="X24" s="403"/>
      <c r="Y24" s="403"/>
      <c r="Z24" s="403"/>
      <c r="AA24" s="404"/>
      <c r="AB24" s="404"/>
      <c r="AC24" s="404"/>
      <c r="AD24" s="405"/>
      <c r="AE24" s="405"/>
      <c r="AF24" s="405"/>
      <c r="AG24" s="98">
        <v>56395</v>
      </c>
      <c r="AH24" s="98">
        <v>52097</v>
      </c>
      <c r="AI24" s="98">
        <v>108492</v>
      </c>
      <c r="AJ24" s="98">
        <v>34253</v>
      </c>
      <c r="AK24" s="98">
        <v>34882</v>
      </c>
      <c r="AL24" s="98">
        <v>69135</v>
      </c>
      <c r="AM24" s="98">
        <v>5104</v>
      </c>
      <c r="AN24" s="98">
        <v>4308</v>
      </c>
      <c r="AO24" s="98">
        <v>9412</v>
      </c>
      <c r="AP24" s="98">
        <v>39357</v>
      </c>
      <c r="AQ24" s="98">
        <v>39190</v>
      </c>
      <c r="AR24" s="98">
        <v>78547</v>
      </c>
      <c r="AS24" s="116">
        <v>0.69788101782072876</v>
      </c>
      <c r="AT24" s="116">
        <v>0.75225060944008293</v>
      </c>
      <c r="AU24" s="116">
        <v>0.72398886553847286</v>
      </c>
      <c r="AV24" s="96">
        <v>16494</v>
      </c>
      <c r="AW24" s="96">
        <v>15776</v>
      </c>
      <c r="AX24" s="96">
        <v>32270</v>
      </c>
      <c r="AY24" s="96">
        <v>8906</v>
      </c>
      <c r="AZ24" s="96">
        <v>9533</v>
      </c>
      <c r="BA24" s="96">
        <v>18439</v>
      </c>
      <c r="BB24" s="96">
        <v>1604</v>
      </c>
      <c r="BC24" s="96">
        <v>1447</v>
      </c>
      <c r="BD24" s="96">
        <v>3051</v>
      </c>
      <c r="BE24" s="97">
        <v>10510</v>
      </c>
      <c r="BF24" s="98">
        <v>10980</v>
      </c>
      <c r="BG24" s="98">
        <v>21490</v>
      </c>
      <c r="BH24" s="116">
        <v>0.63720140657208679</v>
      </c>
      <c r="BI24" s="116">
        <v>0.69599391480730222</v>
      </c>
      <c r="BJ24" s="116">
        <v>0.66594360086767901</v>
      </c>
      <c r="BK24" s="403"/>
      <c r="BL24" s="403"/>
      <c r="BM24" s="403"/>
      <c r="BN24" s="403"/>
      <c r="BO24" s="403"/>
      <c r="BP24" s="403"/>
      <c r="BQ24" s="403"/>
      <c r="BR24" s="403"/>
      <c r="BS24" s="403"/>
      <c r="BT24" s="404"/>
      <c r="BU24" s="404"/>
      <c r="BV24" s="404"/>
      <c r="BW24" s="405"/>
      <c r="BX24" s="405"/>
      <c r="BY24" s="405"/>
      <c r="BZ24" s="98">
        <v>16494</v>
      </c>
      <c r="CA24" s="98">
        <v>15776</v>
      </c>
      <c r="CB24" s="98">
        <v>32270</v>
      </c>
      <c r="CC24" s="98">
        <v>8906</v>
      </c>
      <c r="CD24" s="98">
        <v>9533</v>
      </c>
      <c r="CE24" s="98">
        <v>18439</v>
      </c>
      <c r="CF24" s="98">
        <v>1604</v>
      </c>
      <c r="CG24" s="98">
        <v>1447</v>
      </c>
      <c r="CH24" s="98">
        <v>3051</v>
      </c>
      <c r="CI24" s="98">
        <v>10510</v>
      </c>
      <c r="CJ24" s="98">
        <v>10980</v>
      </c>
      <c r="CK24" s="98">
        <v>21490</v>
      </c>
      <c r="CL24" s="116">
        <v>0.63720140657208679</v>
      </c>
      <c r="CM24" s="116">
        <v>0.69599391480730222</v>
      </c>
      <c r="CN24" s="116">
        <v>0.66594360086767901</v>
      </c>
      <c r="CO24" s="96">
        <v>3474</v>
      </c>
      <c r="CP24" s="96">
        <v>3294</v>
      </c>
      <c r="CQ24" s="96">
        <v>6768</v>
      </c>
      <c r="CR24" s="96">
        <v>2198</v>
      </c>
      <c r="CS24" s="96">
        <v>2276</v>
      </c>
      <c r="CT24" s="96">
        <v>4474</v>
      </c>
      <c r="CU24" s="96">
        <v>337</v>
      </c>
      <c r="CV24" s="96">
        <v>260</v>
      </c>
      <c r="CW24" s="96">
        <v>597</v>
      </c>
      <c r="CX24" s="97">
        <v>2535</v>
      </c>
      <c r="CY24" s="98">
        <v>2536</v>
      </c>
      <c r="CZ24" s="98">
        <v>5071</v>
      </c>
      <c r="DA24" s="116">
        <v>0.72970639032815199</v>
      </c>
      <c r="DB24" s="116">
        <v>0.76988463873709778</v>
      </c>
      <c r="DC24" s="116">
        <v>0.74926122931442085</v>
      </c>
      <c r="DD24" s="403"/>
      <c r="DE24" s="403"/>
      <c r="DF24" s="403"/>
      <c r="DG24" s="403"/>
      <c r="DH24" s="403"/>
      <c r="DI24" s="403"/>
      <c r="DJ24" s="403"/>
      <c r="DK24" s="403"/>
      <c r="DL24" s="403"/>
      <c r="DM24" s="404"/>
      <c r="DN24" s="404"/>
      <c r="DO24" s="404"/>
      <c r="DP24" s="405"/>
      <c r="DQ24" s="405"/>
      <c r="DR24" s="405"/>
      <c r="DS24" s="98">
        <v>3474</v>
      </c>
      <c r="DT24" s="98">
        <v>3294</v>
      </c>
      <c r="DU24" s="98">
        <v>6768</v>
      </c>
      <c r="DV24" s="98">
        <v>2198</v>
      </c>
      <c r="DW24" s="98">
        <v>2276</v>
      </c>
      <c r="DX24" s="98">
        <v>4474</v>
      </c>
      <c r="DY24" s="98">
        <v>337</v>
      </c>
      <c r="DZ24" s="98">
        <v>260</v>
      </c>
      <c r="EA24" s="98">
        <v>597</v>
      </c>
      <c r="EB24" s="98">
        <v>2535</v>
      </c>
      <c r="EC24" s="98">
        <v>2536</v>
      </c>
      <c r="ED24" s="98">
        <v>5071</v>
      </c>
      <c r="EE24" s="116">
        <v>0.72970639032815199</v>
      </c>
      <c r="EF24" s="116">
        <v>0.76988463873709778</v>
      </c>
      <c r="EG24" s="116">
        <v>0.74926122931442085</v>
      </c>
      <c r="EH24" s="96">
        <v>9231</v>
      </c>
      <c r="EI24" s="96">
        <v>8313</v>
      </c>
      <c r="EJ24" s="96">
        <v>17544</v>
      </c>
      <c r="EK24" s="96">
        <v>5696</v>
      </c>
      <c r="EL24" s="96">
        <v>5744</v>
      </c>
      <c r="EM24" s="96">
        <v>11440</v>
      </c>
      <c r="EN24" s="96">
        <v>857</v>
      </c>
      <c r="EO24" s="96">
        <v>660</v>
      </c>
      <c r="EP24" s="96">
        <v>1517</v>
      </c>
      <c r="EQ24" s="97">
        <v>6553</v>
      </c>
      <c r="ER24" s="98">
        <v>6404</v>
      </c>
      <c r="ES24" s="98">
        <v>12957</v>
      </c>
      <c r="ET24" s="116">
        <v>0.70989058606868161</v>
      </c>
      <c r="EU24" s="116">
        <v>0.77035967761337665</v>
      </c>
      <c r="EV24" s="116">
        <v>0.73854309165526677</v>
      </c>
      <c r="EW24" s="403"/>
      <c r="EX24" s="403"/>
      <c r="EY24" s="403"/>
      <c r="EZ24" s="403"/>
      <c r="FA24" s="403"/>
      <c r="FB24" s="403"/>
      <c r="FC24" s="403"/>
      <c r="FD24" s="403"/>
      <c r="FE24" s="403"/>
      <c r="FF24" s="404"/>
      <c r="FG24" s="404"/>
      <c r="FH24" s="404"/>
      <c r="FI24" s="405"/>
      <c r="FJ24" s="405"/>
      <c r="FK24" s="405"/>
      <c r="FL24" s="98">
        <v>9231</v>
      </c>
      <c r="FM24" s="98">
        <v>8313</v>
      </c>
      <c r="FN24" s="98">
        <v>17544</v>
      </c>
      <c r="FO24" s="98">
        <v>5696</v>
      </c>
      <c r="FP24" s="98">
        <v>5744</v>
      </c>
      <c r="FQ24" s="98">
        <v>11440</v>
      </c>
      <c r="FR24" s="98">
        <v>857</v>
      </c>
      <c r="FS24" s="98">
        <v>660</v>
      </c>
      <c r="FT24" s="98">
        <v>1517</v>
      </c>
      <c r="FU24" s="98">
        <v>6553</v>
      </c>
      <c r="FV24" s="98">
        <v>6404</v>
      </c>
      <c r="FW24" s="98">
        <v>12957</v>
      </c>
      <c r="FX24" s="116">
        <v>0.70989058606868161</v>
      </c>
      <c r="FY24" s="116">
        <v>0.77035967761337665</v>
      </c>
      <c r="FZ24" s="116">
        <v>0.73854309165526677</v>
      </c>
      <c r="GA24" s="98">
        <v>39357</v>
      </c>
      <c r="GB24" s="98">
        <v>39190</v>
      </c>
      <c r="GC24" s="98">
        <v>78547</v>
      </c>
      <c r="GD24" s="101">
        <v>26303</v>
      </c>
      <c r="GE24" s="101">
        <v>30765</v>
      </c>
      <c r="GF24" s="98">
        <v>57068</v>
      </c>
      <c r="GG24" s="100">
        <v>66.831821531112638</v>
      </c>
      <c r="GH24" s="100">
        <v>78.502168920643015</v>
      </c>
      <c r="GI24" s="100">
        <v>72.654588972207719</v>
      </c>
      <c r="GJ24" s="98">
        <v>10510</v>
      </c>
      <c r="GK24" s="98">
        <v>10980</v>
      </c>
      <c r="GL24" s="98">
        <v>21490</v>
      </c>
      <c r="GM24" s="101">
        <v>6329</v>
      </c>
      <c r="GN24" s="101">
        <v>8015</v>
      </c>
      <c r="GO24" s="98">
        <v>14344</v>
      </c>
      <c r="GP24" s="100">
        <v>60.218839200761181</v>
      </c>
      <c r="GQ24" s="100">
        <v>72.996357012750451</v>
      </c>
      <c r="GR24" s="100">
        <v>66.747324336900888</v>
      </c>
      <c r="GS24" s="98">
        <v>2535</v>
      </c>
      <c r="GT24" s="98">
        <v>2536</v>
      </c>
      <c r="GU24" s="98">
        <v>5071</v>
      </c>
      <c r="GV24" s="101">
        <v>1544</v>
      </c>
      <c r="GW24" s="101">
        <v>1826</v>
      </c>
      <c r="GX24" s="98">
        <v>3370</v>
      </c>
      <c r="GY24" s="100">
        <v>60.907297830374752</v>
      </c>
      <c r="GZ24" s="100">
        <v>72.003154574132495</v>
      </c>
      <c r="HA24" s="100">
        <v>66.456320252415694</v>
      </c>
      <c r="HB24" s="98">
        <v>6553</v>
      </c>
      <c r="HC24" s="98">
        <v>6404</v>
      </c>
      <c r="HD24" s="98">
        <v>12957</v>
      </c>
      <c r="HE24" s="101">
        <v>4291</v>
      </c>
      <c r="HF24" s="101">
        <v>5062</v>
      </c>
      <c r="HG24" s="98">
        <v>9353</v>
      </c>
      <c r="HH24" s="100">
        <v>65.48145887379826</v>
      </c>
      <c r="HI24" s="100">
        <v>79.044347282948152</v>
      </c>
      <c r="HJ24" s="100">
        <v>72.184919348614642</v>
      </c>
    </row>
    <row r="25" spans="1:219">
      <c r="A25" s="420">
        <v>17</v>
      </c>
      <c r="B25" s="118" t="s">
        <v>151</v>
      </c>
      <c r="C25" s="96">
        <v>70946</v>
      </c>
      <c r="D25" s="96">
        <v>62136</v>
      </c>
      <c r="E25" s="96">
        <v>133082</v>
      </c>
      <c r="F25" s="96">
        <v>45831</v>
      </c>
      <c r="G25" s="96">
        <v>41360</v>
      </c>
      <c r="H25" s="96">
        <v>87191</v>
      </c>
      <c r="I25" s="104"/>
      <c r="J25" s="104"/>
      <c r="K25" s="104"/>
      <c r="L25" s="97">
        <v>45831</v>
      </c>
      <c r="M25" s="98">
        <v>41360</v>
      </c>
      <c r="N25" s="98">
        <v>87191</v>
      </c>
      <c r="O25" s="116">
        <v>0.64599836495362672</v>
      </c>
      <c r="P25" s="116">
        <v>0.6656366679541651</v>
      </c>
      <c r="Q25" s="116">
        <v>0.65516749072000724</v>
      </c>
      <c r="R25" s="96">
        <v>99207</v>
      </c>
      <c r="S25" s="96">
        <v>67724</v>
      </c>
      <c r="T25" s="96">
        <v>166931</v>
      </c>
      <c r="U25" s="96">
        <v>43253</v>
      </c>
      <c r="V25" s="96">
        <v>33633</v>
      </c>
      <c r="W25" s="96">
        <v>76886</v>
      </c>
      <c r="X25" s="104"/>
      <c r="Y25" s="104"/>
      <c r="Z25" s="104"/>
      <c r="AA25" s="97">
        <v>43253</v>
      </c>
      <c r="AB25" s="98">
        <v>33633</v>
      </c>
      <c r="AC25" s="98">
        <v>76886</v>
      </c>
      <c r="AD25" s="116">
        <v>0.43598737992278769</v>
      </c>
      <c r="AE25" s="116">
        <v>0.49661862855117833</v>
      </c>
      <c r="AF25" s="116">
        <v>0.46058551137895298</v>
      </c>
      <c r="AG25" s="98">
        <v>170153</v>
      </c>
      <c r="AH25" s="98">
        <v>129860</v>
      </c>
      <c r="AI25" s="98">
        <v>300013</v>
      </c>
      <c r="AJ25" s="98">
        <v>89084</v>
      </c>
      <c r="AK25" s="98">
        <v>74993</v>
      </c>
      <c r="AL25" s="98">
        <v>164077</v>
      </c>
      <c r="AM25" s="103"/>
      <c r="AN25" s="103"/>
      <c r="AO25" s="103"/>
      <c r="AP25" s="98">
        <v>89084</v>
      </c>
      <c r="AQ25" s="98">
        <v>74993</v>
      </c>
      <c r="AR25" s="98">
        <v>164077</v>
      </c>
      <c r="AS25" s="116">
        <v>0.52355233231268328</v>
      </c>
      <c r="AT25" s="116">
        <v>0.57749114430925608</v>
      </c>
      <c r="AU25" s="116">
        <v>0.54689963434917821</v>
      </c>
      <c r="AV25" s="403"/>
      <c r="AW25" s="403"/>
      <c r="AX25" s="403"/>
      <c r="AY25" s="403"/>
      <c r="AZ25" s="403"/>
      <c r="BA25" s="403"/>
      <c r="BB25" s="403"/>
      <c r="BC25" s="403"/>
      <c r="BD25" s="403"/>
      <c r="BE25" s="404"/>
      <c r="BF25" s="404"/>
      <c r="BG25" s="404"/>
      <c r="BH25" s="405"/>
      <c r="BI25" s="405"/>
      <c r="BJ25" s="405"/>
      <c r="BK25" s="403"/>
      <c r="BL25" s="403"/>
      <c r="BM25" s="403"/>
      <c r="BN25" s="403"/>
      <c r="BO25" s="403"/>
      <c r="BP25" s="403"/>
      <c r="BQ25" s="403"/>
      <c r="BR25" s="403"/>
      <c r="BS25" s="403"/>
      <c r="BT25" s="404"/>
      <c r="BU25" s="404"/>
      <c r="BV25" s="404"/>
      <c r="BW25" s="405"/>
      <c r="BX25" s="405"/>
      <c r="BY25" s="405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12"/>
      <c r="CM25" s="112"/>
      <c r="CN25" s="112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4"/>
      <c r="DN25" s="404"/>
      <c r="DO25" s="404"/>
      <c r="DP25" s="405"/>
      <c r="DQ25" s="405"/>
      <c r="DR25" s="405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12"/>
      <c r="EF25" s="112"/>
      <c r="EG25" s="112"/>
      <c r="EH25" s="403"/>
      <c r="EI25" s="403"/>
      <c r="EJ25" s="403"/>
      <c r="EK25" s="403"/>
      <c r="EL25" s="403"/>
      <c r="EM25" s="403"/>
      <c r="EN25" s="104"/>
      <c r="EO25" s="104"/>
      <c r="EP25" s="104"/>
      <c r="EQ25" s="404"/>
      <c r="ER25" s="404"/>
      <c r="ES25" s="404"/>
      <c r="ET25" s="405"/>
      <c r="EU25" s="405"/>
      <c r="EV25" s="405"/>
      <c r="EW25" s="403"/>
      <c r="EX25" s="403"/>
      <c r="EY25" s="403"/>
      <c r="EZ25" s="403"/>
      <c r="FA25" s="403"/>
      <c r="FB25" s="403"/>
      <c r="FC25" s="403"/>
      <c r="FD25" s="403"/>
      <c r="FE25" s="403"/>
      <c r="FF25" s="404"/>
      <c r="FG25" s="404"/>
      <c r="FH25" s="404"/>
      <c r="FI25" s="405"/>
      <c r="FJ25" s="405"/>
      <c r="FK25" s="405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12"/>
      <c r="FY25" s="112"/>
      <c r="FZ25" s="112"/>
      <c r="GA25" s="98">
        <v>89084</v>
      </c>
      <c r="GB25" s="98">
        <v>74993</v>
      </c>
      <c r="GC25" s="98">
        <v>164077</v>
      </c>
      <c r="GD25" s="101">
        <v>22845</v>
      </c>
      <c r="GE25" s="101">
        <v>22238</v>
      </c>
      <c r="GF25" s="101">
        <v>45083</v>
      </c>
      <c r="GG25" s="100">
        <v>25.644335683175431</v>
      </c>
      <c r="GH25" s="100">
        <v>29.653434320536583</v>
      </c>
      <c r="GI25" s="100">
        <v>27.476733484888193</v>
      </c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404"/>
      <c r="HC25" s="404"/>
      <c r="HD25" s="404"/>
      <c r="HE25" s="103"/>
      <c r="HF25" s="103"/>
      <c r="HG25" s="103"/>
      <c r="HH25" s="103"/>
      <c r="HI25" s="103"/>
      <c r="HJ25" s="103"/>
    </row>
    <row r="26" spans="1:219" ht="28.5">
      <c r="A26" s="420">
        <v>18</v>
      </c>
      <c r="B26" s="118" t="s">
        <v>152</v>
      </c>
      <c r="C26" s="96">
        <v>169980</v>
      </c>
      <c r="D26" s="96">
        <v>184791</v>
      </c>
      <c r="E26" s="96">
        <v>354771</v>
      </c>
      <c r="F26" s="96">
        <v>112937</v>
      </c>
      <c r="G26" s="96">
        <v>113867</v>
      </c>
      <c r="H26" s="96">
        <v>226804</v>
      </c>
      <c r="I26" s="96">
        <v>4722</v>
      </c>
      <c r="J26" s="96">
        <v>8132</v>
      </c>
      <c r="K26" s="96">
        <v>12854</v>
      </c>
      <c r="L26" s="97">
        <v>117659</v>
      </c>
      <c r="M26" s="98">
        <v>121999</v>
      </c>
      <c r="N26" s="98">
        <v>239658</v>
      </c>
      <c r="O26" s="116">
        <v>0.69219319919990585</v>
      </c>
      <c r="P26" s="116">
        <v>0.6601999015103549</v>
      </c>
      <c r="Q26" s="116">
        <v>0.67552872134419106</v>
      </c>
      <c r="R26" s="96">
        <v>38144</v>
      </c>
      <c r="S26" s="96">
        <v>34727</v>
      </c>
      <c r="T26" s="96">
        <v>72871</v>
      </c>
      <c r="U26" s="96">
        <v>15667</v>
      </c>
      <c r="V26" s="96">
        <v>12027</v>
      </c>
      <c r="W26" s="96">
        <v>27694</v>
      </c>
      <c r="X26" s="96">
        <v>1845</v>
      </c>
      <c r="Y26" s="96">
        <v>2039</v>
      </c>
      <c r="Z26" s="96">
        <v>3884</v>
      </c>
      <c r="AA26" s="97">
        <v>17512</v>
      </c>
      <c r="AB26" s="98">
        <v>14066</v>
      </c>
      <c r="AC26" s="98">
        <v>31578</v>
      </c>
      <c r="AD26" s="116">
        <v>0.45910234899328861</v>
      </c>
      <c r="AE26" s="116">
        <v>0.40504506579894606</v>
      </c>
      <c r="AF26" s="116">
        <v>0.4333411096320896</v>
      </c>
      <c r="AG26" s="98">
        <v>208124</v>
      </c>
      <c r="AH26" s="98">
        <v>219518</v>
      </c>
      <c r="AI26" s="98">
        <v>427642</v>
      </c>
      <c r="AJ26" s="98">
        <v>128604</v>
      </c>
      <c r="AK26" s="98">
        <v>125894</v>
      </c>
      <c r="AL26" s="98">
        <v>254498</v>
      </c>
      <c r="AM26" s="103"/>
      <c r="AN26" s="103"/>
      <c r="AO26" s="103"/>
      <c r="AP26" s="98">
        <v>135171</v>
      </c>
      <c r="AQ26" s="98">
        <v>136065</v>
      </c>
      <c r="AR26" s="98">
        <v>271236</v>
      </c>
      <c r="AS26" s="116">
        <v>0.64947339086313927</v>
      </c>
      <c r="AT26" s="116">
        <v>0.61983527546715989</v>
      </c>
      <c r="AU26" s="116">
        <v>0.63425949743009336</v>
      </c>
      <c r="AV26" s="96">
        <v>20454</v>
      </c>
      <c r="AW26" s="96">
        <v>21145</v>
      </c>
      <c r="AX26" s="96">
        <v>41599</v>
      </c>
      <c r="AY26" s="96">
        <v>12114</v>
      </c>
      <c r="AZ26" s="96">
        <v>10745</v>
      </c>
      <c r="BA26" s="96">
        <v>22859</v>
      </c>
      <c r="BB26" s="96">
        <v>442</v>
      </c>
      <c r="BC26" s="96">
        <v>926</v>
      </c>
      <c r="BD26" s="96">
        <v>1368</v>
      </c>
      <c r="BE26" s="97">
        <v>12556</v>
      </c>
      <c r="BF26" s="98">
        <v>11671</v>
      </c>
      <c r="BG26" s="98">
        <v>24227</v>
      </c>
      <c r="BH26" s="116">
        <v>0.613865258629119</v>
      </c>
      <c r="BI26" s="116">
        <v>0.55195081579569638</v>
      </c>
      <c r="BJ26" s="116">
        <v>0.5823938075434506</v>
      </c>
      <c r="BK26" s="96">
        <v>5150</v>
      </c>
      <c r="BL26" s="96">
        <v>4999</v>
      </c>
      <c r="BM26" s="96">
        <v>10149</v>
      </c>
      <c r="BN26" s="96">
        <v>1834</v>
      </c>
      <c r="BO26" s="96">
        <v>1379</v>
      </c>
      <c r="BP26" s="96">
        <v>3213</v>
      </c>
      <c r="BQ26" s="96">
        <v>230</v>
      </c>
      <c r="BR26" s="96">
        <v>264</v>
      </c>
      <c r="BS26" s="96">
        <v>494</v>
      </c>
      <c r="BT26" s="97">
        <v>2064</v>
      </c>
      <c r="BU26" s="98">
        <v>1643</v>
      </c>
      <c r="BV26" s="98">
        <v>3707</v>
      </c>
      <c r="BW26" s="116">
        <v>0.40077669902912622</v>
      </c>
      <c r="BX26" s="116">
        <v>0.32866573314662934</v>
      </c>
      <c r="BY26" s="116">
        <v>0.36525766085328604</v>
      </c>
      <c r="BZ26" s="98">
        <v>25604</v>
      </c>
      <c r="CA26" s="98">
        <v>26144</v>
      </c>
      <c r="CB26" s="98">
        <v>51748</v>
      </c>
      <c r="CC26" s="98">
        <v>13948</v>
      </c>
      <c r="CD26" s="98">
        <v>12124</v>
      </c>
      <c r="CE26" s="98">
        <v>26072</v>
      </c>
      <c r="CF26" s="98">
        <v>672</v>
      </c>
      <c r="CG26" s="98">
        <v>1190</v>
      </c>
      <c r="CH26" s="98">
        <v>1862</v>
      </c>
      <c r="CI26" s="98">
        <v>14620</v>
      </c>
      <c r="CJ26" s="98">
        <v>13314</v>
      </c>
      <c r="CK26" s="98">
        <v>27934</v>
      </c>
      <c r="CL26" s="116">
        <v>0.57100453054210276</v>
      </c>
      <c r="CM26" s="116">
        <v>0.50925642594859244</v>
      </c>
      <c r="CN26" s="116">
        <v>0.53980830177011674</v>
      </c>
      <c r="CO26" s="96">
        <v>37831</v>
      </c>
      <c r="CP26" s="96">
        <v>42660</v>
      </c>
      <c r="CQ26" s="96">
        <v>80491</v>
      </c>
      <c r="CR26" s="96">
        <v>23438</v>
      </c>
      <c r="CS26" s="96">
        <v>24363</v>
      </c>
      <c r="CT26" s="96">
        <v>47801</v>
      </c>
      <c r="CU26" s="96">
        <v>902</v>
      </c>
      <c r="CV26" s="96">
        <v>1645</v>
      </c>
      <c r="CW26" s="96">
        <v>2547</v>
      </c>
      <c r="CX26" s="97">
        <v>24340</v>
      </c>
      <c r="CY26" s="98">
        <v>26008</v>
      </c>
      <c r="CZ26" s="98">
        <v>50348</v>
      </c>
      <c r="DA26" s="116">
        <v>0.64338769791969552</v>
      </c>
      <c r="DB26" s="116">
        <v>0.60965775902484765</v>
      </c>
      <c r="DC26" s="116">
        <v>0.62551092668745578</v>
      </c>
      <c r="DD26" s="96">
        <v>10880</v>
      </c>
      <c r="DE26" s="96">
        <v>10961</v>
      </c>
      <c r="DF26" s="96">
        <v>21841</v>
      </c>
      <c r="DG26" s="96">
        <v>4184</v>
      </c>
      <c r="DH26" s="96">
        <v>3519</v>
      </c>
      <c r="DI26" s="96">
        <v>7703</v>
      </c>
      <c r="DJ26" s="96">
        <v>465</v>
      </c>
      <c r="DK26" s="96">
        <v>606</v>
      </c>
      <c r="DL26" s="96">
        <v>1071</v>
      </c>
      <c r="DM26" s="97">
        <v>4649</v>
      </c>
      <c r="DN26" s="98">
        <v>4125</v>
      </c>
      <c r="DO26" s="98">
        <v>8774</v>
      </c>
      <c r="DP26" s="116">
        <v>0.42729779411764707</v>
      </c>
      <c r="DQ26" s="116">
        <v>0.37633427606970166</v>
      </c>
      <c r="DR26" s="116">
        <v>0.40172153289684537</v>
      </c>
      <c r="DS26" s="98">
        <v>48711</v>
      </c>
      <c r="DT26" s="98">
        <v>53621</v>
      </c>
      <c r="DU26" s="98">
        <v>102332</v>
      </c>
      <c r="DV26" s="98">
        <v>27622</v>
      </c>
      <c r="DW26" s="98">
        <v>27882</v>
      </c>
      <c r="DX26" s="98">
        <v>55504</v>
      </c>
      <c r="DY26" s="98">
        <v>1367</v>
      </c>
      <c r="DZ26" s="98">
        <v>2251</v>
      </c>
      <c r="EA26" s="98">
        <v>3618</v>
      </c>
      <c r="EB26" s="98">
        <v>28989</v>
      </c>
      <c r="EC26" s="98">
        <v>30133</v>
      </c>
      <c r="ED26" s="98">
        <v>59122</v>
      </c>
      <c r="EE26" s="116">
        <v>0.59512225164747179</v>
      </c>
      <c r="EF26" s="116">
        <v>0.56196266388168814</v>
      </c>
      <c r="EG26" s="116">
        <v>0.57774694132822579</v>
      </c>
      <c r="EH26" s="96">
        <v>93680</v>
      </c>
      <c r="EI26" s="96">
        <v>102924</v>
      </c>
      <c r="EJ26" s="96">
        <v>196604</v>
      </c>
      <c r="EK26" s="96">
        <v>64836</v>
      </c>
      <c r="EL26" s="96">
        <v>65859</v>
      </c>
      <c r="EM26" s="96">
        <v>130695</v>
      </c>
      <c r="EN26" s="96">
        <v>2687</v>
      </c>
      <c r="EO26" s="96">
        <v>4729</v>
      </c>
      <c r="EP26" s="96">
        <v>7416</v>
      </c>
      <c r="EQ26" s="97">
        <v>67523</v>
      </c>
      <c r="ER26" s="98">
        <v>70588</v>
      </c>
      <c r="ES26" s="98">
        <v>138111</v>
      </c>
      <c r="ET26" s="116">
        <v>0.7207835183603758</v>
      </c>
      <c r="EU26" s="116">
        <v>0.68582643503944662</v>
      </c>
      <c r="EV26" s="116">
        <v>0.70248316412687428</v>
      </c>
      <c r="EW26" s="96">
        <v>16928</v>
      </c>
      <c r="EX26" s="96">
        <v>15367</v>
      </c>
      <c r="EY26" s="96">
        <v>32295</v>
      </c>
      <c r="EZ26" s="96">
        <v>7552</v>
      </c>
      <c r="FA26" s="96">
        <v>5797</v>
      </c>
      <c r="FB26" s="96">
        <v>13349</v>
      </c>
      <c r="FC26" s="96">
        <v>831</v>
      </c>
      <c r="FD26" s="96">
        <v>915</v>
      </c>
      <c r="FE26" s="96">
        <v>1746</v>
      </c>
      <c r="FF26" s="97">
        <v>8383</v>
      </c>
      <c r="FG26" s="98">
        <v>6712</v>
      </c>
      <c r="FH26" s="98">
        <v>15095</v>
      </c>
      <c r="FI26" s="116">
        <v>0.4952150283553875</v>
      </c>
      <c r="FJ26" s="116">
        <v>0.43678011322964794</v>
      </c>
      <c r="FK26" s="116">
        <v>0.4674098157609537</v>
      </c>
      <c r="FL26" s="98">
        <v>110608</v>
      </c>
      <c r="FM26" s="98">
        <v>118291</v>
      </c>
      <c r="FN26" s="98">
        <v>228899</v>
      </c>
      <c r="FO26" s="98">
        <v>72388</v>
      </c>
      <c r="FP26" s="98">
        <v>71656</v>
      </c>
      <c r="FQ26" s="98">
        <v>144044</v>
      </c>
      <c r="FR26" s="98">
        <v>3518</v>
      </c>
      <c r="FS26" s="98">
        <v>5644</v>
      </c>
      <c r="FT26" s="98">
        <v>9162</v>
      </c>
      <c r="FU26" s="98">
        <v>75906</v>
      </c>
      <c r="FV26" s="98">
        <v>77300</v>
      </c>
      <c r="FW26" s="98">
        <v>153206</v>
      </c>
      <c r="FX26" s="116">
        <v>0.68626139158107913</v>
      </c>
      <c r="FY26" s="116">
        <v>0.65347321436119399</v>
      </c>
      <c r="FZ26" s="116">
        <v>0.66931703502418094</v>
      </c>
      <c r="GA26" s="98">
        <v>135171</v>
      </c>
      <c r="GB26" s="98">
        <v>136065</v>
      </c>
      <c r="GC26" s="98">
        <v>271236</v>
      </c>
      <c r="GD26" s="98">
        <v>17661</v>
      </c>
      <c r="GE26" s="98">
        <v>15537</v>
      </c>
      <c r="GF26" s="98">
        <v>33198</v>
      </c>
      <c r="GG26" s="100">
        <v>13.065672370552855</v>
      </c>
      <c r="GH26" s="100">
        <v>11.418807187741153</v>
      </c>
      <c r="GI26" s="100">
        <v>12.239525726673451</v>
      </c>
      <c r="GJ26" s="98">
        <v>14620</v>
      </c>
      <c r="GK26" s="98">
        <v>13314</v>
      </c>
      <c r="GL26" s="98">
        <v>27934</v>
      </c>
      <c r="GM26" s="98">
        <v>1292</v>
      </c>
      <c r="GN26" s="98">
        <v>874</v>
      </c>
      <c r="GO26" s="98">
        <v>2166</v>
      </c>
      <c r="GP26" s="100">
        <v>8.8372093023255811</v>
      </c>
      <c r="GQ26" s="100">
        <v>6.5645185519002558</v>
      </c>
      <c r="GR26" s="100">
        <v>7.7539915515142841</v>
      </c>
      <c r="GS26" s="98">
        <v>28989</v>
      </c>
      <c r="GT26" s="98">
        <v>30133</v>
      </c>
      <c r="GU26" s="98">
        <v>59122</v>
      </c>
      <c r="GV26" s="98">
        <v>2843</v>
      </c>
      <c r="GW26" s="98">
        <v>2528</v>
      </c>
      <c r="GX26" s="98">
        <v>5371</v>
      </c>
      <c r="GY26" s="100">
        <v>9.8071682362275343</v>
      </c>
      <c r="GZ26" s="100">
        <v>8.3894733348820232</v>
      </c>
      <c r="HA26" s="100">
        <v>9.0846047156726772</v>
      </c>
      <c r="HB26" s="98">
        <v>75906</v>
      </c>
      <c r="HC26" s="98">
        <v>77300</v>
      </c>
      <c r="HD26" s="98">
        <v>153206</v>
      </c>
      <c r="HE26" s="98">
        <v>11081</v>
      </c>
      <c r="HF26" s="98">
        <v>9464</v>
      </c>
      <c r="HG26" s="98">
        <v>20545</v>
      </c>
      <c r="HH26" s="100">
        <v>14.598318973467183</v>
      </c>
      <c r="HI26" s="100">
        <v>12.243208279430789</v>
      </c>
      <c r="HJ26" s="100">
        <v>13.410049214782712</v>
      </c>
    </row>
    <row r="27" spans="1:219" ht="28.5">
      <c r="A27" s="420">
        <v>19</v>
      </c>
      <c r="B27" s="118" t="s">
        <v>153</v>
      </c>
      <c r="C27" s="96">
        <v>377865</v>
      </c>
      <c r="D27" s="96">
        <v>366556</v>
      </c>
      <c r="E27" s="96">
        <v>744421</v>
      </c>
      <c r="F27" s="96">
        <v>283712</v>
      </c>
      <c r="G27" s="96">
        <v>299856</v>
      </c>
      <c r="H27" s="96">
        <v>583568</v>
      </c>
      <c r="I27" s="96">
        <v>38864</v>
      </c>
      <c r="J27" s="96">
        <v>29254</v>
      </c>
      <c r="K27" s="96">
        <v>68118</v>
      </c>
      <c r="L27" s="97">
        <v>322576</v>
      </c>
      <c r="M27" s="98">
        <v>329110</v>
      </c>
      <c r="N27" s="98">
        <v>651686</v>
      </c>
      <c r="O27" s="116">
        <v>0.85368054728540621</v>
      </c>
      <c r="P27" s="116">
        <v>0.89784371282969044</v>
      </c>
      <c r="Q27" s="116">
        <v>0.87542667388480444</v>
      </c>
      <c r="R27" s="96">
        <v>18236</v>
      </c>
      <c r="S27" s="96">
        <v>5159</v>
      </c>
      <c r="T27" s="96">
        <v>23395</v>
      </c>
      <c r="U27" s="96">
        <v>557</v>
      </c>
      <c r="V27" s="96">
        <v>252</v>
      </c>
      <c r="W27" s="96">
        <v>809</v>
      </c>
      <c r="X27" s="96">
        <v>1089</v>
      </c>
      <c r="Y27" s="96">
        <v>484</v>
      </c>
      <c r="Z27" s="96">
        <v>1573</v>
      </c>
      <c r="AA27" s="97">
        <v>1646</v>
      </c>
      <c r="AB27" s="98">
        <v>736</v>
      </c>
      <c r="AC27" s="98">
        <v>2382</v>
      </c>
      <c r="AD27" s="116">
        <v>9.026102215398113E-2</v>
      </c>
      <c r="AE27" s="116">
        <v>0.14266330684241132</v>
      </c>
      <c r="AF27" s="116">
        <v>0.10181662748450523</v>
      </c>
      <c r="AG27" s="98">
        <v>396101</v>
      </c>
      <c r="AH27" s="98">
        <v>371715</v>
      </c>
      <c r="AI27" s="98">
        <v>767816</v>
      </c>
      <c r="AJ27" s="98">
        <v>284269</v>
      </c>
      <c r="AK27" s="98">
        <v>300108</v>
      </c>
      <c r="AL27" s="98">
        <v>584377</v>
      </c>
      <c r="AM27" s="98">
        <v>39953</v>
      </c>
      <c r="AN27" s="98">
        <v>29738</v>
      </c>
      <c r="AO27" s="98">
        <v>69691</v>
      </c>
      <c r="AP27" s="98">
        <v>324222</v>
      </c>
      <c r="AQ27" s="98">
        <v>329846</v>
      </c>
      <c r="AR27" s="98">
        <v>654068</v>
      </c>
      <c r="AS27" s="116">
        <v>0.81853365681985146</v>
      </c>
      <c r="AT27" s="116">
        <v>0.88736262997188708</v>
      </c>
      <c r="AU27" s="116">
        <v>0.85185513195869844</v>
      </c>
      <c r="AV27" s="96">
        <v>70891</v>
      </c>
      <c r="AW27" s="96">
        <v>66975</v>
      </c>
      <c r="AX27" s="96">
        <v>137866</v>
      </c>
      <c r="AY27" s="96">
        <v>49448</v>
      </c>
      <c r="AZ27" s="96">
        <v>50294</v>
      </c>
      <c r="BA27" s="96">
        <v>99742</v>
      </c>
      <c r="BB27" s="96">
        <v>8262</v>
      </c>
      <c r="BC27" s="96">
        <v>6709</v>
      </c>
      <c r="BD27" s="96">
        <v>14971</v>
      </c>
      <c r="BE27" s="97">
        <v>57710</v>
      </c>
      <c r="BF27" s="98">
        <v>57003</v>
      </c>
      <c r="BG27" s="98">
        <v>114713</v>
      </c>
      <c r="BH27" s="116">
        <v>0.81406666572625586</v>
      </c>
      <c r="BI27" s="116">
        <v>0.85110862262038078</v>
      </c>
      <c r="BJ27" s="116">
        <v>0.83206156702885414</v>
      </c>
      <c r="BK27" s="96">
        <v>4413</v>
      </c>
      <c r="BL27" s="96">
        <v>1378</v>
      </c>
      <c r="BM27" s="96">
        <v>5791</v>
      </c>
      <c r="BN27" s="96">
        <v>81</v>
      </c>
      <c r="BO27" s="96">
        <v>35</v>
      </c>
      <c r="BP27" s="96">
        <v>116</v>
      </c>
      <c r="BQ27" s="96">
        <v>242</v>
      </c>
      <c r="BR27" s="96">
        <v>96</v>
      </c>
      <c r="BS27" s="96">
        <v>338</v>
      </c>
      <c r="BT27" s="97">
        <v>323</v>
      </c>
      <c r="BU27" s="98">
        <v>131</v>
      </c>
      <c r="BV27" s="98">
        <v>454</v>
      </c>
      <c r="BW27" s="116">
        <v>7.3192839338318605E-2</v>
      </c>
      <c r="BX27" s="116">
        <v>9.5065312046444125E-2</v>
      </c>
      <c r="BY27" s="116">
        <v>7.8397513382835432E-2</v>
      </c>
      <c r="BZ27" s="98">
        <v>75304</v>
      </c>
      <c r="CA27" s="98">
        <v>68353</v>
      </c>
      <c r="CB27" s="98">
        <v>143657</v>
      </c>
      <c r="CC27" s="98">
        <v>49529</v>
      </c>
      <c r="CD27" s="98">
        <v>50329</v>
      </c>
      <c r="CE27" s="98">
        <v>99858</v>
      </c>
      <c r="CF27" s="98">
        <v>8504</v>
      </c>
      <c r="CG27" s="98">
        <v>6805</v>
      </c>
      <c r="CH27" s="98">
        <v>15309</v>
      </c>
      <c r="CI27" s="98">
        <v>58033</v>
      </c>
      <c r="CJ27" s="98">
        <v>57134</v>
      </c>
      <c r="CK27" s="98">
        <v>115167</v>
      </c>
      <c r="CL27" s="116">
        <v>0.770649633485605</v>
      </c>
      <c r="CM27" s="116">
        <v>0.83586675054496506</v>
      </c>
      <c r="CN27" s="116">
        <v>0.80168039148805836</v>
      </c>
      <c r="CO27" s="96">
        <v>26583</v>
      </c>
      <c r="CP27" s="96">
        <v>25049</v>
      </c>
      <c r="CQ27" s="96">
        <v>51632</v>
      </c>
      <c r="CR27" s="96">
        <v>18940</v>
      </c>
      <c r="CS27" s="96">
        <v>19490</v>
      </c>
      <c r="CT27" s="96">
        <v>38430</v>
      </c>
      <c r="CU27" s="96">
        <v>2873</v>
      </c>
      <c r="CV27" s="96">
        <v>2243</v>
      </c>
      <c r="CW27" s="96">
        <v>5116</v>
      </c>
      <c r="CX27" s="97">
        <v>21813</v>
      </c>
      <c r="CY27" s="98">
        <v>21733</v>
      </c>
      <c r="CZ27" s="98">
        <v>43546</v>
      </c>
      <c r="DA27" s="116">
        <v>0.82056201331678136</v>
      </c>
      <c r="DB27" s="116">
        <v>0.86761946584694005</v>
      </c>
      <c r="DC27" s="116">
        <v>0.84339169507282308</v>
      </c>
      <c r="DD27" s="96">
        <v>1308</v>
      </c>
      <c r="DE27" s="96">
        <v>380</v>
      </c>
      <c r="DF27" s="96">
        <v>1688</v>
      </c>
      <c r="DG27" s="96">
        <v>28</v>
      </c>
      <c r="DH27" s="96">
        <v>8</v>
      </c>
      <c r="DI27" s="96">
        <v>36</v>
      </c>
      <c r="DJ27" s="96">
        <v>80</v>
      </c>
      <c r="DK27" s="96">
        <v>35</v>
      </c>
      <c r="DL27" s="96">
        <v>115</v>
      </c>
      <c r="DM27" s="97">
        <v>108</v>
      </c>
      <c r="DN27" s="98">
        <v>43</v>
      </c>
      <c r="DO27" s="98">
        <v>151</v>
      </c>
      <c r="DP27" s="116">
        <v>8.2568807339449546E-2</v>
      </c>
      <c r="DQ27" s="116">
        <v>0.11315789473684211</v>
      </c>
      <c r="DR27" s="116">
        <v>8.9454976303317529E-2</v>
      </c>
      <c r="DS27" s="98">
        <v>27891</v>
      </c>
      <c r="DT27" s="98">
        <v>25429</v>
      </c>
      <c r="DU27" s="98">
        <v>53320</v>
      </c>
      <c r="DV27" s="98">
        <v>18968</v>
      </c>
      <c r="DW27" s="98">
        <v>19498</v>
      </c>
      <c r="DX27" s="98">
        <v>38466</v>
      </c>
      <c r="DY27" s="98">
        <v>2953</v>
      </c>
      <c r="DZ27" s="98">
        <v>2278</v>
      </c>
      <c r="EA27" s="98">
        <v>5231</v>
      </c>
      <c r="EB27" s="98">
        <v>21921</v>
      </c>
      <c r="EC27" s="98">
        <v>21776</v>
      </c>
      <c r="ED27" s="98">
        <v>43697</v>
      </c>
      <c r="EE27" s="116">
        <v>0.78595245778208023</v>
      </c>
      <c r="EF27" s="116">
        <v>0.85634511777891387</v>
      </c>
      <c r="EG27" s="116">
        <v>0.81952363090772695</v>
      </c>
      <c r="EH27" s="96">
        <v>252075</v>
      </c>
      <c r="EI27" s="96">
        <v>249347</v>
      </c>
      <c r="EJ27" s="96">
        <v>501422</v>
      </c>
      <c r="EK27" s="96">
        <v>193147</v>
      </c>
      <c r="EL27" s="96">
        <v>208460</v>
      </c>
      <c r="EM27" s="96">
        <v>401607</v>
      </c>
      <c r="EN27" s="96">
        <v>25113</v>
      </c>
      <c r="EO27" s="96">
        <v>18747</v>
      </c>
      <c r="EP27" s="96">
        <v>43860</v>
      </c>
      <c r="EQ27" s="97">
        <v>218260</v>
      </c>
      <c r="ER27" s="98">
        <v>227207</v>
      </c>
      <c r="ES27" s="98">
        <v>445467</v>
      </c>
      <c r="ET27" s="116">
        <v>0.86585341664187243</v>
      </c>
      <c r="EU27" s="116">
        <v>0.91120807549318816</v>
      </c>
      <c r="EV27" s="116">
        <v>0.88840736944130894</v>
      </c>
      <c r="EW27" s="96">
        <v>230</v>
      </c>
      <c r="EX27" s="96">
        <v>76</v>
      </c>
      <c r="EY27" s="96">
        <v>306</v>
      </c>
      <c r="EZ27" s="393">
        <v>0</v>
      </c>
      <c r="FA27" s="393">
        <v>0</v>
      </c>
      <c r="FB27" s="393">
        <v>0</v>
      </c>
      <c r="FC27" s="96">
        <v>14</v>
      </c>
      <c r="FD27" s="96">
        <v>7</v>
      </c>
      <c r="FE27" s="96">
        <v>21</v>
      </c>
      <c r="FF27" s="97">
        <v>14</v>
      </c>
      <c r="FG27" s="98">
        <v>7</v>
      </c>
      <c r="FH27" s="98">
        <v>21</v>
      </c>
      <c r="FI27" s="116">
        <v>6.0869565217391307E-2</v>
      </c>
      <c r="FJ27" s="116">
        <v>9.2105263157894732E-2</v>
      </c>
      <c r="FK27" s="116">
        <v>6.8627450980392163E-2</v>
      </c>
      <c r="FL27" s="98">
        <v>252305</v>
      </c>
      <c r="FM27" s="98">
        <v>249423</v>
      </c>
      <c r="FN27" s="98">
        <v>501728</v>
      </c>
      <c r="FO27" s="98">
        <v>193147</v>
      </c>
      <c r="FP27" s="98">
        <v>208460</v>
      </c>
      <c r="FQ27" s="98">
        <v>401607</v>
      </c>
      <c r="FR27" s="98">
        <v>25127</v>
      </c>
      <c r="FS27" s="98">
        <v>18754</v>
      </c>
      <c r="FT27" s="98">
        <v>43881</v>
      </c>
      <c r="FU27" s="98">
        <v>218274</v>
      </c>
      <c r="FV27" s="98">
        <v>227214</v>
      </c>
      <c r="FW27" s="98">
        <v>445488</v>
      </c>
      <c r="FX27" s="116">
        <v>0.86511959731277621</v>
      </c>
      <c r="FY27" s="116">
        <v>0.91095849219999758</v>
      </c>
      <c r="FZ27" s="116">
        <v>0.88790739205306457</v>
      </c>
      <c r="GA27" s="98">
        <v>324222</v>
      </c>
      <c r="GB27" s="98">
        <v>329846</v>
      </c>
      <c r="GC27" s="98">
        <v>654068</v>
      </c>
      <c r="GD27" s="98">
        <v>212730</v>
      </c>
      <c r="GE27" s="98">
        <v>254464</v>
      </c>
      <c r="GF27" s="98">
        <v>467194</v>
      </c>
      <c r="GG27" s="100">
        <v>65.612450728204749</v>
      </c>
      <c r="GH27" s="100">
        <v>77.146304639134627</v>
      </c>
      <c r="GI27" s="100">
        <v>71.428964572490941</v>
      </c>
      <c r="GJ27" s="98">
        <v>58033</v>
      </c>
      <c r="GK27" s="98">
        <v>57134</v>
      </c>
      <c r="GL27" s="98">
        <v>115167</v>
      </c>
      <c r="GM27" s="98">
        <v>34932</v>
      </c>
      <c r="GN27" s="98">
        <v>39421</v>
      </c>
      <c r="GO27" s="98">
        <v>74353</v>
      </c>
      <c r="GP27" s="100">
        <v>60.193338273051538</v>
      </c>
      <c r="GQ27" s="100">
        <v>68.997444603913607</v>
      </c>
      <c r="GR27" s="100">
        <v>64.561028766921083</v>
      </c>
      <c r="GS27" s="98">
        <v>21921</v>
      </c>
      <c r="GT27" s="98">
        <v>21776</v>
      </c>
      <c r="GU27" s="98">
        <v>43697</v>
      </c>
      <c r="GV27" s="98">
        <v>13321</v>
      </c>
      <c r="GW27" s="98">
        <v>15545</v>
      </c>
      <c r="GX27" s="98">
        <v>28866</v>
      </c>
      <c r="GY27" s="100">
        <v>60.768213128963097</v>
      </c>
      <c r="GZ27" s="100">
        <v>71.38592946362968</v>
      </c>
      <c r="HA27" s="100">
        <v>66.059454882486207</v>
      </c>
      <c r="HB27" s="98">
        <v>218274</v>
      </c>
      <c r="HC27" s="98">
        <v>227214</v>
      </c>
      <c r="HD27" s="98">
        <v>445488</v>
      </c>
      <c r="HE27" s="98">
        <v>146474</v>
      </c>
      <c r="HF27" s="98">
        <v>180128</v>
      </c>
      <c r="HG27" s="98">
        <v>326602</v>
      </c>
      <c r="HH27" s="100">
        <v>67.105564565637678</v>
      </c>
      <c r="HI27" s="100">
        <v>79.276805126444671</v>
      </c>
      <c r="HJ27" s="100">
        <v>73.313310347304522</v>
      </c>
    </row>
    <row r="28" spans="1:219">
      <c r="A28" s="420">
        <v>20</v>
      </c>
      <c r="B28" s="118" t="s">
        <v>417</v>
      </c>
      <c r="C28" s="96">
        <v>223682</v>
      </c>
      <c r="D28" s="96">
        <v>215664</v>
      </c>
      <c r="E28" s="96">
        <v>439346</v>
      </c>
      <c r="F28" s="403"/>
      <c r="G28" s="403"/>
      <c r="H28" s="96">
        <v>431162</v>
      </c>
      <c r="I28" s="403"/>
      <c r="J28" s="403"/>
      <c r="K28" s="403"/>
      <c r="L28" s="404"/>
      <c r="M28" s="404"/>
      <c r="N28" s="98">
        <v>431162</v>
      </c>
      <c r="O28" s="116" t="s">
        <v>319</v>
      </c>
      <c r="P28" s="116" t="s">
        <v>319</v>
      </c>
      <c r="Q28" s="116">
        <v>0.98137231248264467</v>
      </c>
      <c r="R28" s="403"/>
      <c r="S28" s="403"/>
      <c r="T28" s="96">
        <v>2754</v>
      </c>
      <c r="U28" s="403"/>
      <c r="V28" s="403"/>
      <c r="W28" s="96">
        <v>2084</v>
      </c>
      <c r="X28" s="403"/>
      <c r="Y28" s="403"/>
      <c r="Z28" s="403"/>
      <c r="AA28" s="404"/>
      <c r="AB28" s="404"/>
      <c r="AC28" s="98">
        <v>2084</v>
      </c>
      <c r="AD28" s="405"/>
      <c r="AE28" s="405"/>
      <c r="AF28" s="116">
        <v>0.75671750181554098</v>
      </c>
      <c r="AG28" s="98">
        <v>223682</v>
      </c>
      <c r="AH28" s="98">
        <v>215664</v>
      </c>
      <c r="AI28" s="98">
        <v>442100</v>
      </c>
      <c r="AJ28" s="404"/>
      <c r="AK28" s="404"/>
      <c r="AL28" s="98">
        <v>433246</v>
      </c>
      <c r="AM28" s="404"/>
      <c r="AN28" s="404"/>
      <c r="AO28" s="404"/>
      <c r="AP28" s="404"/>
      <c r="AQ28" s="404"/>
      <c r="AR28" s="98">
        <v>433246</v>
      </c>
      <c r="AS28" s="116"/>
      <c r="AT28" s="116"/>
      <c r="AU28" s="116">
        <v>0.97997285681972401</v>
      </c>
      <c r="AV28" s="403"/>
      <c r="AW28" s="403"/>
      <c r="AX28" s="96">
        <v>43985</v>
      </c>
      <c r="AY28" s="403"/>
      <c r="AZ28" s="403"/>
      <c r="BA28" s="96">
        <v>41873</v>
      </c>
      <c r="BB28" s="403"/>
      <c r="BC28" s="403"/>
      <c r="BD28" s="403"/>
      <c r="BE28" s="404"/>
      <c r="BF28" s="404"/>
      <c r="BG28" s="392">
        <v>41873</v>
      </c>
      <c r="BH28" s="405"/>
      <c r="BI28" s="405"/>
      <c r="BJ28" s="116">
        <v>0.95198363078322157</v>
      </c>
      <c r="BK28" s="403"/>
      <c r="BL28" s="403"/>
      <c r="BM28" s="403"/>
      <c r="BN28" s="403"/>
      <c r="BO28" s="403"/>
      <c r="BP28" s="403"/>
      <c r="BQ28" s="403"/>
      <c r="BR28" s="403"/>
      <c r="BS28" s="403"/>
      <c r="BT28" s="404"/>
      <c r="BU28" s="404"/>
      <c r="BV28" s="404"/>
      <c r="BW28" s="405"/>
      <c r="BX28" s="405"/>
      <c r="BY28" s="405"/>
      <c r="BZ28" s="404"/>
      <c r="CA28" s="404"/>
      <c r="CB28" s="98">
        <v>43985</v>
      </c>
      <c r="CC28" s="404"/>
      <c r="CD28" s="404"/>
      <c r="CE28" s="98">
        <v>41873</v>
      </c>
      <c r="CF28" s="404"/>
      <c r="CG28" s="404"/>
      <c r="CH28" s="404"/>
      <c r="CI28" s="404"/>
      <c r="CJ28" s="404"/>
      <c r="CK28" s="98">
        <v>41873</v>
      </c>
      <c r="CL28" s="405"/>
      <c r="CM28" s="405"/>
      <c r="CN28" s="116">
        <v>0.95198363078322157</v>
      </c>
      <c r="CO28" s="403"/>
      <c r="CP28" s="403"/>
      <c r="CQ28" s="96">
        <v>8108</v>
      </c>
      <c r="CR28" s="403"/>
      <c r="CS28" s="403"/>
      <c r="CT28" s="96">
        <v>7055</v>
      </c>
      <c r="CU28" s="403"/>
      <c r="CV28" s="403"/>
      <c r="CW28" s="403"/>
      <c r="CX28" s="404"/>
      <c r="CY28" s="404"/>
      <c r="CZ28" s="98">
        <v>7055</v>
      </c>
      <c r="DA28" s="405"/>
      <c r="DB28" s="405"/>
      <c r="DC28" s="116">
        <v>0.87012826837691171</v>
      </c>
      <c r="DD28" s="403"/>
      <c r="DE28" s="403"/>
      <c r="DF28" s="403"/>
      <c r="DG28" s="403"/>
      <c r="DH28" s="403"/>
      <c r="DI28" s="403"/>
      <c r="DJ28" s="403"/>
      <c r="DK28" s="403"/>
      <c r="DL28" s="403"/>
      <c r="DM28" s="404"/>
      <c r="DN28" s="404"/>
      <c r="DO28" s="404"/>
      <c r="DP28" s="405"/>
      <c r="DQ28" s="405"/>
      <c r="DR28" s="405"/>
      <c r="DS28" s="404"/>
      <c r="DT28" s="404"/>
      <c r="DU28" s="98">
        <v>8108</v>
      </c>
      <c r="DV28" s="404"/>
      <c r="DW28" s="404"/>
      <c r="DX28" s="98">
        <v>7055</v>
      </c>
      <c r="DY28" s="404"/>
      <c r="DZ28" s="404"/>
      <c r="EA28" s="404"/>
      <c r="EB28" s="404"/>
      <c r="EC28" s="404"/>
      <c r="ED28" s="98">
        <v>7055</v>
      </c>
      <c r="EE28" s="405"/>
      <c r="EF28" s="405"/>
      <c r="EG28" s="116">
        <v>0.87012826837691171</v>
      </c>
      <c r="EH28" s="403"/>
      <c r="EI28" s="403"/>
      <c r="EJ28" s="96">
        <v>296020</v>
      </c>
      <c r="EK28" s="403"/>
      <c r="EL28" s="403"/>
      <c r="EM28" s="96">
        <v>290499</v>
      </c>
      <c r="EN28" s="403"/>
      <c r="EO28" s="403"/>
      <c r="EP28" s="403"/>
      <c r="EQ28" s="404"/>
      <c r="ER28" s="404"/>
      <c r="ES28" s="98">
        <v>290499</v>
      </c>
      <c r="ET28" s="405"/>
      <c r="EU28" s="405"/>
      <c r="EV28" s="116">
        <v>0.98134923315992162</v>
      </c>
      <c r="EW28" s="403"/>
      <c r="EX28" s="403"/>
      <c r="EY28" s="403"/>
      <c r="EZ28" s="403"/>
      <c r="FA28" s="403"/>
      <c r="FB28" s="403"/>
      <c r="FC28" s="403"/>
      <c r="FD28" s="403"/>
      <c r="FE28" s="403"/>
      <c r="FF28" s="404"/>
      <c r="FG28" s="404"/>
      <c r="FH28" s="404"/>
      <c r="FI28" s="405"/>
      <c r="FJ28" s="405"/>
      <c r="FK28" s="405"/>
      <c r="FL28" s="404"/>
      <c r="FM28" s="404"/>
      <c r="FN28" s="98">
        <v>296020</v>
      </c>
      <c r="FO28" s="404"/>
      <c r="FP28" s="404"/>
      <c r="FQ28" s="98">
        <v>290499</v>
      </c>
      <c r="FR28" s="404"/>
      <c r="FS28" s="404"/>
      <c r="FT28" s="404"/>
      <c r="FU28" s="404"/>
      <c r="FV28" s="404"/>
      <c r="FW28" s="98">
        <v>290499</v>
      </c>
      <c r="FX28" s="405"/>
      <c r="FY28" s="405"/>
      <c r="FZ28" s="116">
        <v>0.98134923315992162</v>
      </c>
      <c r="GA28" s="404"/>
      <c r="GB28" s="404"/>
      <c r="GC28" s="98">
        <v>433246</v>
      </c>
      <c r="GD28" s="404"/>
      <c r="GE28" s="404"/>
      <c r="GF28" s="98">
        <v>154447</v>
      </c>
      <c r="GG28" s="110"/>
      <c r="GH28" s="110"/>
      <c r="GI28" s="100">
        <v>35.648799988920842</v>
      </c>
      <c r="GJ28" s="404"/>
      <c r="GK28" s="404"/>
      <c r="GL28" s="98">
        <v>41873</v>
      </c>
      <c r="GM28" s="404"/>
      <c r="GN28" s="404"/>
      <c r="GO28" s="404"/>
      <c r="GP28" s="404"/>
      <c r="GQ28" s="404"/>
      <c r="GR28" s="407"/>
      <c r="GS28" s="404"/>
      <c r="GT28" s="404"/>
      <c r="GU28" s="98">
        <v>7055</v>
      </c>
      <c r="GV28" s="103"/>
      <c r="GW28" s="103"/>
      <c r="GX28" s="404"/>
      <c r="GY28" s="103"/>
      <c r="GZ28" s="103"/>
      <c r="HA28" s="407"/>
      <c r="HB28" s="404"/>
      <c r="HC28" s="404"/>
      <c r="HD28" s="98">
        <v>290499</v>
      </c>
      <c r="HE28" s="103"/>
      <c r="HF28" s="103"/>
      <c r="HG28" s="404"/>
      <c r="HH28" s="404"/>
      <c r="HI28" s="404"/>
      <c r="HJ28" s="407"/>
    </row>
    <row r="29" spans="1:219" ht="42.75">
      <c r="A29" s="420">
        <v>21</v>
      </c>
      <c r="B29" s="118" t="s">
        <v>380</v>
      </c>
      <c r="C29" s="96">
        <v>935098</v>
      </c>
      <c r="D29" s="96">
        <v>760876</v>
      </c>
      <c r="E29" s="96">
        <v>1695974</v>
      </c>
      <c r="F29" s="96">
        <v>792681</v>
      </c>
      <c r="G29" s="96">
        <v>690716</v>
      </c>
      <c r="H29" s="96">
        <v>1483397</v>
      </c>
      <c r="I29" s="96">
        <v>17545</v>
      </c>
      <c r="J29" s="96">
        <v>9289</v>
      </c>
      <c r="K29" s="96">
        <v>26834</v>
      </c>
      <c r="L29" s="97">
        <v>810226</v>
      </c>
      <c r="M29" s="98">
        <v>700005</v>
      </c>
      <c r="N29" s="98">
        <v>1510231</v>
      </c>
      <c r="O29" s="116">
        <v>0.86646105541879037</v>
      </c>
      <c r="P29" s="116">
        <v>0.91999879086736869</v>
      </c>
      <c r="Q29" s="116">
        <v>0.89048004273650416</v>
      </c>
      <c r="R29" s="96">
        <v>30283</v>
      </c>
      <c r="S29" s="96">
        <v>12366</v>
      </c>
      <c r="T29" s="96">
        <v>42649</v>
      </c>
      <c r="U29" s="96">
        <v>14862</v>
      </c>
      <c r="V29" s="96">
        <v>7255</v>
      </c>
      <c r="W29" s="96">
        <v>22117</v>
      </c>
      <c r="X29" s="96">
        <v>1303</v>
      </c>
      <c r="Y29" s="96">
        <v>504</v>
      </c>
      <c r="Z29" s="96">
        <v>1807</v>
      </c>
      <c r="AA29" s="97">
        <v>16165</v>
      </c>
      <c r="AB29" s="98">
        <v>7759</v>
      </c>
      <c r="AC29" s="98">
        <v>23924</v>
      </c>
      <c r="AD29" s="116">
        <v>0.53379784037248623</v>
      </c>
      <c r="AE29" s="116">
        <v>0.62744622351609247</v>
      </c>
      <c r="AF29" s="116">
        <v>0.56095101878121412</v>
      </c>
      <c r="AG29" s="98">
        <v>965381</v>
      </c>
      <c r="AH29" s="98">
        <v>773242</v>
      </c>
      <c r="AI29" s="98">
        <v>1738623</v>
      </c>
      <c r="AJ29" s="98">
        <v>807543</v>
      </c>
      <c r="AK29" s="98">
        <v>697971</v>
      </c>
      <c r="AL29" s="98">
        <v>1505514</v>
      </c>
      <c r="AM29" s="98">
        <v>18848</v>
      </c>
      <c r="AN29" s="98">
        <v>9793</v>
      </c>
      <c r="AO29" s="98">
        <v>28641</v>
      </c>
      <c r="AP29" s="98">
        <v>826391</v>
      </c>
      <c r="AQ29" s="98">
        <v>707764</v>
      </c>
      <c r="AR29" s="98">
        <v>1534155</v>
      </c>
      <c r="AS29" s="116">
        <v>0.85602575563430394</v>
      </c>
      <c r="AT29" s="116">
        <v>0.9153201714340401</v>
      </c>
      <c r="AU29" s="116">
        <v>0.88239658626395712</v>
      </c>
      <c r="AV29" s="96">
        <v>135171</v>
      </c>
      <c r="AW29" s="96">
        <v>110861</v>
      </c>
      <c r="AX29" s="96">
        <v>246032</v>
      </c>
      <c r="AY29" s="96">
        <v>107089</v>
      </c>
      <c r="AZ29" s="96">
        <v>95393</v>
      </c>
      <c r="BA29" s="96">
        <v>202482</v>
      </c>
      <c r="BB29" s="96">
        <v>3525</v>
      </c>
      <c r="BC29" s="96">
        <v>2275</v>
      </c>
      <c r="BD29" s="96">
        <v>5800</v>
      </c>
      <c r="BE29" s="97">
        <v>110614</v>
      </c>
      <c r="BF29" s="98">
        <v>97668</v>
      </c>
      <c r="BG29" s="98">
        <v>208282</v>
      </c>
      <c r="BH29" s="116">
        <v>0.8183264161691487</v>
      </c>
      <c r="BI29" s="116">
        <v>0.88099512001515412</v>
      </c>
      <c r="BJ29" s="116">
        <v>0.8465646745138844</v>
      </c>
      <c r="BK29" s="96">
        <v>3830</v>
      </c>
      <c r="BL29" s="96">
        <v>1928</v>
      </c>
      <c r="BM29" s="96">
        <v>5758</v>
      </c>
      <c r="BN29" s="96">
        <v>1687</v>
      </c>
      <c r="BO29" s="96">
        <v>1010</v>
      </c>
      <c r="BP29" s="96">
        <v>2697</v>
      </c>
      <c r="BQ29" s="96">
        <v>178</v>
      </c>
      <c r="BR29" s="96">
        <v>78</v>
      </c>
      <c r="BS29" s="96">
        <v>256</v>
      </c>
      <c r="BT29" s="97">
        <v>1865</v>
      </c>
      <c r="BU29" s="98">
        <v>1088</v>
      </c>
      <c r="BV29" s="98">
        <v>2953</v>
      </c>
      <c r="BW29" s="116">
        <v>0.48694516971279372</v>
      </c>
      <c r="BX29" s="116">
        <v>0.56431535269709543</v>
      </c>
      <c r="BY29" s="116">
        <v>0.5128516846127128</v>
      </c>
      <c r="BZ29" s="98">
        <v>139001</v>
      </c>
      <c r="CA29" s="98">
        <v>112789</v>
      </c>
      <c r="CB29" s="98">
        <v>251790</v>
      </c>
      <c r="CC29" s="98">
        <v>108776</v>
      </c>
      <c r="CD29" s="98">
        <v>96403</v>
      </c>
      <c r="CE29" s="98">
        <v>205179</v>
      </c>
      <c r="CF29" s="98">
        <v>3703</v>
      </c>
      <c r="CG29" s="98">
        <v>2353</v>
      </c>
      <c r="CH29" s="98">
        <v>6056</v>
      </c>
      <c r="CI29" s="98">
        <v>112479</v>
      </c>
      <c r="CJ29" s="98">
        <v>98756</v>
      </c>
      <c r="CK29" s="98">
        <v>211235</v>
      </c>
      <c r="CL29" s="116">
        <v>0.80919561729771727</v>
      </c>
      <c r="CM29" s="116">
        <v>0.87558183865447869</v>
      </c>
      <c r="CN29" s="116">
        <v>0.83893323801580677</v>
      </c>
      <c r="CO29" s="96">
        <v>84507</v>
      </c>
      <c r="CP29" s="96">
        <v>68420</v>
      </c>
      <c r="CQ29" s="96">
        <v>152927</v>
      </c>
      <c r="CR29" s="96">
        <v>65085</v>
      </c>
      <c r="CS29" s="96">
        <v>56419</v>
      </c>
      <c r="CT29" s="96">
        <v>121504</v>
      </c>
      <c r="CU29" s="96">
        <v>1568</v>
      </c>
      <c r="CV29" s="96">
        <v>1072</v>
      </c>
      <c r="CW29" s="96">
        <v>2640</v>
      </c>
      <c r="CX29" s="97">
        <v>66653</v>
      </c>
      <c r="CY29" s="98">
        <v>57491</v>
      </c>
      <c r="CZ29" s="98">
        <v>124144</v>
      </c>
      <c r="DA29" s="116">
        <v>0.78872756103044717</v>
      </c>
      <c r="DB29" s="116">
        <v>0.84026600409237062</v>
      </c>
      <c r="DC29" s="116">
        <v>0.81178601554990293</v>
      </c>
      <c r="DD29" s="96">
        <v>1377</v>
      </c>
      <c r="DE29" s="96">
        <v>659</v>
      </c>
      <c r="DF29" s="96">
        <v>2036</v>
      </c>
      <c r="DG29" s="96">
        <v>684</v>
      </c>
      <c r="DH29" s="96">
        <v>375</v>
      </c>
      <c r="DI29" s="96">
        <v>1059</v>
      </c>
      <c r="DJ29" s="96">
        <v>26</v>
      </c>
      <c r="DK29" s="96">
        <v>21</v>
      </c>
      <c r="DL29" s="96">
        <v>47</v>
      </c>
      <c r="DM29" s="97">
        <v>710</v>
      </c>
      <c r="DN29" s="98">
        <v>396</v>
      </c>
      <c r="DO29" s="98">
        <v>1106</v>
      </c>
      <c r="DP29" s="116">
        <v>0.51561365286855487</v>
      </c>
      <c r="DQ29" s="116">
        <v>0.60091047040971168</v>
      </c>
      <c r="DR29" s="116">
        <v>0.54322200392927311</v>
      </c>
      <c r="DS29" s="98">
        <v>85884</v>
      </c>
      <c r="DT29" s="98">
        <v>69079</v>
      </c>
      <c r="DU29" s="98">
        <v>154963</v>
      </c>
      <c r="DV29" s="98">
        <v>65769</v>
      </c>
      <c r="DW29" s="98">
        <v>56794</v>
      </c>
      <c r="DX29" s="98">
        <v>122563</v>
      </c>
      <c r="DY29" s="98">
        <v>1594</v>
      </c>
      <c r="DZ29" s="98">
        <v>1093</v>
      </c>
      <c r="EA29" s="98">
        <v>2687</v>
      </c>
      <c r="EB29" s="98">
        <v>67363</v>
      </c>
      <c r="EC29" s="98">
        <v>57887</v>
      </c>
      <c r="ED29" s="98">
        <v>125250</v>
      </c>
      <c r="EE29" s="116">
        <v>0.7843486563271389</v>
      </c>
      <c r="EF29" s="116">
        <v>0.83798259963230504</v>
      </c>
      <c r="EG29" s="116">
        <v>0.80825745500538837</v>
      </c>
      <c r="EH29" s="96">
        <v>346147</v>
      </c>
      <c r="EI29" s="96">
        <v>277027</v>
      </c>
      <c r="EJ29" s="96">
        <v>623174</v>
      </c>
      <c r="EK29" s="96">
        <v>296582</v>
      </c>
      <c r="EL29" s="96">
        <v>253698</v>
      </c>
      <c r="EM29" s="96">
        <v>550280</v>
      </c>
      <c r="EN29" s="96">
        <v>6625</v>
      </c>
      <c r="EO29" s="96">
        <v>3476</v>
      </c>
      <c r="EP29" s="96">
        <v>10101</v>
      </c>
      <c r="EQ29" s="97">
        <v>303207</v>
      </c>
      <c r="ER29" s="98">
        <v>257174</v>
      </c>
      <c r="ES29" s="98">
        <v>560381</v>
      </c>
      <c r="ET29" s="116">
        <v>0.87594865765122909</v>
      </c>
      <c r="EU29" s="116">
        <v>0.92833550520346397</v>
      </c>
      <c r="EV29" s="116">
        <v>0.89923681026486979</v>
      </c>
      <c r="EW29" s="96">
        <v>4890</v>
      </c>
      <c r="EX29" s="96">
        <v>1931</v>
      </c>
      <c r="EY29" s="96">
        <v>6821</v>
      </c>
      <c r="EZ29" s="96">
        <v>2344</v>
      </c>
      <c r="FA29" s="96">
        <v>1150</v>
      </c>
      <c r="FB29" s="96">
        <v>3494</v>
      </c>
      <c r="FC29" s="96">
        <v>241</v>
      </c>
      <c r="FD29" s="96">
        <v>91</v>
      </c>
      <c r="FE29" s="96">
        <v>332</v>
      </c>
      <c r="FF29" s="97">
        <v>2585</v>
      </c>
      <c r="FG29" s="98">
        <v>1241</v>
      </c>
      <c r="FH29" s="98">
        <v>3826</v>
      </c>
      <c r="FI29" s="116">
        <v>0.52862985685071573</v>
      </c>
      <c r="FJ29" s="116">
        <v>0.64267219057483171</v>
      </c>
      <c r="FK29" s="116">
        <v>0.56091482187362551</v>
      </c>
      <c r="FL29" s="98">
        <v>351037</v>
      </c>
      <c r="FM29" s="98">
        <v>278958</v>
      </c>
      <c r="FN29" s="98">
        <v>629995</v>
      </c>
      <c r="FO29" s="98">
        <v>298926</v>
      </c>
      <c r="FP29" s="98">
        <v>254848</v>
      </c>
      <c r="FQ29" s="98">
        <v>553774</v>
      </c>
      <c r="FR29" s="98">
        <v>6866</v>
      </c>
      <c r="FS29" s="98">
        <v>3567</v>
      </c>
      <c r="FT29" s="98">
        <v>10433</v>
      </c>
      <c r="FU29" s="98">
        <v>305792</v>
      </c>
      <c r="FV29" s="98">
        <v>258415</v>
      </c>
      <c r="FW29" s="98">
        <v>564207</v>
      </c>
      <c r="FX29" s="116">
        <v>0.87111045274429766</v>
      </c>
      <c r="FY29" s="116">
        <v>0.92635808974827749</v>
      </c>
      <c r="FZ29" s="116">
        <v>0.89557377439503483</v>
      </c>
      <c r="GA29" s="98">
        <v>826391</v>
      </c>
      <c r="GB29" s="98">
        <v>707764</v>
      </c>
      <c r="GC29" s="98">
        <v>1534155</v>
      </c>
      <c r="GD29" s="98">
        <v>466008</v>
      </c>
      <c r="GE29" s="98">
        <v>480854</v>
      </c>
      <c r="GF29" s="98">
        <v>946862</v>
      </c>
      <c r="GG29" s="100">
        <v>56.390739976597033</v>
      </c>
      <c r="GH29" s="100">
        <v>67.939878264506248</v>
      </c>
      <c r="GI29" s="100">
        <v>61.718796340656581</v>
      </c>
      <c r="GJ29" s="98">
        <v>112479</v>
      </c>
      <c r="GK29" s="98">
        <v>98756</v>
      </c>
      <c r="GL29" s="98">
        <v>211235</v>
      </c>
      <c r="GM29" s="98">
        <v>53915</v>
      </c>
      <c r="GN29" s="98">
        <v>59010</v>
      </c>
      <c r="GO29" s="98">
        <v>112925</v>
      </c>
      <c r="GP29" s="100">
        <v>47.933392010953156</v>
      </c>
      <c r="GQ29" s="100">
        <v>59.753331443152824</v>
      </c>
      <c r="GR29" s="100">
        <v>53.459417236726871</v>
      </c>
      <c r="GS29" s="98">
        <v>67363</v>
      </c>
      <c r="GT29" s="98">
        <v>57887</v>
      </c>
      <c r="GU29" s="98">
        <v>125250</v>
      </c>
      <c r="GV29" s="98">
        <v>28997</v>
      </c>
      <c r="GW29" s="98">
        <v>29056</v>
      </c>
      <c r="GX29" s="98">
        <v>58053</v>
      </c>
      <c r="GY29" s="100">
        <v>43.04588572361682</v>
      </c>
      <c r="GZ29" s="100">
        <v>50.194344153264119</v>
      </c>
      <c r="HA29" s="100">
        <v>46.349700598802393</v>
      </c>
      <c r="HB29" s="98">
        <v>305792</v>
      </c>
      <c r="HC29" s="98">
        <v>258415</v>
      </c>
      <c r="HD29" s="98">
        <v>564207</v>
      </c>
      <c r="HE29" s="98">
        <v>177415</v>
      </c>
      <c r="HF29" s="98">
        <v>179571</v>
      </c>
      <c r="HG29" s="98">
        <v>356986</v>
      </c>
      <c r="HH29" s="100">
        <v>58.018195374633741</v>
      </c>
      <c r="HI29" s="100">
        <v>69.489387225973729</v>
      </c>
      <c r="HJ29" s="100">
        <v>63.272167839108697</v>
      </c>
    </row>
    <row r="30" spans="1:219" s="397" customFormat="1" ht="28.5">
      <c r="A30" s="420">
        <v>22</v>
      </c>
      <c r="B30" s="396" t="s">
        <v>381</v>
      </c>
      <c r="C30" s="99">
        <v>437875</v>
      </c>
      <c r="D30" s="99">
        <v>381042</v>
      </c>
      <c r="E30" s="99">
        <v>818917</v>
      </c>
      <c r="F30" s="99">
        <v>280115</v>
      </c>
      <c r="G30" s="99">
        <v>263617</v>
      </c>
      <c r="H30" s="99">
        <v>543732</v>
      </c>
      <c r="I30" s="99">
        <v>29157</v>
      </c>
      <c r="J30" s="99">
        <v>27078</v>
      </c>
      <c r="K30" s="99">
        <v>56235</v>
      </c>
      <c r="L30" s="98">
        <v>309272</v>
      </c>
      <c r="M30" s="98">
        <v>290695</v>
      </c>
      <c r="N30" s="98">
        <v>599967</v>
      </c>
      <c r="O30" s="116">
        <v>0.70630202683414212</v>
      </c>
      <c r="P30" s="116">
        <v>0.76289490397384019</v>
      </c>
      <c r="Q30" s="116">
        <v>0.73263468703177492</v>
      </c>
      <c r="R30" s="99">
        <v>167613</v>
      </c>
      <c r="S30" s="99">
        <v>115993</v>
      </c>
      <c r="T30" s="99">
        <v>283606</v>
      </c>
      <c r="U30" s="99">
        <v>37148</v>
      </c>
      <c r="V30" s="99">
        <v>26779</v>
      </c>
      <c r="W30" s="99">
        <v>63927</v>
      </c>
      <c r="X30" s="99">
        <v>13322</v>
      </c>
      <c r="Y30" s="99">
        <v>11004</v>
      </c>
      <c r="Z30" s="99">
        <v>24326</v>
      </c>
      <c r="AA30" s="98">
        <v>50470</v>
      </c>
      <c r="AB30" s="98">
        <v>37783</v>
      </c>
      <c r="AC30" s="98">
        <v>88253</v>
      </c>
      <c r="AD30" s="116">
        <v>0.30111029574078385</v>
      </c>
      <c r="AE30" s="116">
        <v>0.32573517367427346</v>
      </c>
      <c r="AF30" s="116">
        <v>0.31118170983688637</v>
      </c>
      <c r="AG30" s="98">
        <v>605488</v>
      </c>
      <c r="AH30" s="98">
        <v>497035</v>
      </c>
      <c r="AI30" s="98">
        <v>1102523</v>
      </c>
      <c r="AJ30" s="98">
        <v>317263</v>
      </c>
      <c r="AK30" s="98">
        <v>290396</v>
      </c>
      <c r="AL30" s="98">
        <v>607659</v>
      </c>
      <c r="AM30" s="98">
        <v>42479</v>
      </c>
      <c r="AN30" s="98">
        <v>38082</v>
      </c>
      <c r="AO30" s="98">
        <v>80561</v>
      </c>
      <c r="AP30" s="98">
        <v>359742</v>
      </c>
      <c r="AQ30" s="98">
        <v>328478</v>
      </c>
      <c r="AR30" s="98">
        <v>688220</v>
      </c>
      <c r="AS30" s="116">
        <v>0.59413563935205982</v>
      </c>
      <c r="AT30" s="116">
        <v>0.66087498868288952</v>
      </c>
      <c r="AU30" s="116">
        <v>0.62422280532923125</v>
      </c>
      <c r="AV30" s="99">
        <v>78914</v>
      </c>
      <c r="AW30" s="99">
        <v>60725</v>
      </c>
      <c r="AX30" s="99">
        <v>139639</v>
      </c>
      <c r="AY30" s="99">
        <v>46425</v>
      </c>
      <c r="AZ30" s="99">
        <v>38628</v>
      </c>
      <c r="BA30" s="99">
        <v>85053</v>
      </c>
      <c r="BB30" s="99">
        <v>5260</v>
      </c>
      <c r="BC30" s="99">
        <v>4587</v>
      </c>
      <c r="BD30" s="99">
        <v>9847</v>
      </c>
      <c r="BE30" s="98">
        <v>51685</v>
      </c>
      <c r="BF30" s="98">
        <v>43215</v>
      </c>
      <c r="BG30" s="98">
        <v>94900</v>
      </c>
      <c r="BH30" s="116">
        <v>0.65495349367666067</v>
      </c>
      <c r="BI30" s="116">
        <v>0.71165088513791686</v>
      </c>
      <c r="BJ30" s="116">
        <v>0.67960956466316713</v>
      </c>
      <c r="BK30" s="99">
        <v>35007</v>
      </c>
      <c r="BL30" s="99">
        <v>24381</v>
      </c>
      <c r="BM30" s="99">
        <v>59388</v>
      </c>
      <c r="BN30" s="99">
        <v>7550</v>
      </c>
      <c r="BO30" s="99">
        <v>5315</v>
      </c>
      <c r="BP30" s="99">
        <v>12865</v>
      </c>
      <c r="BQ30" s="99">
        <v>2735</v>
      </c>
      <c r="BR30" s="99">
        <v>2364</v>
      </c>
      <c r="BS30" s="99">
        <v>5099</v>
      </c>
      <c r="BT30" s="98">
        <v>10285</v>
      </c>
      <c r="BU30" s="98">
        <v>7679</v>
      </c>
      <c r="BV30" s="98">
        <v>17964</v>
      </c>
      <c r="BW30" s="116">
        <v>0.29379838318050677</v>
      </c>
      <c r="BX30" s="116">
        <v>0.3149583692219351</v>
      </c>
      <c r="BY30" s="116">
        <v>0.30248535057587389</v>
      </c>
      <c r="BZ30" s="98">
        <v>113921</v>
      </c>
      <c r="CA30" s="98">
        <v>85106</v>
      </c>
      <c r="CB30" s="98">
        <v>199027</v>
      </c>
      <c r="CC30" s="98">
        <v>53975</v>
      </c>
      <c r="CD30" s="98">
        <v>43943</v>
      </c>
      <c r="CE30" s="98">
        <v>97918</v>
      </c>
      <c r="CF30" s="98">
        <v>7995</v>
      </c>
      <c r="CG30" s="98">
        <v>6951</v>
      </c>
      <c r="CH30" s="98">
        <v>14946</v>
      </c>
      <c r="CI30" s="98">
        <v>61970</v>
      </c>
      <c r="CJ30" s="98">
        <v>50894</v>
      </c>
      <c r="CK30" s="98">
        <v>112864</v>
      </c>
      <c r="CL30" s="116">
        <v>0.54397345528919161</v>
      </c>
      <c r="CM30" s="116">
        <v>0.59800719103235966</v>
      </c>
      <c r="CN30" s="116">
        <v>0.56707883854954355</v>
      </c>
      <c r="CO30" s="99">
        <v>61436</v>
      </c>
      <c r="CP30" s="99">
        <v>64686</v>
      </c>
      <c r="CQ30" s="99">
        <v>126122</v>
      </c>
      <c r="CR30" s="99">
        <v>37784</v>
      </c>
      <c r="CS30" s="99">
        <v>38955</v>
      </c>
      <c r="CT30" s="99">
        <v>76739</v>
      </c>
      <c r="CU30" s="99">
        <v>4576</v>
      </c>
      <c r="CV30" s="99">
        <v>5545</v>
      </c>
      <c r="CW30" s="99">
        <v>10121</v>
      </c>
      <c r="CX30" s="98">
        <v>42360</v>
      </c>
      <c r="CY30" s="98">
        <v>44500</v>
      </c>
      <c r="CZ30" s="98">
        <v>86860</v>
      </c>
      <c r="DA30" s="116">
        <v>0.68949801419363244</v>
      </c>
      <c r="DB30" s="116">
        <v>0.68793865751476357</v>
      </c>
      <c r="DC30" s="116">
        <v>0.68869824455685769</v>
      </c>
      <c r="DD30" s="99">
        <v>37448</v>
      </c>
      <c r="DE30" s="99">
        <v>28861</v>
      </c>
      <c r="DF30" s="99">
        <v>66309</v>
      </c>
      <c r="DG30" s="99">
        <v>7491</v>
      </c>
      <c r="DH30" s="99">
        <v>5616</v>
      </c>
      <c r="DI30" s="99">
        <v>13107</v>
      </c>
      <c r="DJ30" s="99">
        <v>2909</v>
      </c>
      <c r="DK30" s="99">
        <v>2478</v>
      </c>
      <c r="DL30" s="99">
        <v>5387</v>
      </c>
      <c r="DM30" s="98">
        <v>10400</v>
      </c>
      <c r="DN30" s="98">
        <v>8094</v>
      </c>
      <c r="DO30" s="98">
        <v>18494</v>
      </c>
      <c r="DP30" s="116">
        <v>0.27771843623157444</v>
      </c>
      <c r="DQ30" s="116">
        <v>0.28044766293614221</v>
      </c>
      <c r="DR30" s="116">
        <v>0.27890633247372154</v>
      </c>
      <c r="DS30" s="98">
        <v>98884</v>
      </c>
      <c r="DT30" s="98">
        <v>93547</v>
      </c>
      <c r="DU30" s="98">
        <v>192431</v>
      </c>
      <c r="DV30" s="98">
        <v>45275</v>
      </c>
      <c r="DW30" s="98">
        <v>44571</v>
      </c>
      <c r="DX30" s="98">
        <v>89846</v>
      </c>
      <c r="DY30" s="98">
        <v>7485</v>
      </c>
      <c r="DZ30" s="98">
        <v>8023</v>
      </c>
      <c r="EA30" s="98">
        <v>15508</v>
      </c>
      <c r="EB30" s="98">
        <v>52760</v>
      </c>
      <c r="EC30" s="98">
        <v>52594</v>
      </c>
      <c r="ED30" s="98">
        <v>105354</v>
      </c>
      <c r="EE30" s="116">
        <v>0.53355446786133243</v>
      </c>
      <c r="EF30" s="116">
        <v>0.56222006050434536</v>
      </c>
      <c r="EG30" s="116">
        <v>0.54748974957257401</v>
      </c>
      <c r="EH30" s="99">
        <v>224141</v>
      </c>
      <c r="EI30" s="99">
        <v>192076</v>
      </c>
      <c r="EJ30" s="99">
        <v>416217</v>
      </c>
      <c r="EK30" s="99">
        <v>145803</v>
      </c>
      <c r="EL30" s="99">
        <v>137715</v>
      </c>
      <c r="EM30" s="99">
        <v>283518</v>
      </c>
      <c r="EN30" s="99">
        <v>14792</v>
      </c>
      <c r="EO30" s="99">
        <v>13068</v>
      </c>
      <c r="EP30" s="99">
        <v>27860</v>
      </c>
      <c r="EQ30" s="98">
        <v>160595</v>
      </c>
      <c r="ER30" s="98">
        <v>150783</v>
      </c>
      <c r="ES30" s="98">
        <v>311378</v>
      </c>
      <c r="ET30" s="116">
        <v>0.71649095881610236</v>
      </c>
      <c r="EU30" s="116">
        <v>0.78501738895020723</v>
      </c>
      <c r="EV30" s="116">
        <v>0.74811456523880571</v>
      </c>
      <c r="EW30" s="99">
        <v>77172</v>
      </c>
      <c r="EX30" s="99">
        <v>50373</v>
      </c>
      <c r="EY30" s="99">
        <v>127545</v>
      </c>
      <c r="EZ30" s="99">
        <v>17633</v>
      </c>
      <c r="FA30" s="99">
        <v>12339</v>
      </c>
      <c r="FB30" s="99">
        <v>29972</v>
      </c>
      <c r="FC30" s="99">
        <v>6114</v>
      </c>
      <c r="FD30" s="99">
        <v>4873</v>
      </c>
      <c r="FE30" s="99">
        <v>10987</v>
      </c>
      <c r="FF30" s="98">
        <v>23747</v>
      </c>
      <c r="FG30" s="98">
        <v>17212</v>
      </c>
      <c r="FH30" s="98">
        <v>40959</v>
      </c>
      <c r="FI30" s="116">
        <v>0.30771523350437985</v>
      </c>
      <c r="FJ30" s="116">
        <v>0.34169098525003472</v>
      </c>
      <c r="FK30" s="116">
        <v>0.32113371751146652</v>
      </c>
      <c r="FL30" s="98">
        <v>301313</v>
      </c>
      <c r="FM30" s="98">
        <v>242449</v>
      </c>
      <c r="FN30" s="98">
        <v>543762</v>
      </c>
      <c r="FO30" s="98">
        <v>163436</v>
      </c>
      <c r="FP30" s="98">
        <v>150054</v>
      </c>
      <c r="FQ30" s="98">
        <v>313490</v>
      </c>
      <c r="FR30" s="98">
        <v>20906</v>
      </c>
      <c r="FS30" s="98">
        <v>17941</v>
      </c>
      <c r="FT30" s="98">
        <v>38847</v>
      </c>
      <c r="FU30" s="98">
        <v>184342</v>
      </c>
      <c r="FV30" s="98">
        <v>167995</v>
      </c>
      <c r="FW30" s="98">
        <v>352337</v>
      </c>
      <c r="FX30" s="116">
        <v>0.61179570745371092</v>
      </c>
      <c r="FY30" s="116">
        <v>0.69290861170802931</v>
      </c>
      <c r="FZ30" s="116">
        <v>0.64796179210757643</v>
      </c>
      <c r="GA30" s="98">
        <v>359742</v>
      </c>
      <c r="GB30" s="98">
        <v>328478</v>
      </c>
      <c r="GC30" s="98">
        <v>688220</v>
      </c>
      <c r="GD30" s="101">
        <v>143626</v>
      </c>
      <c r="GE30" s="101">
        <v>143814</v>
      </c>
      <c r="GF30" s="98">
        <v>287440</v>
      </c>
      <c r="GG30" s="100">
        <v>39.924723829855843</v>
      </c>
      <c r="GH30" s="100">
        <v>43.781927556792233</v>
      </c>
      <c r="GI30" s="100">
        <v>41.765714451774144</v>
      </c>
      <c r="GJ30" s="98">
        <v>61970</v>
      </c>
      <c r="GK30" s="98">
        <v>50894</v>
      </c>
      <c r="GL30" s="98">
        <v>112864</v>
      </c>
      <c r="GM30" s="101">
        <v>22460</v>
      </c>
      <c r="GN30" s="101">
        <v>18859</v>
      </c>
      <c r="GO30" s="98">
        <v>41319</v>
      </c>
      <c r="GP30" s="100">
        <v>36.243343553332259</v>
      </c>
      <c r="GQ30" s="100">
        <v>37.05544857940032</v>
      </c>
      <c r="GR30" s="100">
        <v>36.609547774312446</v>
      </c>
      <c r="GS30" s="98">
        <v>52760</v>
      </c>
      <c r="GT30" s="98">
        <v>52594</v>
      </c>
      <c r="GU30" s="98">
        <v>105354</v>
      </c>
      <c r="GV30" s="101">
        <v>14241</v>
      </c>
      <c r="GW30" s="101">
        <v>13832</v>
      </c>
      <c r="GX30" s="98">
        <v>28073</v>
      </c>
      <c r="GY30" s="100">
        <v>26.992039423805913</v>
      </c>
      <c r="GZ30" s="100">
        <v>26.299577898619614</v>
      </c>
      <c r="HA30" s="100">
        <v>26.64635419632857</v>
      </c>
      <c r="HB30" s="98">
        <v>184342</v>
      </c>
      <c r="HC30" s="98">
        <v>167995</v>
      </c>
      <c r="HD30" s="98">
        <v>352337</v>
      </c>
      <c r="HE30" s="101">
        <v>77250</v>
      </c>
      <c r="HF30" s="101">
        <v>79471</v>
      </c>
      <c r="HG30" s="98">
        <v>156721</v>
      </c>
      <c r="HH30" s="100">
        <v>41.905805513664816</v>
      </c>
      <c r="HI30" s="100">
        <v>47.305574570671745</v>
      </c>
      <c r="HJ30" s="100">
        <v>44.480426409942751</v>
      </c>
    </row>
    <row r="31" spans="1:219" ht="28.5">
      <c r="A31" s="420">
        <v>23</v>
      </c>
      <c r="B31" s="118" t="s">
        <v>141</v>
      </c>
      <c r="C31" s="96">
        <v>18819</v>
      </c>
      <c r="D31" s="96">
        <v>18532</v>
      </c>
      <c r="E31" s="96">
        <v>37351</v>
      </c>
      <c r="F31" s="96">
        <v>13992</v>
      </c>
      <c r="G31" s="96">
        <v>13139</v>
      </c>
      <c r="H31" s="96">
        <v>27131</v>
      </c>
      <c r="I31" s="96">
        <v>1737</v>
      </c>
      <c r="J31" s="96">
        <v>1950</v>
      </c>
      <c r="K31" s="96">
        <v>3687</v>
      </c>
      <c r="L31" s="97">
        <v>15729</v>
      </c>
      <c r="M31" s="98">
        <v>15089</v>
      </c>
      <c r="N31" s="98">
        <v>30818</v>
      </c>
      <c r="O31" s="116">
        <v>0.83580424039534518</v>
      </c>
      <c r="P31" s="116">
        <v>0.81421325275199652</v>
      </c>
      <c r="Q31" s="116">
        <v>0.82509169767877699</v>
      </c>
      <c r="R31" s="96">
        <v>8</v>
      </c>
      <c r="S31" s="96">
        <v>5</v>
      </c>
      <c r="T31" s="96">
        <v>13</v>
      </c>
      <c r="U31" s="96">
        <v>3</v>
      </c>
      <c r="V31" s="96">
        <v>1</v>
      </c>
      <c r="W31" s="96">
        <v>4</v>
      </c>
      <c r="X31" s="393">
        <v>0</v>
      </c>
      <c r="Y31" s="96">
        <v>1</v>
      </c>
      <c r="Z31" s="96">
        <v>1</v>
      </c>
      <c r="AA31" s="97">
        <v>3</v>
      </c>
      <c r="AB31" s="98">
        <v>2</v>
      </c>
      <c r="AC31" s="98">
        <v>5</v>
      </c>
      <c r="AD31" s="116">
        <v>0.375</v>
      </c>
      <c r="AE31" s="116">
        <v>0.4</v>
      </c>
      <c r="AF31" s="116">
        <v>0.38461538461538464</v>
      </c>
      <c r="AG31" s="98">
        <v>18827</v>
      </c>
      <c r="AH31" s="98">
        <v>18537</v>
      </c>
      <c r="AI31" s="98">
        <v>37364</v>
      </c>
      <c r="AJ31" s="98">
        <v>13995</v>
      </c>
      <c r="AK31" s="98">
        <v>13140</v>
      </c>
      <c r="AL31" s="98">
        <v>27135</v>
      </c>
      <c r="AM31" s="98">
        <v>1737</v>
      </c>
      <c r="AN31" s="98">
        <v>1951</v>
      </c>
      <c r="AO31" s="98">
        <v>3688</v>
      </c>
      <c r="AP31" s="98">
        <v>15732</v>
      </c>
      <c r="AQ31" s="98">
        <v>15091</v>
      </c>
      <c r="AR31" s="98">
        <v>30823</v>
      </c>
      <c r="AS31" s="116">
        <v>0.83560843469485313</v>
      </c>
      <c r="AT31" s="116">
        <v>0.81410152667637703</v>
      </c>
      <c r="AU31" s="116">
        <v>0.82493844342147526</v>
      </c>
      <c r="AV31" s="96">
        <v>804</v>
      </c>
      <c r="AW31" s="96">
        <v>808</v>
      </c>
      <c r="AX31" s="96">
        <v>1612</v>
      </c>
      <c r="AY31" s="96">
        <v>641</v>
      </c>
      <c r="AZ31" s="96">
        <v>590</v>
      </c>
      <c r="BA31" s="96">
        <v>1231</v>
      </c>
      <c r="BB31" s="96">
        <v>60</v>
      </c>
      <c r="BC31" s="96">
        <v>73</v>
      </c>
      <c r="BD31" s="96">
        <v>133</v>
      </c>
      <c r="BE31" s="97">
        <v>701</v>
      </c>
      <c r="BF31" s="98">
        <v>663</v>
      </c>
      <c r="BG31" s="98">
        <v>1364</v>
      </c>
      <c r="BH31" s="116">
        <v>0.87189054726368154</v>
      </c>
      <c r="BI31" s="116">
        <v>0.8205445544554455</v>
      </c>
      <c r="BJ31" s="116">
        <v>0.84615384615384615</v>
      </c>
      <c r="BK31" s="403"/>
      <c r="BL31" s="403"/>
      <c r="BM31" s="403"/>
      <c r="BN31" s="403"/>
      <c r="BO31" s="403"/>
      <c r="BP31" s="403"/>
      <c r="BQ31" s="403"/>
      <c r="BR31" s="403"/>
      <c r="BS31" s="403"/>
      <c r="BT31" s="404"/>
      <c r="BU31" s="404"/>
      <c r="BV31" s="404"/>
      <c r="BW31" s="405"/>
      <c r="BX31" s="405"/>
      <c r="BY31" s="405"/>
      <c r="BZ31" s="98">
        <v>804</v>
      </c>
      <c r="CA31" s="98">
        <v>808</v>
      </c>
      <c r="CB31" s="98">
        <v>1612</v>
      </c>
      <c r="CC31" s="98">
        <v>641</v>
      </c>
      <c r="CD31" s="98">
        <v>590</v>
      </c>
      <c r="CE31" s="98">
        <v>1231</v>
      </c>
      <c r="CF31" s="98">
        <v>60</v>
      </c>
      <c r="CG31" s="98">
        <v>73</v>
      </c>
      <c r="CH31" s="98">
        <v>133</v>
      </c>
      <c r="CI31" s="98">
        <v>701</v>
      </c>
      <c r="CJ31" s="98">
        <v>663</v>
      </c>
      <c r="CK31" s="98">
        <v>1364</v>
      </c>
      <c r="CL31" s="116">
        <v>0.87189054726368154</v>
      </c>
      <c r="CM31" s="116">
        <v>0.8205445544554455</v>
      </c>
      <c r="CN31" s="116">
        <v>0.84615384615384615</v>
      </c>
      <c r="CO31" s="96">
        <v>7127</v>
      </c>
      <c r="CP31" s="96">
        <v>7263</v>
      </c>
      <c r="CQ31" s="96">
        <v>14390</v>
      </c>
      <c r="CR31" s="96">
        <v>5266</v>
      </c>
      <c r="CS31" s="96">
        <v>5119</v>
      </c>
      <c r="CT31" s="96">
        <v>10385</v>
      </c>
      <c r="CU31" s="96">
        <v>746</v>
      </c>
      <c r="CV31" s="96">
        <v>875</v>
      </c>
      <c r="CW31" s="96">
        <v>1621</v>
      </c>
      <c r="CX31" s="97">
        <v>6012</v>
      </c>
      <c r="CY31" s="98">
        <v>5994</v>
      </c>
      <c r="CZ31" s="98">
        <v>12006</v>
      </c>
      <c r="DA31" s="116">
        <v>0.84355268696506247</v>
      </c>
      <c r="DB31" s="116">
        <v>0.82527881040892193</v>
      </c>
      <c r="DC31" s="116">
        <v>0.83432939541348161</v>
      </c>
      <c r="DD31" s="96">
        <v>4</v>
      </c>
      <c r="DE31" s="96">
        <v>1</v>
      </c>
      <c r="DF31" s="96">
        <v>5</v>
      </c>
      <c r="DG31" s="96">
        <v>3</v>
      </c>
      <c r="DH31" s="393">
        <v>0</v>
      </c>
      <c r="DI31" s="96">
        <v>3</v>
      </c>
      <c r="DJ31" s="403"/>
      <c r="DK31" s="403"/>
      <c r="DL31" s="403"/>
      <c r="DM31" s="97">
        <v>3</v>
      </c>
      <c r="DN31" s="97">
        <v>0</v>
      </c>
      <c r="DO31" s="98">
        <v>3</v>
      </c>
      <c r="DP31" s="116">
        <v>0.75</v>
      </c>
      <c r="DQ31" s="116">
        <v>0</v>
      </c>
      <c r="DR31" s="116">
        <v>0.6</v>
      </c>
      <c r="DS31" s="98">
        <v>7131</v>
      </c>
      <c r="DT31" s="98">
        <v>7264</v>
      </c>
      <c r="DU31" s="98">
        <v>14395</v>
      </c>
      <c r="DV31" s="98">
        <v>5269</v>
      </c>
      <c r="DW31" s="98">
        <v>5119</v>
      </c>
      <c r="DX31" s="98">
        <v>10388</v>
      </c>
      <c r="DY31" s="98">
        <v>746</v>
      </c>
      <c r="DZ31" s="98">
        <v>875</v>
      </c>
      <c r="EA31" s="98">
        <v>1621</v>
      </c>
      <c r="EB31" s="98">
        <v>6015</v>
      </c>
      <c r="EC31" s="98">
        <v>5994</v>
      </c>
      <c r="ED31" s="98">
        <v>12009</v>
      </c>
      <c r="EE31" s="116">
        <v>0.84350021034917966</v>
      </c>
      <c r="EF31" s="116">
        <v>0.82516519823788548</v>
      </c>
      <c r="EG31" s="116">
        <v>0.83424800277874267</v>
      </c>
      <c r="EH31" s="96">
        <v>6088</v>
      </c>
      <c r="EI31" s="96">
        <v>5417</v>
      </c>
      <c r="EJ31" s="96">
        <v>11505</v>
      </c>
      <c r="EK31" s="96">
        <v>4799</v>
      </c>
      <c r="EL31" s="96">
        <v>4198</v>
      </c>
      <c r="EM31" s="96">
        <v>8997</v>
      </c>
      <c r="EN31" s="96">
        <v>500</v>
      </c>
      <c r="EO31" s="96">
        <v>468</v>
      </c>
      <c r="EP31" s="96">
        <v>968</v>
      </c>
      <c r="EQ31" s="97">
        <v>5299</v>
      </c>
      <c r="ER31" s="98">
        <v>4666</v>
      </c>
      <c r="ES31" s="98">
        <v>9965</v>
      </c>
      <c r="ET31" s="116">
        <v>0.87040078843626811</v>
      </c>
      <c r="EU31" s="116">
        <v>0.86136237769983381</v>
      </c>
      <c r="EV31" s="116">
        <v>0.86614515428074745</v>
      </c>
      <c r="EW31" s="96">
        <v>2</v>
      </c>
      <c r="EX31" s="96">
        <v>1</v>
      </c>
      <c r="EY31" s="96">
        <v>3</v>
      </c>
      <c r="EZ31" s="393">
        <v>0</v>
      </c>
      <c r="FA31" s="393">
        <v>0</v>
      </c>
      <c r="FB31" s="99">
        <v>0</v>
      </c>
      <c r="FC31" s="393">
        <v>0</v>
      </c>
      <c r="FD31" s="393">
        <v>0</v>
      </c>
      <c r="FE31" s="393">
        <v>0</v>
      </c>
      <c r="FF31" s="392">
        <v>0</v>
      </c>
      <c r="FG31" s="392">
        <v>0</v>
      </c>
      <c r="FH31" s="392">
        <v>0</v>
      </c>
      <c r="FI31" s="426">
        <v>0</v>
      </c>
      <c r="FJ31" s="426">
        <v>0</v>
      </c>
      <c r="FK31" s="426">
        <v>0</v>
      </c>
      <c r="FL31" s="98">
        <v>6090</v>
      </c>
      <c r="FM31" s="98">
        <v>5418</v>
      </c>
      <c r="FN31" s="98">
        <v>11508</v>
      </c>
      <c r="FO31" s="98">
        <v>4799</v>
      </c>
      <c r="FP31" s="98">
        <v>4198</v>
      </c>
      <c r="FQ31" s="98">
        <v>8997</v>
      </c>
      <c r="FR31" s="98">
        <v>500</v>
      </c>
      <c r="FS31" s="98">
        <v>468</v>
      </c>
      <c r="FT31" s="98">
        <v>968</v>
      </c>
      <c r="FU31" s="98">
        <v>5299</v>
      </c>
      <c r="FV31" s="98">
        <v>4666</v>
      </c>
      <c r="FW31" s="98">
        <v>9965</v>
      </c>
      <c r="FX31" s="116">
        <v>0.87011494252873567</v>
      </c>
      <c r="FY31" s="116">
        <v>0.86120339608711705</v>
      </c>
      <c r="FZ31" s="116">
        <v>0.86591936044490792</v>
      </c>
      <c r="GA31" s="98">
        <v>15732</v>
      </c>
      <c r="GB31" s="98">
        <v>15091</v>
      </c>
      <c r="GC31" s="98">
        <v>30823</v>
      </c>
      <c r="GD31" s="98">
        <v>5852</v>
      </c>
      <c r="GE31" s="98">
        <v>5701</v>
      </c>
      <c r="GF31" s="98">
        <v>11553</v>
      </c>
      <c r="GG31" s="100">
        <v>37.19806763285024</v>
      </c>
      <c r="GH31" s="100">
        <v>37.777483268173086</v>
      </c>
      <c r="GI31" s="100">
        <v>37.48175064075528</v>
      </c>
      <c r="GJ31" s="98">
        <v>701</v>
      </c>
      <c r="GK31" s="98">
        <v>663</v>
      </c>
      <c r="GL31" s="98">
        <v>1364</v>
      </c>
      <c r="GM31" s="98">
        <v>319</v>
      </c>
      <c r="GN31" s="98">
        <v>280</v>
      </c>
      <c r="GO31" s="98">
        <v>599</v>
      </c>
      <c r="GP31" s="100">
        <v>45.506419400855918</v>
      </c>
      <c r="GQ31" s="100">
        <v>42.232277526395173</v>
      </c>
      <c r="GR31" s="100">
        <v>43.914956011730204</v>
      </c>
      <c r="GS31" s="98">
        <v>6015</v>
      </c>
      <c r="GT31" s="98">
        <v>5994</v>
      </c>
      <c r="GU31" s="98">
        <v>12009</v>
      </c>
      <c r="GV31" s="98">
        <v>1754</v>
      </c>
      <c r="GW31" s="98">
        <v>1870</v>
      </c>
      <c r="GX31" s="98">
        <v>3624</v>
      </c>
      <c r="GY31" s="100">
        <v>29.160432252701579</v>
      </c>
      <c r="GZ31" s="100">
        <v>31.197864531197865</v>
      </c>
      <c r="HA31" s="100">
        <v>30.177366974768923</v>
      </c>
      <c r="HB31" s="98">
        <v>5299</v>
      </c>
      <c r="HC31" s="98">
        <v>4666</v>
      </c>
      <c r="HD31" s="98">
        <v>9965</v>
      </c>
      <c r="HE31" s="98">
        <v>2478</v>
      </c>
      <c r="HF31" s="98">
        <v>2142</v>
      </c>
      <c r="HG31" s="98">
        <v>4620</v>
      </c>
      <c r="HH31" s="100">
        <v>46.763540290620874</v>
      </c>
      <c r="HI31" s="100">
        <v>45.906558079725677</v>
      </c>
      <c r="HJ31" s="100">
        <v>46.362267937782235</v>
      </c>
    </row>
    <row r="32" spans="1:219" ht="28.5">
      <c r="A32" s="420">
        <v>24</v>
      </c>
      <c r="B32" s="118" t="s">
        <v>158</v>
      </c>
      <c r="C32" s="96">
        <v>9621</v>
      </c>
      <c r="D32" s="96">
        <v>12113</v>
      </c>
      <c r="E32" s="96">
        <v>21734</v>
      </c>
      <c r="F32" s="96">
        <v>8128</v>
      </c>
      <c r="G32" s="96">
        <v>10119</v>
      </c>
      <c r="H32" s="96">
        <v>18247</v>
      </c>
      <c r="I32" s="104"/>
      <c r="J32" s="104"/>
      <c r="K32" s="104"/>
      <c r="L32" s="97">
        <v>8128</v>
      </c>
      <c r="M32" s="98">
        <v>10119</v>
      </c>
      <c r="N32" s="98">
        <v>18247</v>
      </c>
      <c r="O32" s="116">
        <v>0.84481862592246126</v>
      </c>
      <c r="P32" s="116">
        <v>0.83538347230248489</v>
      </c>
      <c r="Q32" s="116">
        <v>0.83956013619214132</v>
      </c>
      <c r="R32" s="96">
        <v>13283</v>
      </c>
      <c r="S32" s="96">
        <v>15059</v>
      </c>
      <c r="T32" s="96">
        <v>28342</v>
      </c>
      <c r="U32" s="96">
        <v>4505</v>
      </c>
      <c r="V32" s="96">
        <v>5692</v>
      </c>
      <c r="W32" s="96">
        <v>10197</v>
      </c>
      <c r="X32" s="104"/>
      <c r="Y32" s="104"/>
      <c r="Z32" s="104"/>
      <c r="AA32" s="97">
        <v>4505</v>
      </c>
      <c r="AB32" s="98">
        <v>5692</v>
      </c>
      <c r="AC32" s="98">
        <v>10197</v>
      </c>
      <c r="AD32" s="116">
        <v>0.33915531130015808</v>
      </c>
      <c r="AE32" s="116">
        <v>0.37797994554751313</v>
      </c>
      <c r="AF32" s="116">
        <v>0.3597840660503846</v>
      </c>
      <c r="AG32" s="98">
        <v>22904</v>
      </c>
      <c r="AH32" s="98">
        <v>27172</v>
      </c>
      <c r="AI32" s="98">
        <v>50076</v>
      </c>
      <c r="AJ32" s="98">
        <v>12633</v>
      </c>
      <c r="AK32" s="98">
        <v>15811</v>
      </c>
      <c r="AL32" s="98">
        <v>28444</v>
      </c>
      <c r="AM32" s="103"/>
      <c r="AN32" s="103"/>
      <c r="AO32" s="103"/>
      <c r="AP32" s="98">
        <v>12633</v>
      </c>
      <c r="AQ32" s="98">
        <v>15811</v>
      </c>
      <c r="AR32" s="98">
        <v>28444</v>
      </c>
      <c r="AS32" s="116">
        <v>0.55156304575619974</v>
      </c>
      <c r="AT32" s="116">
        <v>0.58188576475783893</v>
      </c>
      <c r="AU32" s="116">
        <v>0.56801661474558673</v>
      </c>
      <c r="AV32" s="96">
        <v>77</v>
      </c>
      <c r="AW32" s="96">
        <v>65</v>
      </c>
      <c r="AX32" s="96">
        <v>142</v>
      </c>
      <c r="AY32" s="96">
        <v>70</v>
      </c>
      <c r="AZ32" s="96">
        <v>51</v>
      </c>
      <c r="BA32" s="96">
        <v>121</v>
      </c>
      <c r="BB32" s="104"/>
      <c r="BC32" s="104"/>
      <c r="BD32" s="104"/>
      <c r="BE32" s="97">
        <v>70</v>
      </c>
      <c r="BF32" s="98">
        <v>51</v>
      </c>
      <c r="BG32" s="98">
        <v>121</v>
      </c>
      <c r="BH32" s="116">
        <v>0.90909090909090906</v>
      </c>
      <c r="BI32" s="116">
        <v>0.7846153846153846</v>
      </c>
      <c r="BJ32" s="116">
        <v>0.852112676056338</v>
      </c>
      <c r="BK32" s="96">
        <v>48</v>
      </c>
      <c r="BL32" s="96">
        <v>47</v>
      </c>
      <c r="BM32" s="96">
        <v>95</v>
      </c>
      <c r="BN32" s="96">
        <v>22</v>
      </c>
      <c r="BO32" s="96">
        <v>26</v>
      </c>
      <c r="BP32" s="96">
        <v>48</v>
      </c>
      <c r="BQ32" s="104"/>
      <c r="BR32" s="104"/>
      <c r="BS32" s="104"/>
      <c r="BT32" s="97">
        <v>22</v>
      </c>
      <c r="BU32" s="98">
        <v>26</v>
      </c>
      <c r="BV32" s="98">
        <v>48</v>
      </c>
      <c r="BW32" s="116">
        <v>0.45833333333333331</v>
      </c>
      <c r="BX32" s="116">
        <v>0.55319148936170215</v>
      </c>
      <c r="BY32" s="116">
        <v>0.50526315789473686</v>
      </c>
      <c r="BZ32" s="98">
        <v>125</v>
      </c>
      <c r="CA32" s="98">
        <v>112</v>
      </c>
      <c r="CB32" s="98">
        <v>237</v>
      </c>
      <c r="CC32" s="98">
        <v>92</v>
      </c>
      <c r="CD32" s="98">
        <v>77</v>
      </c>
      <c r="CE32" s="98">
        <v>169</v>
      </c>
      <c r="CF32" s="103"/>
      <c r="CG32" s="103"/>
      <c r="CH32" s="103"/>
      <c r="CI32" s="98">
        <v>92</v>
      </c>
      <c r="CJ32" s="98">
        <v>77</v>
      </c>
      <c r="CK32" s="98">
        <v>169</v>
      </c>
      <c r="CL32" s="116">
        <v>0.73599999999999999</v>
      </c>
      <c r="CM32" s="116">
        <v>0.6875</v>
      </c>
      <c r="CN32" s="116">
        <v>0.71308016877637126</v>
      </c>
      <c r="CO32" s="96">
        <v>8531</v>
      </c>
      <c r="CP32" s="96">
        <v>11010</v>
      </c>
      <c r="CQ32" s="96">
        <v>19541</v>
      </c>
      <c r="CR32" s="96">
        <v>7129</v>
      </c>
      <c r="CS32" s="96">
        <v>9149</v>
      </c>
      <c r="CT32" s="96">
        <v>16278</v>
      </c>
      <c r="CU32" s="104"/>
      <c r="CV32" s="104"/>
      <c r="CW32" s="104"/>
      <c r="CX32" s="97">
        <v>7129</v>
      </c>
      <c r="CY32" s="98">
        <v>9149</v>
      </c>
      <c r="CZ32" s="98">
        <v>16278</v>
      </c>
      <c r="DA32" s="116">
        <v>0.83565818778572265</v>
      </c>
      <c r="DB32" s="116">
        <v>0.83097184377838329</v>
      </c>
      <c r="DC32" s="116">
        <v>0.83301775753543827</v>
      </c>
      <c r="DD32" s="96">
        <v>10475</v>
      </c>
      <c r="DE32" s="96">
        <v>11878</v>
      </c>
      <c r="DF32" s="96">
        <v>22353</v>
      </c>
      <c r="DG32" s="96">
        <v>2902</v>
      </c>
      <c r="DH32" s="96">
        <v>3629</v>
      </c>
      <c r="DI32" s="96">
        <v>6531</v>
      </c>
      <c r="DJ32" s="104"/>
      <c r="DK32" s="104"/>
      <c r="DL32" s="104"/>
      <c r="DM32" s="97">
        <v>2902</v>
      </c>
      <c r="DN32" s="98">
        <v>3629</v>
      </c>
      <c r="DO32" s="98">
        <v>6531</v>
      </c>
      <c r="DP32" s="116">
        <v>0.27704057279236277</v>
      </c>
      <c r="DQ32" s="116">
        <v>0.30552281528876918</v>
      </c>
      <c r="DR32" s="116">
        <v>0.29217554690645553</v>
      </c>
      <c r="DS32" s="98">
        <v>19006</v>
      </c>
      <c r="DT32" s="98">
        <v>22888</v>
      </c>
      <c r="DU32" s="98">
        <v>41894</v>
      </c>
      <c r="DV32" s="98">
        <v>10031</v>
      </c>
      <c r="DW32" s="98">
        <v>12778</v>
      </c>
      <c r="DX32" s="98">
        <v>22809</v>
      </c>
      <c r="DY32" s="103"/>
      <c r="DZ32" s="103"/>
      <c r="EA32" s="103"/>
      <c r="EB32" s="98">
        <v>10031</v>
      </c>
      <c r="EC32" s="98">
        <v>12778</v>
      </c>
      <c r="ED32" s="98">
        <v>22809</v>
      </c>
      <c r="EE32" s="116">
        <v>0.52778070083131645</v>
      </c>
      <c r="EF32" s="116">
        <v>0.55828381684725625</v>
      </c>
      <c r="EG32" s="116">
        <v>0.54444550532295799</v>
      </c>
      <c r="EH32" s="96">
        <v>108</v>
      </c>
      <c r="EI32" s="96">
        <v>110</v>
      </c>
      <c r="EJ32" s="96">
        <v>218</v>
      </c>
      <c r="EK32" s="96">
        <v>96</v>
      </c>
      <c r="EL32" s="96">
        <v>105</v>
      </c>
      <c r="EM32" s="96">
        <v>201</v>
      </c>
      <c r="EN32" s="104"/>
      <c r="EO32" s="104"/>
      <c r="EP32" s="104"/>
      <c r="EQ32" s="97">
        <v>96</v>
      </c>
      <c r="ER32" s="98">
        <v>105</v>
      </c>
      <c r="ES32" s="98">
        <v>201</v>
      </c>
      <c r="ET32" s="116">
        <v>0.88888888888888884</v>
      </c>
      <c r="EU32" s="116">
        <v>0.95454545454545459</v>
      </c>
      <c r="EV32" s="116">
        <v>0.92201834862385323</v>
      </c>
      <c r="EW32" s="96">
        <v>95</v>
      </c>
      <c r="EX32" s="96">
        <v>68</v>
      </c>
      <c r="EY32" s="96">
        <v>163</v>
      </c>
      <c r="EZ32" s="96">
        <v>44</v>
      </c>
      <c r="FA32" s="96">
        <v>42</v>
      </c>
      <c r="FB32" s="96">
        <v>86</v>
      </c>
      <c r="FC32" s="104"/>
      <c r="FD32" s="104"/>
      <c r="FE32" s="104"/>
      <c r="FF32" s="97">
        <v>44</v>
      </c>
      <c r="FG32" s="98">
        <v>42</v>
      </c>
      <c r="FH32" s="98">
        <v>86</v>
      </c>
      <c r="FI32" s="116">
        <v>0.4631578947368421</v>
      </c>
      <c r="FJ32" s="116">
        <v>0.61764705882352944</v>
      </c>
      <c r="FK32" s="116">
        <v>0.52760736196319014</v>
      </c>
      <c r="FL32" s="98">
        <v>203</v>
      </c>
      <c r="FM32" s="98">
        <v>178</v>
      </c>
      <c r="FN32" s="98">
        <v>381</v>
      </c>
      <c r="FO32" s="98">
        <v>140</v>
      </c>
      <c r="FP32" s="98">
        <v>147</v>
      </c>
      <c r="FQ32" s="98">
        <v>287</v>
      </c>
      <c r="FR32" s="103"/>
      <c r="FS32" s="103"/>
      <c r="FT32" s="103"/>
      <c r="FU32" s="98">
        <v>140</v>
      </c>
      <c r="FV32" s="98">
        <v>147</v>
      </c>
      <c r="FW32" s="98">
        <v>287</v>
      </c>
      <c r="FX32" s="116">
        <v>0.68965517241379315</v>
      </c>
      <c r="FY32" s="116">
        <v>0.8258426966292135</v>
      </c>
      <c r="FZ32" s="116">
        <v>0.75328083989501315</v>
      </c>
      <c r="GA32" s="98">
        <v>12633</v>
      </c>
      <c r="GB32" s="98">
        <v>15811</v>
      </c>
      <c r="GC32" s="98">
        <v>28444</v>
      </c>
      <c r="GD32" s="98">
        <v>2803</v>
      </c>
      <c r="GE32" s="98">
        <v>3634</v>
      </c>
      <c r="GF32" s="98">
        <v>6437</v>
      </c>
      <c r="GG32" s="100">
        <v>22.187920525607534</v>
      </c>
      <c r="GH32" s="100">
        <v>22.983998482069445</v>
      </c>
      <c r="GI32" s="100">
        <v>22.630431725495711</v>
      </c>
      <c r="GJ32" s="98">
        <v>92</v>
      </c>
      <c r="GK32" s="98">
        <v>77</v>
      </c>
      <c r="GL32" s="98">
        <v>169</v>
      </c>
      <c r="GM32" s="98">
        <v>36</v>
      </c>
      <c r="GN32" s="98">
        <v>26</v>
      </c>
      <c r="GO32" s="98">
        <v>62</v>
      </c>
      <c r="GP32" s="100">
        <v>39.130434782608695</v>
      </c>
      <c r="GQ32" s="100">
        <v>33.766233766233768</v>
      </c>
      <c r="GR32" s="100">
        <v>36.68639053254438</v>
      </c>
      <c r="GS32" s="98">
        <v>10031</v>
      </c>
      <c r="GT32" s="98">
        <v>12778</v>
      </c>
      <c r="GU32" s="98">
        <v>22809</v>
      </c>
      <c r="GV32" s="98">
        <v>2364</v>
      </c>
      <c r="GW32" s="98">
        <v>3146</v>
      </c>
      <c r="GX32" s="98">
        <v>5510</v>
      </c>
      <c r="GY32" s="100">
        <v>23.566942478317216</v>
      </c>
      <c r="GZ32" s="100">
        <v>24.620441383628112</v>
      </c>
      <c r="HA32" s="100">
        <v>24.157130957078348</v>
      </c>
      <c r="HB32" s="98">
        <v>140</v>
      </c>
      <c r="HC32" s="98">
        <v>147</v>
      </c>
      <c r="HD32" s="98">
        <v>287</v>
      </c>
      <c r="HE32" s="98">
        <v>44</v>
      </c>
      <c r="HF32" s="98">
        <v>49</v>
      </c>
      <c r="HG32" s="98">
        <v>93</v>
      </c>
      <c r="HH32" s="100">
        <v>31.428571428571427</v>
      </c>
      <c r="HI32" s="100">
        <v>33.333333333333336</v>
      </c>
      <c r="HJ32" s="100">
        <v>32.404181184668992</v>
      </c>
    </row>
    <row r="33" spans="1:220" ht="28.5">
      <c r="A33" s="420">
        <v>25</v>
      </c>
      <c r="B33" s="118" t="s">
        <v>159</v>
      </c>
      <c r="C33" s="96">
        <v>8261</v>
      </c>
      <c r="D33" s="96">
        <v>9105</v>
      </c>
      <c r="E33" s="96">
        <v>17366</v>
      </c>
      <c r="F33" s="96">
        <v>6406</v>
      </c>
      <c r="G33" s="96">
        <v>7007</v>
      </c>
      <c r="H33" s="96">
        <v>13413</v>
      </c>
      <c r="I33" s="96">
        <v>121</v>
      </c>
      <c r="J33" s="96">
        <v>133</v>
      </c>
      <c r="K33" s="96">
        <v>254</v>
      </c>
      <c r="L33" s="97">
        <v>6527</v>
      </c>
      <c r="M33" s="98">
        <v>7140</v>
      </c>
      <c r="N33" s="98">
        <v>13667</v>
      </c>
      <c r="O33" s="116">
        <v>0.79009805108340392</v>
      </c>
      <c r="P33" s="116">
        <v>0.78418451400329492</v>
      </c>
      <c r="Q33" s="116">
        <v>0.78699758148105492</v>
      </c>
      <c r="R33" s="96">
        <v>161</v>
      </c>
      <c r="S33" s="96">
        <v>168</v>
      </c>
      <c r="T33" s="96">
        <v>329</v>
      </c>
      <c r="U33" s="96">
        <v>89</v>
      </c>
      <c r="V33" s="96">
        <v>82</v>
      </c>
      <c r="W33" s="96">
        <v>171</v>
      </c>
      <c r="X33" s="96">
        <v>2</v>
      </c>
      <c r="Y33" s="96">
        <v>1</v>
      </c>
      <c r="Z33" s="96">
        <v>3</v>
      </c>
      <c r="AA33" s="97">
        <v>91</v>
      </c>
      <c r="AB33" s="98">
        <v>83</v>
      </c>
      <c r="AC33" s="98">
        <v>174</v>
      </c>
      <c r="AD33" s="116">
        <v>0.56521739130434778</v>
      </c>
      <c r="AE33" s="116">
        <v>0.49404761904761907</v>
      </c>
      <c r="AF33" s="116">
        <v>0.52887537993920974</v>
      </c>
      <c r="AG33" s="98">
        <v>8422</v>
      </c>
      <c r="AH33" s="98">
        <v>9273</v>
      </c>
      <c r="AI33" s="98">
        <v>17695</v>
      </c>
      <c r="AJ33" s="98">
        <v>6495</v>
      </c>
      <c r="AK33" s="98">
        <v>7089</v>
      </c>
      <c r="AL33" s="98">
        <v>13584</v>
      </c>
      <c r="AM33" s="98">
        <v>123</v>
      </c>
      <c r="AN33" s="98">
        <v>134</v>
      </c>
      <c r="AO33" s="98">
        <v>257</v>
      </c>
      <c r="AP33" s="98">
        <v>6618</v>
      </c>
      <c r="AQ33" s="98">
        <v>7223</v>
      </c>
      <c r="AR33" s="98">
        <v>13841</v>
      </c>
      <c r="AS33" s="116">
        <v>0.78579909760151978</v>
      </c>
      <c r="AT33" s="116">
        <v>0.7789280707430174</v>
      </c>
      <c r="AU33" s="116">
        <v>0.78219836111896013</v>
      </c>
      <c r="AV33" s="96">
        <v>25</v>
      </c>
      <c r="AW33" s="96">
        <v>24</v>
      </c>
      <c r="AX33" s="96">
        <v>49</v>
      </c>
      <c r="AY33" s="96">
        <v>23</v>
      </c>
      <c r="AZ33" s="96">
        <v>20</v>
      </c>
      <c r="BA33" s="96">
        <v>43</v>
      </c>
      <c r="BB33" s="403"/>
      <c r="BC33" s="96">
        <v>1</v>
      </c>
      <c r="BD33" s="96">
        <v>1</v>
      </c>
      <c r="BE33" s="97">
        <v>23</v>
      </c>
      <c r="BF33" s="98">
        <v>21</v>
      </c>
      <c r="BG33" s="98">
        <v>44</v>
      </c>
      <c r="BH33" s="116">
        <v>0.92</v>
      </c>
      <c r="BI33" s="116">
        <v>0.875</v>
      </c>
      <c r="BJ33" s="116">
        <v>0.89795918367346939</v>
      </c>
      <c r="BK33" s="403"/>
      <c r="BL33" s="403"/>
      <c r="BM33" s="403"/>
      <c r="BN33" s="403"/>
      <c r="BO33" s="403"/>
      <c r="BP33" s="403"/>
      <c r="BQ33" s="403"/>
      <c r="BR33" s="403"/>
      <c r="BS33" s="403"/>
      <c r="BT33" s="404"/>
      <c r="BU33" s="404"/>
      <c r="BV33" s="404"/>
      <c r="BW33" s="405"/>
      <c r="BX33" s="405"/>
      <c r="BY33" s="405"/>
      <c r="BZ33" s="98">
        <v>25</v>
      </c>
      <c r="CA33" s="98">
        <v>24</v>
      </c>
      <c r="CB33" s="98">
        <v>49</v>
      </c>
      <c r="CC33" s="98">
        <v>23</v>
      </c>
      <c r="CD33" s="98">
        <v>20</v>
      </c>
      <c r="CE33" s="98">
        <v>43</v>
      </c>
      <c r="CF33" s="404"/>
      <c r="CG33" s="98">
        <v>1</v>
      </c>
      <c r="CH33" s="98">
        <v>1</v>
      </c>
      <c r="CI33" s="98">
        <v>23</v>
      </c>
      <c r="CJ33" s="98">
        <v>21</v>
      </c>
      <c r="CK33" s="98">
        <v>44</v>
      </c>
      <c r="CL33" s="116">
        <v>0.92</v>
      </c>
      <c r="CM33" s="116">
        <v>0.875</v>
      </c>
      <c r="CN33" s="116">
        <v>0.89795918367346939</v>
      </c>
      <c r="CO33" s="96">
        <v>8150</v>
      </c>
      <c r="CP33" s="96">
        <v>8961</v>
      </c>
      <c r="CQ33" s="96">
        <v>17111</v>
      </c>
      <c r="CR33" s="96">
        <v>6312</v>
      </c>
      <c r="CS33" s="96">
        <v>6900</v>
      </c>
      <c r="CT33" s="96">
        <v>13212</v>
      </c>
      <c r="CU33" s="96">
        <v>121</v>
      </c>
      <c r="CV33" s="96">
        <v>126</v>
      </c>
      <c r="CW33" s="96">
        <v>247</v>
      </c>
      <c r="CX33" s="97">
        <v>6433</v>
      </c>
      <c r="CY33" s="98">
        <v>7026</v>
      </c>
      <c r="CZ33" s="98">
        <v>13459</v>
      </c>
      <c r="DA33" s="116">
        <v>0.78932515337423315</v>
      </c>
      <c r="DB33" s="116">
        <v>0.78406427854034144</v>
      </c>
      <c r="DC33" s="116">
        <v>0.78657004266261465</v>
      </c>
      <c r="DD33" s="96">
        <v>161</v>
      </c>
      <c r="DE33" s="96">
        <v>165</v>
      </c>
      <c r="DF33" s="96">
        <v>326</v>
      </c>
      <c r="DG33" s="96">
        <v>89</v>
      </c>
      <c r="DH33" s="96">
        <v>82</v>
      </c>
      <c r="DI33" s="96">
        <v>171</v>
      </c>
      <c r="DJ33" s="96">
        <v>2</v>
      </c>
      <c r="DK33" s="96">
        <v>1</v>
      </c>
      <c r="DL33" s="96">
        <v>3</v>
      </c>
      <c r="DM33" s="97">
        <v>91</v>
      </c>
      <c r="DN33" s="98">
        <v>83</v>
      </c>
      <c r="DO33" s="98">
        <v>174</v>
      </c>
      <c r="DP33" s="116">
        <v>0.56521739130434778</v>
      </c>
      <c r="DQ33" s="116">
        <v>0.50303030303030305</v>
      </c>
      <c r="DR33" s="116">
        <v>0.53374233128834359</v>
      </c>
      <c r="DS33" s="98">
        <v>8311</v>
      </c>
      <c r="DT33" s="98">
        <v>9126</v>
      </c>
      <c r="DU33" s="98">
        <v>17437</v>
      </c>
      <c r="DV33" s="98">
        <v>6401</v>
      </c>
      <c r="DW33" s="98">
        <v>6982</v>
      </c>
      <c r="DX33" s="98">
        <v>13383</v>
      </c>
      <c r="DY33" s="98">
        <v>123</v>
      </c>
      <c r="DZ33" s="98">
        <v>127</v>
      </c>
      <c r="EA33" s="98">
        <v>250</v>
      </c>
      <c r="EB33" s="98">
        <v>6524</v>
      </c>
      <c r="EC33" s="98">
        <v>7109</v>
      </c>
      <c r="ED33" s="98">
        <v>13633</v>
      </c>
      <c r="EE33" s="116">
        <v>0.78498375646733243</v>
      </c>
      <c r="EF33" s="116">
        <v>0.77898312513697132</v>
      </c>
      <c r="EG33" s="116">
        <v>0.78184320697367671</v>
      </c>
      <c r="EH33" s="96">
        <v>12</v>
      </c>
      <c r="EI33" s="96">
        <v>16</v>
      </c>
      <c r="EJ33" s="96">
        <v>28</v>
      </c>
      <c r="EK33" s="96">
        <v>11</v>
      </c>
      <c r="EL33" s="96">
        <v>13</v>
      </c>
      <c r="EM33" s="96">
        <v>24</v>
      </c>
      <c r="EN33" s="403"/>
      <c r="EO33" s="403"/>
      <c r="EP33" s="403"/>
      <c r="EQ33" s="97">
        <v>11</v>
      </c>
      <c r="ER33" s="98">
        <v>13</v>
      </c>
      <c r="ES33" s="98">
        <v>24</v>
      </c>
      <c r="ET33" s="116">
        <v>0.91666666666666663</v>
      </c>
      <c r="EU33" s="116">
        <v>0.8125</v>
      </c>
      <c r="EV33" s="116">
        <v>0.8571428571428571</v>
      </c>
      <c r="EW33" s="403"/>
      <c r="EX33" s="403"/>
      <c r="EY33" s="403"/>
      <c r="EZ33" s="403"/>
      <c r="FA33" s="403"/>
      <c r="FB33" s="403"/>
      <c r="FC33" s="403"/>
      <c r="FD33" s="403"/>
      <c r="FE33" s="403"/>
      <c r="FF33" s="404"/>
      <c r="FG33" s="404"/>
      <c r="FH33" s="404"/>
      <c r="FI33" s="405"/>
      <c r="FJ33" s="405"/>
      <c r="FK33" s="405"/>
      <c r="FL33" s="98">
        <v>12</v>
      </c>
      <c r="FM33" s="98">
        <v>16</v>
      </c>
      <c r="FN33" s="98">
        <v>28</v>
      </c>
      <c r="FO33" s="98">
        <v>11</v>
      </c>
      <c r="FP33" s="98">
        <v>13</v>
      </c>
      <c r="FQ33" s="98">
        <v>24</v>
      </c>
      <c r="FR33" s="404"/>
      <c r="FS33" s="404"/>
      <c r="FT33" s="404"/>
      <c r="FU33" s="98">
        <v>11</v>
      </c>
      <c r="FV33" s="98">
        <v>13</v>
      </c>
      <c r="FW33" s="98">
        <v>24</v>
      </c>
      <c r="FX33" s="116">
        <v>0.91666666666666663</v>
      </c>
      <c r="FY33" s="116">
        <v>0.8125</v>
      </c>
      <c r="FZ33" s="116">
        <v>0.8571428571428571</v>
      </c>
      <c r="GA33" s="98">
        <v>6618</v>
      </c>
      <c r="GB33" s="98">
        <v>7223</v>
      </c>
      <c r="GC33" s="98">
        <v>13841</v>
      </c>
      <c r="GD33" s="98">
        <v>2225</v>
      </c>
      <c r="GE33" s="98">
        <v>2580</v>
      </c>
      <c r="GF33" s="98">
        <v>4805</v>
      </c>
      <c r="GG33" s="100">
        <v>33.620429132668477</v>
      </c>
      <c r="GH33" s="100">
        <v>35.719230236743734</v>
      </c>
      <c r="GI33" s="100">
        <v>34.715699732678274</v>
      </c>
      <c r="GJ33" s="98">
        <v>23</v>
      </c>
      <c r="GK33" s="98">
        <v>21</v>
      </c>
      <c r="GL33" s="98">
        <v>44</v>
      </c>
      <c r="GM33" s="98">
        <v>14</v>
      </c>
      <c r="GN33" s="98">
        <v>9</v>
      </c>
      <c r="GO33" s="98">
        <v>23</v>
      </c>
      <c r="GP33" s="100">
        <v>60.869565217391305</v>
      </c>
      <c r="GQ33" s="100">
        <v>42.857142857142854</v>
      </c>
      <c r="GR33" s="100">
        <v>52.272727272727273</v>
      </c>
      <c r="GS33" s="98">
        <v>6524</v>
      </c>
      <c r="GT33" s="98">
        <v>7109</v>
      </c>
      <c r="GU33" s="98">
        <v>13633</v>
      </c>
      <c r="GV33" s="98">
        <v>2173</v>
      </c>
      <c r="GW33" s="98">
        <v>2524</v>
      </c>
      <c r="GX33" s="98">
        <v>4697</v>
      </c>
      <c r="GY33" s="100">
        <v>33.307786633966892</v>
      </c>
      <c r="GZ33" s="100">
        <v>35.504290336193556</v>
      </c>
      <c r="HA33" s="100">
        <v>34.45316511406147</v>
      </c>
      <c r="HB33" s="98">
        <v>11</v>
      </c>
      <c r="HC33" s="98">
        <v>13</v>
      </c>
      <c r="HD33" s="98">
        <v>24</v>
      </c>
      <c r="HE33" s="98">
        <v>8</v>
      </c>
      <c r="HF33" s="98">
        <v>10</v>
      </c>
      <c r="HG33" s="98">
        <v>18</v>
      </c>
      <c r="HH33" s="100">
        <v>72.727272727272734</v>
      </c>
      <c r="HI33" s="100">
        <v>76.92307692307692</v>
      </c>
      <c r="HJ33" s="100">
        <v>75</v>
      </c>
      <c r="HL33" t="s">
        <v>367</v>
      </c>
    </row>
    <row r="34" spans="1:220" ht="28.5">
      <c r="A34" s="420">
        <v>26</v>
      </c>
      <c r="B34" s="118" t="s">
        <v>160</v>
      </c>
      <c r="C34" s="96">
        <v>9069</v>
      </c>
      <c r="D34" s="96">
        <v>9803</v>
      </c>
      <c r="E34" s="96">
        <v>18872</v>
      </c>
      <c r="F34" s="96">
        <v>6658</v>
      </c>
      <c r="G34" s="96">
        <v>7200</v>
      </c>
      <c r="H34" s="96">
        <v>13858</v>
      </c>
      <c r="I34" s="104"/>
      <c r="J34" s="104"/>
      <c r="K34" s="104"/>
      <c r="L34" s="97">
        <v>6658</v>
      </c>
      <c r="M34" s="98">
        <v>7200</v>
      </c>
      <c r="N34" s="98">
        <v>13858</v>
      </c>
      <c r="O34" s="116">
        <v>0.73414929981254828</v>
      </c>
      <c r="P34" s="116">
        <v>0.73446904008976843</v>
      </c>
      <c r="Q34" s="116">
        <v>0.73431538787621875</v>
      </c>
      <c r="R34" s="96">
        <v>1368</v>
      </c>
      <c r="S34" s="96">
        <v>1475</v>
      </c>
      <c r="T34" s="96">
        <v>2843</v>
      </c>
      <c r="U34" s="96">
        <v>229</v>
      </c>
      <c r="V34" s="96">
        <v>248</v>
      </c>
      <c r="W34" s="96">
        <v>477</v>
      </c>
      <c r="X34" s="104"/>
      <c r="Y34" s="104"/>
      <c r="Z34" s="104"/>
      <c r="AA34" s="97">
        <v>229</v>
      </c>
      <c r="AB34" s="98">
        <v>248</v>
      </c>
      <c r="AC34" s="98">
        <v>477</v>
      </c>
      <c r="AD34" s="116">
        <v>0.16739766081871346</v>
      </c>
      <c r="AE34" s="116">
        <v>0.168135593220339</v>
      </c>
      <c r="AF34" s="116">
        <v>0.16778051354203308</v>
      </c>
      <c r="AG34" s="98">
        <v>10437</v>
      </c>
      <c r="AH34" s="98">
        <v>11278</v>
      </c>
      <c r="AI34" s="98">
        <v>21715</v>
      </c>
      <c r="AJ34" s="98">
        <v>6887</v>
      </c>
      <c r="AK34" s="98">
        <v>7448</v>
      </c>
      <c r="AL34" s="98">
        <v>14335</v>
      </c>
      <c r="AM34" s="103"/>
      <c r="AN34" s="103"/>
      <c r="AO34" s="103"/>
      <c r="AP34" s="98">
        <v>6887</v>
      </c>
      <c r="AQ34" s="98">
        <v>7448</v>
      </c>
      <c r="AR34" s="98">
        <v>14335</v>
      </c>
      <c r="AS34" s="116">
        <v>0.65986394557823125</v>
      </c>
      <c r="AT34" s="116">
        <v>0.66040078028019156</v>
      </c>
      <c r="AU34" s="116">
        <v>0.66014275846189274</v>
      </c>
      <c r="AV34" s="96">
        <v>83</v>
      </c>
      <c r="AW34" s="96">
        <v>88</v>
      </c>
      <c r="AX34" s="96">
        <v>171</v>
      </c>
      <c r="AY34" s="96">
        <v>64</v>
      </c>
      <c r="AZ34" s="96">
        <v>71</v>
      </c>
      <c r="BA34" s="96">
        <v>135</v>
      </c>
      <c r="BB34" s="104"/>
      <c r="BC34" s="104"/>
      <c r="BD34" s="104"/>
      <c r="BE34" s="97">
        <v>64</v>
      </c>
      <c r="BF34" s="98">
        <v>71</v>
      </c>
      <c r="BG34" s="98">
        <v>135</v>
      </c>
      <c r="BH34" s="116">
        <v>0.77108433734939763</v>
      </c>
      <c r="BI34" s="116">
        <v>0.80681818181818177</v>
      </c>
      <c r="BJ34" s="116">
        <v>0.78947368421052633</v>
      </c>
      <c r="BK34" s="96">
        <v>12</v>
      </c>
      <c r="BL34" s="96">
        <v>7</v>
      </c>
      <c r="BM34" s="96">
        <v>19</v>
      </c>
      <c r="BN34" s="96">
        <v>3</v>
      </c>
      <c r="BO34" s="403"/>
      <c r="BP34" s="96">
        <v>3</v>
      </c>
      <c r="BQ34" s="104"/>
      <c r="BR34" s="104"/>
      <c r="BS34" s="104"/>
      <c r="BT34" s="97">
        <v>3</v>
      </c>
      <c r="BU34" s="404"/>
      <c r="BV34" s="98">
        <v>3</v>
      </c>
      <c r="BW34" s="116">
        <v>0.25</v>
      </c>
      <c r="BX34" s="116">
        <v>0</v>
      </c>
      <c r="BY34" s="116">
        <v>0.15789473684210525</v>
      </c>
      <c r="BZ34" s="98">
        <v>95</v>
      </c>
      <c r="CA34" s="98">
        <v>95</v>
      </c>
      <c r="CB34" s="98">
        <v>190</v>
      </c>
      <c r="CC34" s="98">
        <v>67</v>
      </c>
      <c r="CD34" s="98">
        <v>71</v>
      </c>
      <c r="CE34" s="98">
        <v>138</v>
      </c>
      <c r="CF34" s="103"/>
      <c r="CG34" s="103"/>
      <c r="CH34" s="103"/>
      <c r="CI34" s="98">
        <v>67</v>
      </c>
      <c r="CJ34" s="98">
        <v>71</v>
      </c>
      <c r="CK34" s="98">
        <v>138</v>
      </c>
      <c r="CL34" s="116">
        <v>0.70526315789473681</v>
      </c>
      <c r="CM34" s="116">
        <v>0.74736842105263157</v>
      </c>
      <c r="CN34" s="116">
        <v>0.72631578947368425</v>
      </c>
      <c r="CO34" s="96">
        <v>8070</v>
      </c>
      <c r="CP34" s="96">
        <v>8840</v>
      </c>
      <c r="CQ34" s="96">
        <v>16910</v>
      </c>
      <c r="CR34" s="96">
        <v>5853</v>
      </c>
      <c r="CS34" s="96">
        <v>6420</v>
      </c>
      <c r="CT34" s="96">
        <v>12273</v>
      </c>
      <c r="CU34" s="104"/>
      <c r="CV34" s="104"/>
      <c r="CW34" s="104"/>
      <c r="CX34" s="97">
        <v>5853</v>
      </c>
      <c r="CY34" s="98">
        <v>6420</v>
      </c>
      <c r="CZ34" s="98">
        <v>12273</v>
      </c>
      <c r="DA34" s="116">
        <v>0.72527881040892195</v>
      </c>
      <c r="DB34" s="116">
        <v>0.72624434389140269</v>
      </c>
      <c r="DC34" s="116">
        <v>0.72578356002365463</v>
      </c>
      <c r="DD34" s="96">
        <v>1269</v>
      </c>
      <c r="DE34" s="96">
        <v>1384</v>
      </c>
      <c r="DF34" s="96">
        <v>2653</v>
      </c>
      <c r="DG34" s="96">
        <v>211</v>
      </c>
      <c r="DH34" s="96">
        <v>231</v>
      </c>
      <c r="DI34" s="96">
        <v>442</v>
      </c>
      <c r="DJ34" s="104"/>
      <c r="DK34" s="104"/>
      <c r="DL34" s="104"/>
      <c r="DM34" s="97">
        <v>211</v>
      </c>
      <c r="DN34" s="98">
        <v>231</v>
      </c>
      <c r="DO34" s="98">
        <v>442</v>
      </c>
      <c r="DP34" s="116">
        <v>0.16627265563435775</v>
      </c>
      <c r="DQ34" s="116">
        <v>0.16690751445086704</v>
      </c>
      <c r="DR34" s="116">
        <v>0.16660384470410855</v>
      </c>
      <c r="DS34" s="98">
        <v>9339</v>
      </c>
      <c r="DT34" s="98">
        <v>10224</v>
      </c>
      <c r="DU34" s="98">
        <v>19563</v>
      </c>
      <c r="DV34" s="98">
        <v>6064</v>
      </c>
      <c r="DW34" s="98">
        <v>6651</v>
      </c>
      <c r="DX34" s="98">
        <v>12715</v>
      </c>
      <c r="DY34" s="103"/>
      <c r="DZ34" s="103"/>
      <c r="EA34" s="103"/>
      <c r="EB34" s="98">
        <v>6064</v>
      </c>
      <c r="EC34" s="98">
        <v>6651</v>
      </c>
      <c r="ED34" s="98">
        <v>12715</v>
      </c>
      <c r="EE34" s="116">
        <v>0.64932005568047968</v>
      </c>
      <c r="EF34" s="116">
        <v>0.6505281690140845</v>
      </c>
      <c r="EG34" s="116">
        <v>0.64995143894085772</v>
      </c>
      <c r="EH34" s="428">
        <v>113</v>
      </c>
      <c r="EI34" s="428">
        <v>148</v>
      </c>
      <c r="EJ34" s="428">
        <v>261</v>
      </c>
      <c r="EK34" s="428">
        <v>159</v>
      </c>
      <c r="EL34" s="428">
        <v>129</v>
      </c>
      <c r="EM34" s="428">
        <v>288</v>
      </c>
      <c r="EN34" s="428"/>
      <c r="EO34" s="428"/>
      <c r="EP34" s="428"/>
      <c r="EQ34" s="429">
        <v>159</v>
      </c>
      <c r="ER34" s="429">
        <v>129</v>
      </c>
      <c r="ES34" s="429">
        <v>288</v>
      </c>
      <c r="ET34" s="399">
        <v>1.4070796460176991</v>
      </c>
      <c r="EU34" s="399">
        <v>0.8716216216216216</v>
      </c>
      <c r="EV34" s="399">
        <v>1.103448275862069</v>
      </c>
      <c r="EW34" s="96">
        <v>21</v>
      </c>
      <c r="EX34" s="96">
        <v>9</v>
      </c>
      <c r="EY34" s="96">
        <v>30</v>
      </c>
      <c r="EZ34" s="96">
        <v>3</v>
      </c>
      <c r="FA34" s="96">
        <v>2</v>
      </c>
      <c r="FB34" s="96">
        <v>5</v>
      </c>
      <c r="FC34" s="104"/>
      <c r="FD34" s="104"/>
      <c r="FE34" s="104"/>
      <c r="FF34" s="97">
        <v>3</v>
      </c>
      <c r="FG34" s="98">
        <v>2</v>
      </c>
      <c r="FH34" s="98">
        <v>5</v>
      </c>
      <c r="FI34" s="116">
        <v>0.14285714285714285</v>
      </c>
      <c r="FJ34" s="116">
        <v>0.22222222222222221</v>
      </c>
      <c r="FK34" s="116">
        <v>0.16666666666666666</v>
      </c>
      <c r="FL34" s="98">
        <v>134</v>
      </c>
      <c r="FM34" s="98">
        <v>157</v>
      </c>
      <c r="FN34" s="98">
        <v>291</v>
      </c>
      <c r="FO34" s="98">
        <v>162</v>
      </c>
      <c r="FP34" s="98">
        <v>131</v>
      </c>
      <c r="FQ34" s="98">
        <v>293</v>
      </c>
      <c r="FR34" s="404"/>
      <c r="FS34" s="404"/>
      <c r="FT34" s="404"/>
      <c r="FU34" s="98">
        <v>162</v>
      </c>
      <c r="FV34" s="98">
        <v>131</v>
      </c>
      <c r="FW34" s="98">
        <v>293</v>
      </c>
      <c r="FX34" s="399">
        <v>1.208955223880597</v>
      </c>
      <c r="FY34" s="399">
        <v>0.83439490445859876</v>
      </c>
      <c r="FZ34" s="399">
        <v>1.006872852233677</v>
      </c>
      <c r="GA34" s="98">
        <v>6887</v>
      </c>
      <c r="GB34" s="98">
        <v>7448</v>
      </c>
      <c r="GC34" s="98">
        <v>14335</v>
      </c>
      <c r="GD34" s="101">
        <v>2801</v>
      </c>
      <c r="GE34" s="101">
        <v>3573</v>
      </c>
      <c r="GF34" s="98">
        <v>6374</v>
      </c>
      <c r="GG34" s="100">
        <v>40.670829098301148</v>
      </c>
      <c r="GH34" s="100">
        <v>47.972610096670245</v>
      </c>
      <c r="GI34" s="100">
        <v>44.464597139867458</v>
      </c>
      <c r="GJ34" s="98">
        <v>67</v>
      </c>
      <c r="GK34" s="98">
        <v>71</v>
      </c>
      <c r="GL34" s="98">
        <v>138</v>
      </c>
      <c r="GM34" s="101">
        <v>33</v>
      </c>
      <c r="GN34" s="101">
        <v>37</v>
      </c>
      <c r="GO34" s="98">
        <v>70</v>
      </c>
      <c r="GP34" s="100">
        <v>49.253731343283583</v>
      </c>
      <c r="GQ34" s="100">
        <v>52.112676056338032</v>
      </c>
      <c r="GR34" s="100">
        <v>50.724637681159422</v>
      </c>
      <c r="GS34" s="98">
        <v>6064</v>
      </c>
      <c r="GT34" s="98">
        <v>6651</v>
      </c>
      <c r="GU34" s="98">
        <v>12715</v>
      </c>
      <c r="GV34" s="101">
        <v>2385</v>
      </c>
      <c r="GW34" s="101">
        <v>3122</v>
      </c>
      <c r="GX34" s="98">
        <v>5507</v>
      </c>
      <c r="GY34" s="100">
        <v>39.330474934036943</v>
      </c>
      <c r="GZ34" s="100">
        <v>46.940309727860473</v>
      </c>
      <c r="HA34" s="100">
        <v>43.311049941014552</v>
      </c>
      <c r="HB34" s="98">
        <v>162</v>
      </c>
      <c r="HC34" s="98">
        <v>131</v>
      </c>
      <c r="HD34" s="98">
        <v>293</v>
      </c>
      <c r="HE34" s="101">
        <v>91</v>
      </c>
      <c r="HF34" s="101">
        <v>71</v>
      </c>
      <c r="HG34" s="98">
        <v>162</v>
      </c>
      <c r="HH34" s="100">
        <v>56.172839506172842</v>
      </c>
      <c r="HI34" s="100">
        <v>54.198473282442748</v>
      </c>
      <c r="HJ34" s="100">
        <v>55.290102389078498</v>
      </c>
    </row>
    <row r="35" spans="1:220" ht="28.5">
      <c r="A35" s="420">
        <v>27</v>
      </c>
      <c r="B35" s="118" t="s">
        <v>142</v>
      </c>
      <c r="C35" s="96">
        <v>274379</v>
      </c>
      <c r="D35" s="96">
        <v>279960</v>
      </c>
      <c r="E35" s="96">
        <v>554339</v>
      </c>
      <c r="F35" s="96">
        <v>210129</v>
      </c>
      <c r="G35" s="96">
        <v>217666</v>
      </c>
      <c r="H35" s="96">
        <v>427795</v>
      </c>
      <c r="I35" s="96">
        <v>4777</v>
      </c>
      <c r="J35" s="96">
        <v>4738</v>
      </c>
      <c r="K35" s="96">
        <v>9515</v>
      </c>
      <c r="L35" s="97">
        <v>214906</v>
      </c>
      <c r="M35" s="98">
        <v>222404</v>
      </c>
      <c r="N35" s="98">
        <v>437310</v>
      </c>
      <c r="O35" s="116">
        <v>0.78324507342034189</v>
      </c>
      <c r="P35" s="116">
        <v>0.79441348764109154</v>
      </c>
      <c r="Q35" s="116">
        <v>0.78888550147112146</v>
      </c>
      <c r="R35" s="403"/>
      <c r="S35" s="403"/>
      <c r="T35" s="403"/>
      <c r="U35" s="403"/>
      <c r="V35" s="403"/>
      <c r="W35" s="403"/>
      <c r="X35" s="403"/>
      <c r="Y35" s="403"/>
      <c r="Z35" s="403"/>
      <c r="AA35" s="404"/>
      <c r="AB35" s="404"/>
      <c r="AC35" s="404"/>
      <c r="AD35" s="405"/>
      <c r="AE35" s="405"/>
      <c r="AF35" s="405"/>
      <c r="AG35" s="98">
        <v>274379</v>
      </c>
      <c r="AH35" s="98">
        <v>279960</v>
      </c>
      <c r="AI35" s="98">
        <v>554339</v>
      </c>
      <c r="AJ35" s="98">
        <v>210129</v>
      </c>
      <c r="AK35" s="98">
        <v>217666</v>
      </c>
      <c r="AL35" s="98">
        <v>427795</v>
      </c>
      <c r="AM35" s="98">
        <v>4777</v>
      </c>
      <c r="AN35" s="98">
        <v>4738</v>
      </c>
      <c r="AO35" s="98">
        <v>9515</v>
      </c>
      <c r="AP35" s="98">
        <v>214906</v>
      </c>
      <c r="AQ35" s="98">
        <v>222404</v>
      </c>
      <c r="AR35" s="98">
        <v>437310</v>
      </c>
      <c r="AS35" s="116">
        <v>0.78324507342034189</v>
      </c>
      <c r="AT35" s="116">
        <v>0.79441348764109154</v>
      </c>
      <c r="AU35" s="116">
        <v>0.78888550147112146</v>
      </c>
      <c r="AV35" s="96">
        <v>52595</v>
      </c>
      <c r="AW35" s="96">
        <v>55036</v>
      </c>
      <c r="AX35" s="96">
        <v>107631</v>
      </c>
      <c r="AY35" s="96">
        <v>37086</v>
      </c>
      <c r="AZ35" s="96">
        <v>38428</v>
      </c>
      <c r="BA35" s="96">
        <v>75514</v>
      </c>
      <c r="BB35" s="403"/>
      <c r="BC35" s="403"/>
      <c r="BD35" s="403"/>
      <c r="BE35" s="97">
        <v>37086</v>
      </c>
      <c r="BF35" s="98">
        <v>38428</v>
      </c>
      <c r="BG35" s="98">
        <v>75514</v>
      </c>
      <c r="BH35" s="116">
        <v>0.70512406122254967</v>
      </c>
      <c r="BI35" s="116">
        <v>0.6982338832764009</v>
      </c>
      <c r="BJ35" s="116">
        <v>0.70160083990671829</v>
      </c>
      <c r="BK35" s="403"/>
      <c r="BL35" s="403"/>
      <c r="BM35" s="403"/>
      <c r="BN35" s="403"/>
      <c r="BO35" s="403"/>
      <c r="BP35" s="403"/>
      <c r="BQ35" s="403"/>
      <c r="BR35" s="403"/>
      <c r="BS35" s="403"/>
      <c r="BT35" s="404"/>
      <c r="BU35" s="404"/>
      <c r="BV35" s="404"/>
      <c r="BW35" s="405"/>
      <c r="BX35" s="405"/>
      <c r="BY35" s="405"/>
      <c r="BZ35" s="98">
        <v>52595</v>
      </c>
      <c r="CA35" s="98">
        <v>55036</v>
      </c>
      <c r="CB35" s="98">
        <v>107631</v>
      </c>
      <c r="CC35" s="98">
        <v>37086</v>
      </c>
      <c r="CD35" s="98">
        <v>38428</v>
      </c>
      <c r="CE35" s="98">
        <v>75514</v>
      </c>
      <c r="CF35" s="404"/>
      <c r="CG35" s="404"/>
      <c r="CH35" s="404"/>
      <c r="CI35" s="98">
        <v>37086</v>
      </c>
      <c r="CJ35" s="98">
        <v>38428</v>
      </c>
      <c r="CK35" s="98">
        <v>75514</v>
      </c>
      <c r="CL35" s="116">
        <v>0.70512406122254967</v>
      </c>
      <c r="CM35" s="116">
        <v>0.6982338832764009</v>
      </c>
      <c r="CN35" s="116">
        <v>0.70160083990671829</v>
      </c>
      <c r="CO35" s="96">
        <v>58000</v>
      </c>
      <c r="CP35" s="96">
        <v>61832</v>
      </c>
      <c r="CQ35" s="96">
        <v>119832</v>
      </c>
      <c r="CR35" s="96">
        <v>40914</v>
      </c>
      <c r="CS35" s="96">
        <v>45102</v>
      </c>
      <c r="CT35" s="96">
        <v>86016</v>
      </c>
      <c r="CU35" s="403"/>
      <c r="CV35" s="403"/>
      <c r="CW35" s="403"/>
      <c r="CX35" s="97">
        <v>40914</v>
      </c>
      <c r="CY35" s="98">
        <v>45102</v>
      </c>
      <c r="CZ35" s="98">
        <v>86016</v>
      </c>
      <c r="DA35" s="116">
        <v>0.70541379310344832</v>
      </c>
      <c r="DB35" s="116">
        <v>0.72942812783024968</v>
      </c>
      <c r="DC35" s="116">
        <v>0.71780492689765674</v>
      </c>
      <c r="DD35" s="403"/>
      <c r="DE35" s="403"/>
      <c r="DF35" s="403"/>
      <c r="DG35" s="403"/>
      <c r="DH35" s="403"/>
      <c r="DI35" s="403"/>
      <c r="DJ35" s="403"/>
      <c r="DK35" s="403"/>
      <c r="DL35" s="403"/>
      <c r="DM35" s="404"/>
      <c r="DN35" s="404"/>
      <c r="DO35" s="404"/>
      <c r="DP35" s="405"/>
      <c r="DQ35" s="405"/>
      <c r="DR35" s="405"/>
      <c r="DS35" s="98">
        <v>58000</v>
      </c>
      <c r="DT35" s="98">
        <v>61832</v>
      </c>
      <c r="DU35" s="98">
        <v>119832</v>
      </c>
      <c r="DV35" s="98">
        <v>40914</v>
      </c>
      <c r="DW35" s="98">
        <v>45102</v>
      </c>
      <c r="DX35" s="98">
        <v>86016</v>
      </c>
      <c r="DY35" s="404"/>
      <c r="DZ35" s="404"/>
      <c r="EA35" s="404"/>
      <c r="EB35" s="98">
        <v>40914</v>
      </c>
      <c r="EC35" s="98">
        <v>45102</v>
      </c>
      <c r="ED35" s="98">
        <v>86016</v>
      </c>
      <c r="EE35" s="116">
        <v>0.70541379310344832</v>
      </c>
      <c r="EF35" s="116">
        <v>0.72942812783024968</v>
      </c>
      <c r="EG35" s="116">
        <v>0.71780492689765674</v>
      </c>
      <c r="EH35" s="96">
        <v>163784</v>
      </c>
      <c r="EI35" s="96">
        <v>163092</v>
      </c>
      <c r="EJ35" s="96">
        <v>326876</v>
      </c>
      <c r="EK35" s="96">
        <v>132129</v>
      </c>
      <c r="EL35" s="96">
        <v>134136</v>
      </c>
      <c r="EM35" s="96">
        <v>266265</v>
      </c>
      <c r="EN35" s="403"/>
      <c r="EO35" s="403"/>
      <c r="EP35" s="393">
        <v>9515</v>
      </c>
      <c r="EQ35" s="97">
        <v>132129</v>
      </c>
      <c r="ER35" s="98">
        <v>134136</v>
      </c>
      <c r="ES35" s="98">
        <v>275780</v>
      </c>
      <c r="ET35" s="116">
        <v>0.80672715283544183</v>
      </c>
      <c r="EU35" s="116">
        <v>0.82245603708336401</v>
      </c>
      <c r="EV35" s="116">
        <v>0.84368384341462821</v>
      </c>
      <c r="EW35" s="403"/>
      <c r="EX35" s="403"/>
      <c r="EY35" s="403"/>
      <c r="EZ35" s="403"/>
      <c r="FA35" s="403"/>
      <c r="FB35" s="403"/>
      <c r="FC35" s="403"/>
      <c r="FD35" s="403"/>
      <c r="FE35" s="403"/>
      <c r="FF35" s="404"/>
      <c r="FG35" s="404"/>
      <c r="FH35" s="404"/>
      <c r="FI35" s="405"/>
      <c r="FJ35" s="405"/>
      <c r="FK35" s="405"/>
      <c r="FL35" s="98">
        <v>163784</v>
      </c>
      <c r="FM35" s="98">
        <v>163092</v>
      </c>
      <c r="FN35" s="98">
        <v>326876</v>
      </c>
      <c r="FO35" s="98">
        <v>132129</v>
      </c>
      <c r="FP35" s="98">
        <v>134136</v>
      </c>
      <c r="FQ35" s="98">
        <v>266265</v>
      </c>
      <c r="FR35" s="404"/>
      <c r="FS35" s="404"/>
      <c r="FT35" s="404"/>
      <c r="FU35" s="98">
        <v>132129</v>
      </c>
      <c r="FV35" s="98">
        <v>134136</v>
      </c>
      <c r="FW35" s="98">
        <v>275780</v>
      </c>
      <c r="FX35" s="116">
        <v>0.80672715283544183</v>
      </c>
      <c r="FY35" s="116">
        <v>0.82245603708336401</v>
      </c>
      <c r="FZ35" s="116">
        <v>0.84368384341462821</v>
      </c>
      <c r="GA35" s="98">
        <v>214906</v>
      </c>
      <c r="GB35" s="98">
        <v>222404</v>
      </c>
      <c r="GC35" s="98">
        <v>437310</v>
      </c>
      <c r="GD35" s="101">
        <v>59993</v>
      </c>
      <c r="GE35" s="101">
        <v>64201</v>
      </c>
      <c r="GF35" s="98">
        <v>124194</v>
      </c>
      <c r="GG35" s="100">
        <v>27.915926032777122</v>
      </c>
      <c r="GH35" s="100">
        <v>28.866836927393393</v>
      </c>
      <c r="GI35" s="100">
        <v>28.399533511696507</v>
      </c>
      <c r="GJ35" s="98">
        <v>37086</v>
      </c>
      <c r="GK35" s="98">
        <v>38428</v>
      </c>
      <c r="GL35" s="98">
        <v>75514</v>
      </c>
      <c r="GM35" s="101">
        <v>8020</v>
      </c>
      <c r="GN35" s="101">
        <v>8566</v>
      </c>
      <c r="GO35" s="98">
        <v>16586</v>
      </c>
      <c r="GP35" s="100">
        <v>21.625411206385159</v>
      </c>
      <c r="GQ35" s="100">
        <v>22.291037784948475</v>
      </c>
      <c r="GR35" s="100">
        <v>21.96413910003443</v>
      </c>
      <c r="GS35" s="98">
        <v>40914</v>
      </c>
      <c r="GT35" s="98">
        <v>45102</v>
      </c>
      <c r="GU35" s="98">
        <v>86016</v>
      </c>
      <c r="GV35" s="101">
        <v>6070</v>
      </c>
      <c r="GW35" s="101">
        <v>6986</v>
      </c>
      <c r="GX35" s="98">
        <v>13056</v>
      </c>
      <c r="GY35" s="100">
        <v>14.835997458082808</v>
      </c>
      <c r="GZ35" s="100">
        <v>15.489335284466321</v>
      </c>
      <c r="HA35" s="100">
        <v>15.178571428571429</v>
      </c>
      <c r="HB35" s="98">
        <v>132129</v>
      </c>
      <c r="HC35" s="98">
        <v>134136</v>
      </c>
      <c r="HD35" s="98">
        <v>275780</v>
      </c>
      <c r="HE35" s="101">
        <v>45903</v>
      </c>
      <c r="HF35" s="101">
        <v>48649</v>
      </c>
      <c r="HG35" s="98">
        <v>94552</v>
      </c>
      <c r="HH35" s="100">
        <v>34.741048520763798</v>
      </c>
      <c r="HI35" s="100">
        <v>36.268414146836044</v>
      </c>
      <c r="HJ35" s="100">
        <v>34.285299876713324</v>
      </c>
    </row>
    <row r="36" spans="1:220">
      <c r="A36" s="420">
        <v>28</v>
      </c>
      <c r="B36" s="118" t="s">
        <v>162</v>
      </c>
      <c r="C36" s="96">
        <v>218629</v>
      </c>
      <c r="D36" s="96">
        <v>159835</v>
      </c>
      <c r="E36" s="96">
        <v>378464</v>
      </c>
      <c r="F36" s="96">
        <v>110990</v>
      </c>
      <c r="G36" s="96">
        <v>108690</v>
      </c>
      <c r="H36" s="96">
        <v>219680</v>
      </c>
      <c r="I36" s="96">
        <v>20337</v>
      </c>
      <c r="J36" s="96">
        <v>13170</v>
      </c>
      <c r="K36" s="96">
        <v>33507</v>
      </c>
      <c r="L36" s="97">
        <v>131327</v>
      </c>
      <c r="M36" s="98">
        <v>121860</v>
      </c>
      <c r="N36" s="98">
        <v>253187</v>
      </c>
      <c r="O36" s="116">
        <v>0.60068426421014598</v>
      </c>
      <c r="P36" s="116">
        <v>0.76241123658773113</v>
      </c>
      <c r="Q36" s="116">
        <v>0.66898568952397053</v>
      </c>
      <c r="R36" s="96">
        <v>17477</v>
      </c>
      <c r="S36" s="96">
        <v>10338</v>
      </c>
      <c r="T36" s="96">
        <v>27815</v>
      </c>
      <c r="U36" s="96">
        <v>11540</v>
      </c>
      <c r="V36" s="96">
        <v>8134</v>
      </c>
      <c r="W36" s="96">
        <v>19674</v>
      </c>
      <c r="X36" s="403"/>
      <c r="Y36" s="403"/>
      <c r="Z36" s="403"/>
      <c r="AA36" s="97">
        <v>11540</v>
      </c>
      <c r="AB36" s="98">
        <v>8134</v>
      </c>
      <c r="AC36" s="98">
        <v>19674</v>
      </c>
      <c r="AD36" s="116">
        <v>0.66029638954053904</v>
      </c>
      <c r="AE36" s="116">
        <v>0.78680595859934221</v>
      </c>
      <c r="AF36" s="116">
        <v>0.70731619629696207</v>
      </c>
      <c r="AG36" s="98">
        <v>236106</v>
      </c>
      <c r="AH36" s="98">
        <v>170173</v>
      </c>
      <c r="AI36" s="98">
        <v>406279</v>
      </c>
      <c r="AJ36" s="98">
        <v>122530</v>
      </c>
      <c r="AK36" s="98">
        <v>116824</v>
      </c>
      <c r="AL36" s="98">
        <v>239354</v>
      </c>
      <c r="AM36" s="98">
        <v>20337</v>
      </c>
      <c r="AN36" s="98">
        <v>13170</v>
      </c>
      <c r="AO36" s="98">
        <v>33507</v>
      </c>
      <c r="AP36" s="98">
        <v>142867</v>
      </c>
      <c r="AQ36" s="98">
        <v>129994</v>
      </c>
      <c r="AR36" s="98">
        <v>272861</v>
      </c>
      <c r="AS36" s="116">
        <v>0.60509686327327561</v>
      </c>
      <c r="AT36" s="116">
        <v>0.76389321455224979</v>
      </c>
      <c r="AU36" s="116">
        <v>0.67160990353919348</v>
      </c>
      <c r="AV36" s="96">
        <v>89826</v>
      </c>
      <c r="AW36" s="96">
        <v>73113</v>
      </c>
      <c r="AX36" s="96">
        <v>162939</v>
      </c>
      <c r="AY36" s="96">
        <v>39632</v>
      </c>
      <c r="AZ36" s="96">
        <v>44234</v>
      </c>
      <c r="BA36" s="96">
        <v>83866</v>
      </c>
      <c r="BB36" s="96">
        <v>9425</v>
      </c>
      <c r="BC36" s="96">
        <v>7304</v>
      </c>
      <c r="BD36" s="96">
        <v>16729</v>
      </c>
      <c r="BE36" s="97">
        <v>49057</v>
      </c>
      <c r="BF36" s="98">
        <v>51538</v>
      </c>
      <c r="BG36" s="98">
        <v>100595</v>
      </c>
      <c r="BH36" s="116">
        <v>0.54613363614098365</v>
      </c>
      <c r="BI36" s="116">
        <v>0.70490883974122254</v>
      </c>
      <c r="BJ36" s="116">
        <v>0.61737828267020178</v>
      </c>
      <c r="BK36" s="96">
        <v>3809</v>
      </c>
      <c r="BL36" s="96">
        <v>2493</v>
      </c>
      <c r="BM36" s="96">
        <v>6302</v>
      </c>
      <c r="BN36" s="96">
        <v>2441</v>
      </c>
      <c r="BO36" s="96">
        <v>2035</v>
      </c>
      <c r="BP36" s="96">
        <v>4476</v>
      </c>
      <c r="BQ36" s="403"/>
      <c r="BR36" s="403"/>
      <c r="BS36" s="403"/>
      <c r="BT36" s="97">
        <v>2441</v>
      </c>
      <c r="BU36" s="98">
        <v>2035</v>
      </c>
      <c r="BV36" s="98">
        <v>4476</v>
      </c>
      <c r="BW36" s="116">
        <v>0.64085061695983203</v>
      </c>
      <c r="BX36" s="116">
        <v>0.81628559967910153</v>
      </c>
      <c r="BY36" s="116">
        <v>0.71025071405902884</v>
      </c>
      <c r="BZ36" s="98">
        <v>93635</v>
      </c>
      <c r="CA36" s="98">
        <v>75606</v>
      </c>
      <c r="CB36" s="98">
        <v>169241</v>
      </c>
      <c r="CC36" s="98">
        <v>42073</v>
      </c>
      <c r="CD36" s="98">
        <v>46269</v>
      </c>
      <c r="CE36" s="98">
        <v>88342</v>
      </c>
      <c r="CF36" s="98">
        <v>9425</v>
      </c>
      <c r="CG36" s="98">
        <v>7304</v>
      </c>
      <c r="CH36" s="98">
        <v>16729</v>
      </c>
      <c r="CI36" s="98">
        <v>51498</v>
      </c>
      <c r="CJ36" s="98">
        <v>53573</v>
      </c>
      <c r="CK36" s="98">
        <v>105071</v>
      </c>
      <c r="CL36" s="116">
        <v>0.54998665029102367</v>
      </c>
      <c r="CM36" s="116">
        <v>0.70858132952411179</v>
      </c>
      <c r="CN36" s="116">
        <v>0.62083655851714414</v>
      </c>
      <c r="CO36" s="96">
        <v>64</v>
      </c>
      <c r="CP36" s="96">
        <v>33</v>
      </c>
      <c r="CQ36" s="96">
        <v>97</v>
      </c>
      <c r="CR36" s="96">
        <v>31</v>
      </c>
      <c r="CS36" s="96">
        <v>21</v>
      </c>
      <c r="CT36" s="96">
        <v>52</v>
      </c>
      <c r="CU36" s="96">
        <v>8</v>
      </c>
      <c r="CV36" s="96">
        <v>1</v>
      </c>
      <c r="CW36" s="96">
        <v>9</v>
      </c>
      <c r="CX36" s="97">
        <v>39</v>
      </c>
      <c r="CY36" s="98">
        <v>22</v>
      </c>
      <c r="CZ36" s="98">
        <v>61</v>
      </c>
      <c r="DA36" s="116">
        <v>0.609375</v>
      </c>
      <c r="DB36" s="116">
        <v>0.66666666666666663</v>
      </c>
      <c r="DC36" s="116">
        <v>0.62886597938144329</v>
      </c>
      <c r="DD36" s="96">
        <v>2</v>
      </c>
      <c r="DE36" s="96">
        <v>2</v>
      </c>
      <c r="DF36" s="96">
        <v>4</v>
      </c>
      <c r="DG36" s="96">
        <v>2</v>
      </c>
      <c r="DH36" s="96">
        <v>2</v>
      </c>
      <c r="DI36" s="96">
        <v>4</v>
      </c>
      <c r="DJ36" s="403"/>
      <c r="DK36" s="403"/>
      <c r="DL36" s="403"/>
      <c r="DM36" s="97">
        <v>2</v>
      </c>
      <c r="DN36" s="98">
        <v>2</v>
      </c>
      <c r="DO36" s="98">
        <v>4</v>
      </c>
      <c r="DP36" s="116">
        <v>1</v>
      </c>
      <c r="DQ36" s="116">
        <v>1</v>
      </c>
      <c r="DR36" s="116">
        <v>1</v>
      </c>
      <c r="DS36" s="98">
        <v>8556</v>
      </c>
      <c r="DT36" s="98">
        <v>6849</v>
      </c>
      <c r="DU36" s="98">
        <v>15405</v>
      </c>
      <c r="DV36" s="98">
        <v>5037</v>
      </c>
      <c r="DW36" s="98">
        <v>5080</v>
      </c>
      <c r="DX36" s="98">
        <v>10117</v>
      </c>
      <c r="DY36" s="98">
        <v>827</v>
      </c>
      <c r="DZ36" s="98">
        <v>555</v>
      </c>
      <c r="EA36" s="98">
        <v>1382</v>
      </c>
      <c r="EB36" s="98">
        <v>41</v>
      </c>
      <c r="EC36" s="98">
        <v>24</v>
      </c>
      <c r="ED36" s="98">
        <v>65</v>
      </c>
      <c r="EE36" s="116">
        <v>4.7919588592800376E-3</v>
      </c>
      <c r="EF36" s="116">
        <v>3.504161191414805E-3</v>
      </c>
      <c r="EG36" s="116">
        <v>4.2194092827004216E-3</v>
      </c>
      <c r="EH36" s="96">
        <v>8556</v>
      </c>
      <c r="EI36" s="96">
        <v>6849</v>
      </c>
      <c r="EJ36" s="96">
        <v>15405</v>
      </c>
      <c r="EK36" s="96">
        <v>5037</v>
      </c>
      <c r="EL36" s="96">
        <v>5080</v>
      </c>
      <c r="EM36" s="96">
        <v>10117</v>
      </c>
      <c r="EN36" s="96">
        <v>827</v>
      </c>
      <c r="EO36" s="96">
        <v>555</v>
      </c>
      <c r="EP36" s="96">
        <v>1382</v>
      </c>
      <c r="EQ36" s="97">
        <v>5864</v>
      </c>
      <c r="ER36" s="98">
        <v>5635</v>
      </c>
      <c r="ES36" s="98">
        <v>11499</v>
      </c>
      <c r="ET36" s="116">
        <v>0.68536699392239364</v>
      </c>
      <c r="EU36" s="116">
        <v>0.82274784640093446</v>
      </c>
      <c r="EV36" s="116">
        <v>0.74644595910418698</v>
      </c>
      <c r="EW36" s="96">
        <v>269</v>
      </c>
      <c r="EX36" s="96">
        <v>194</v>
      </c>
      <c r="EY36" s="96">
        <v>463</v>
      </c>
      <c r="EZ36" s="96">
        <v>190</v>
      </c>
      <c r="FA36" s="96">
        <v>162</v>
      </c>
      <c r="FB36" s="96">
        <v>352</v>
      </c>
      <c r="FC36" s="403"/>
      <c r="FD36" s="403"/>
      <c r="FE36" s="403"/>
      <c r="FF36" s="97">
        <v>190</v>
      </c>
      <c r="FG36" s="98">
        <v>162</v>
      </c>
      <c r="FH36" s="98">
        <v>352</v>
      </c>
      <c r="FI36" s="116">
        <v>0.70631970260223054</v>
      </c>
      <c r="FJ36" s="116">
        <v>0.83505154639175261</v>
      </c>
      <c r="FK36" s="116">
        <v>0.76025917926565878</v>
      </c>
      <c r="FL36" s="98">
        <v>8825</v>
      </c>
      <c r="FM36" s="98">
        <v>7043</v>
      </c>
      <c r="FN36" s="98">
        <v>15868</v>
      </c>
      <c r="FO36" s="98">
        <v>5227</v>
      </c>
      <c r="FP36" s="98">
        <v>5242</v>
      </c>
      <c r="FQ36" s="98">
        <v>10469</v>
      </c>
      <c r="FR36" s="98">
        <v>827</v>
      </c>
      <c r="FS36" s="98">
        <v>555</v>
      </c>
      <c r="FT36" s="98">
        <v>1382</v>
      </c>
      <c r="FU36" s="98">
        <v>6054</v>
      </c>
      <c r="FV36" s="98">
        <v>5797</v>
      </c>
      <c r="FW36" s="98">
        <v>11851</v>
      </c>
      <c r="FX36" s="116">
        <v>0.68600566572237964</v>
      </c>
      <c r="FY36" s="116">
        <v>0.82308675280420274</v>
      </c>
      <c r="FZ36" s="116">
        <v>0.74684900428535417</v>
      </c>
      <c r="GA36" s="98">
        <v>142867</v>
      </c>
      <c r="GB36" s="98">
        <v>129994</v>
      </c>
      <c r="GC36" s="98">
        <v>272861</v>
      </c>
      <c r="GD36" s="101">
        <v>45178</v>
      </c>
      <c r="GE36" s="101">
        <v>67835</v>
      </c>
      <c r="GF36" s="98">
        <v>113013</v>
      </c>
      <c r="GG36" s="100">
        <v>31.622418053154334</v>
      </c>
      <c r="GH36" s="100">
        <v>52.18317768512393</v>
      </c>
      <c r="GI36" s="100">
        <v>41.417791476246144</v>
      </c>
      <c r="GJ36" s="98">
        <v>51498</v>
      </c>
      <c r="GK36" s="98">
        <v>53573</v>
      </c>
      <c r="GL36" s="98">
        <v>105071</v>
      </c>
      <c r="GM36" s="101">
        <v>12434</v>
      </c>
      <c r="GN36" s="101">
        <v>22555</v>
      </c>
      <c r="GO36" s="98">
        <v>34989</v>
      </c>
      <c r="GP36" s="100">
        <v>24.144626975804886</v>
      </c>
      <c r="GQ36" s="100">
        <v>42.101431691337055</v>
      </c>
      <c r="GR36" s="100">
        <v>33.300339770250595</v>
      </c>
      <c r="GS36" s="98">
        <v>41</v>
      </c>
      <c r="GT36" s="98">
        <v>24</v>
      </c>
      <c r="GU36" s="98">
        <v>65</v>
      </c>
      <c r="GV36" s="101">
        <v>13</v>
      </c>
      <c r="GW36" s="101">
        <v>16</v>
      </c>
      <c r="GX36" s="98">
        <v>29</v>
      </c>
      <c r="GY36" s="100">
        <v>31.707317073170731</v>
      </c>
      <c r="GZ36" s="100">
        <v>66.666666666666671</v>
      </c>
      <c r="HA36" s="100">
        <v>44.615384615384613</v>
      </c>
      <c r="HB36" s="98">
        <v>6054</v>
      </c>
      <c r="HC36" s="98">
        <v>5797</v>
      </c>
      <c r="HD36" s="98">
        <v>11851</v>
      </c>
      <c r="HE36" s="101">
        <v>2218</v>
      </c>
      <c r="HF36" s="101">
        <v>3289</v>
      </c>
      <c r="HG36" s="98">
        <v>5507</v>
      </c>
      <c r="HH36" s="100">
        <v>36.63693425834159</v>
      </c>
      <c r="HI36" s="100">
        <v>56.736242884250473</v>
      </c>
      <c r="HJ36" s="100">
        <v>46.468652434393725</v>
      </c>
    </row>
    <row r="37" spans="1:220" ht="28.5">
      <c r="A37" s="420">
        <v>29</v>
      </c>
      <c r="B37" s="118" t="s">
        <v>212</v>
      </c>
      <c r="C37" s="96">
        <v>595364</v>
      </c>
      <c r="D37" s="96">
        <v>458665</v>
      </c>
      <c r="E37" s="96">
        <v>1054029</v>
      </c>
      <c r="F37" s="96">
        <v>478631</v>
      </c>
      <c r="G37" s="96">
        <v>369541</v>
      </c>
      <c r="H37" s="96">
        <v>848172</v>
      </c>
      <c r="I37" s="96">
        <v>16309</v>
      </c>
      <c r="J37" s="96">
        <v>16319</v>
      </c>
      <c r="K37" s="96">
        <v>32628</v>
      </c>
      <c r="L37" s="97">
        <v>494940</v>
      </c>
      <c r="M37" s="98">
        <v>385860</v>
      </c>
      <c r="N37" s="98">
        <v>880800</v>
      </c>
      <c r="O37" s="116">
        <v>0.83132335848321359</v>
      </c>
      <c r="P37" s="116">
        <v>0.84126759181537725</v>
      </c>
      <c r="Q37" s="116">
        <v>0.83565063200348377</v>
      </c>
      <c r="R37" s="96">
        <v>2504</v>
      </c>
      <c r="S37" s="96">
        <v>1875</v>
      </c>
      <c r="T37" s="96">
        <v>4379</v>
      </c>
      <c r="U37" s="96">
        <v>367</v>
      </c>
      <c r="V37" s="96">
        <v>270</v>
      </c>
      <c r="W37" s="96">
        <v>637</v>
      </c>
      <c r="X37" s="96">
        <v>32</v>
      </c>
      <c r="Y37" s="96">
        <v>33</v>
      </c>
      <c r="Z37" s="96">
        <v>65</v>
      </c>
      <c r="AA37" s="97">
        <v>399</v>
      </c>
      <c r="AB37" s="98">
        <v>303</v>
      </c>
      <c r="AC37" s="98">
        <v>702</v>
      </c>
      <c r="AD37" s="116">
        <v>0.15934504792332269</v>
      </c>
      <c r="AE37" s="116">
        <v>0.16159999999999999</v>
      </c>
      <c r="AF37" s="116">
        <v>0.16031057319022607</v>
      </c>
      <c r="AG37" s="98">
        <v>597868</v>
      </c>
      <c r="AH37" s="98">
        <v>460540</v>
      </c>
      <c r="AI37" s="98">
        <v>1058408</v>
      </c>
      <c r="AJ37" s="98">
        <v>478998</v>
      </c>
      <c r="AK37" s="98">
        <v>369811</v>
      </c>
      <c r="AL37" s="98">
        <v>848809</v>
      </c>
      <c r="AM37" s="98">
        <v>16341</v>
      </c>
      <c r="AN37" s="98">
        <v>16352</v>
      </c>
      <c r="AO37" s="98">
        <v>32693</v>
      </c>
      <c r="AP37" s="98">
        <v>495339</v>
      </c>
      <c r="AQ37" s="98">
        <v>386163</v>
      </c>
      <c r="AR37" s="98">
        <v>881502</v>
      </c>
      <c r="AS37" s="116">
        <v>0.82850896853486056</v>
      </c>
      <c r="AT37" s="116">
        <v>0.83850045598645073</v>
      </c>
      <c r="AU37" s="116">
        <v>0.83285651657961768</v>
      </c>
      <c r="AV37" s="96">
        <v>111909</v>
      </c>
      <c r="AW37" s="96">
        <v>86591</v>
      </c>
      <c r="AX37" s="96">
        <v>198500</v>
      </c>
      <c r="AY37" s="96">
        <v>86184</v>
      </c>
      <c r="AZ37" s="96">
        <v>65282</v>
      </c>
      <c r="BA37" s="96">
        <v>151466</v>
      </c>
      <c r="BB37" s="96">
        <v>3469</v>
      </c>
      <c r="BC37" s="96">
        <v>3637</v>
      </c>
      <c r="BD37" s="96">
        <v>7106</v>
      </c>
      <c r="BE37" s="97">
        <v>89653</v>
      </c>
      <c r="BF37" s="98">
        <v>68919</v>
      </c>
      <c r="BG37" s="98">
        <v>158572</v>
      </c>
      <c r="BH37" s="116">
        <v>0.80112412763942131</v>
      </c>
      <c r="BI37" s="116">
        <v>0.79591412502454062</v>
      </c>
      <c r="BJ37" s="116">
        <v>0.79885138539042821</v>
      </c>
      <c r="BK37" s="96">
        <v>511</v>
      </c>
      <c r="BL37" s="96">
        <v>370</v>
      </c>
      <c r="BM37" s="96">
        <v>881</v>
      </c>
      <c r="BN37" s="96">
        <v>41</v>
      </c>
      <c r="BO37" s="96">
        <v>30</v>
      </c>
      <c r="BP37" s="96">
        <v>71</v>
      </c>
      <c r="BQ37" s="96">
        <v>9</v>
      </c>
      <c r="BR37" s="96">
        <v>3</v>
      </c>
      <c r="BS37" s="96">
        <v>12</v>
      </c>
      <c r="BT37" s="97">
        <v>50</v>
      </c>
      <c r="BU37" s="98">
        <v>33</v>
      </c>
      <c r="BV37" s="98">
        <v>83</v>
      </c>
      <c r="BW37" s="116">
        <v>9.7847358121330719E-2</v>
      </c>
      <c r="BX37" s="116">
        <v>8.9189189189189194E-2</v>
      </c>
      <c r="BY37" s="116">
        <v>9.4211123723041995E-2</v>
      </c>
      <c r="BZ37" s="98">
        <v>112420</v>
      </c>
      <c r="CA37" s="98">
        <v>86961</v>
      </c>
      <c r="CB37" s="98">
        <v>199381</v>
      </c>
      <c r="CC37" s="98">
        <v>86225</v>
      </c>
      <c r="CD37" s="98">
        <v>65312</v>
      </c>
      <c r="CE37" s="98">
        <v>151537</v>
      </c>
      <c r="CF37" s="98">
        <v>3478</v>
      </c>
      <c r="CG37" s="98">
        <v>3640</v>
      </c>
      <c r="CH37" s="98">
        <v>7118</v>
      </c>
      <c r="CI37" s="98">
        <v>89703</v>
      </c>
      <c r="CJ37" s="98">
        <v>68952</v>
      </c>
      <c r="CK37" s="98">
        <v>158655</v>
      </c>
      <c r="CL37" s="116">
        <v>0.79792741505070275</v>
      </c>
      <c r="CM37" s="116">
        <v>0.79290716528098804</v>
      </c>
      <c r="CN37" s="116">
        <v>0.7957378085173612</v>
      </c>
      <c r="CO37" s="96">
        <v>74018</v>
      </c>
      <c r="CP37" s="96">
        <v>64425</v>
      </c>
      <c r="CQ37" s="96">
        <v>138443</v>
      </c>
      <c r="CR37" s="96">
        <v>54659</v>
      </c>
      <c r="CS37" s="96">
        <v>45662</v>
      </c>
      <c r="CT37" s="96">
        <v>100321</v>
      </c>
      <c r="CU37" s="96">
        <v>2549</v>
      </c>
      <c r="CV37" s="96">
        <v>2689</v>
      </c>
      <c r="CW37" s="96">
        <v>5238</v>
      </c>
      <c r="CX37" s="97">
        <v>57208</v>
      </c>
      <c r="CY37" s="98">
        <v>48351</v>
      </c>
      <c r="CZ37" s="98">
        <v>105559</v>
      </c>
      <c r="DA37" s="116">
        <v>0.77289308006160662</v>
      </c>
      <c r="DB37" s="116">
        <v>0.75050058207217696</v>
      </c>
      <c r="DC37" s="116">
        <v>0.76247264217042388</v>
      </c>
      <c r="DD37" s="96">
        <v>134</v>
      </c>
      <c r="DE37" s="96">
        <v>112</v>
      </c>
      <c r="DF37" s="96">
        <v>246</v>
      </c>
      <c r="DG37" s="96">
        <v>7</v>
      </c>
      <c r="DH37" s="96">
        <v>9</v>
      </c>
      <c r="DI37" s="96">
        <v>16</v>
      </c>
      <c r="DJ37" s="96">
        <v>2</v>
      </c>
      <c r="DK37" s="96">
        <v>0</v>
      </c>
      <c r="DL37" s="96">
        <v>2</v>
      </c>
      <c r="DM37" s="97">
        <v>9</v>
      </c>
      <c r="DN37" s="98">
        <v>9</v>
      </c>
      <c r="DO37" s="98">
        <v>18</v>
      </c>
      <c r="DP37" s="116">
        <v>6.7164179104477612E-2</v>
      </c>
      <c r="DQ37" s="116">
        <v>8.0357142857142863E-2</v>
      </c>
      <c r="DR37" s="116">
        <v>7.3170731707317069E-2</v>
      </c>
      <c r="DS37" s="98">
        <v>74152</v>
      </c>
      <c r="DT37" s="98">
        <v>64537</v>
      </c>
      <c r="DU37" s="98">
        <v>138689</v>
      </c>
      <c r="DV37" s="98">
        <v>54666</v>
      </c>
      <c r="DW37" s="98">
        <v>45671</v>
      </c>
      <c r="DX37" s="98">
        <v>100337</v>
      </c>
      <c r="DY37" s="98">
        <v>2551</v>
      </c>
      <c r="DZ37" s="98">
        <v>2689</v>
      </c>
      <c r="EA37" s="98">
        <v>5240</v>
      </c>
      <c r="EB37" s="98">
        <v>57217</v>
      </c>
      <c r="EC37" s="98">
        <v>48360</v>
      </c>
      <c r="ED37" s="98">
        <v>105577</v>
      </c>
      <c r="EE37" s="116">
        <v>0.77161775811845934</v>
      </c>
      <c r="EF37" s="116">
        <v>0.74933758928986471</v>
      </c>
      <c r="EG37" s="116">
        <v>0.7612499909870285</v>
      </c>
      <c r="EH37" s="96">
        <v>262735</v>
      </c>
      <c r="EI37" s="96">
        <v>201984</v>
      </c>
      <c r="EJ37" s="96">
        <v>464719</v>
      </c>
      <c r="EK37" s="96">
        <v>219022</v>
      </c>
      <c r="EL37" s="96">
        <v>170334</v>
      </c>
      <c r="EM37" s="96">
        <v>389356</v>
      </c>
      <c r="EN37" s="96">
        <v>6383</v>
      </c>
      <c r="EO37" s="96">
        <v>6460</v>
      </c>
      <c r="EP37" s="96">
        <v>12843</v>
      </c>
      <c r="EQ37" s="97">
        <v>225405</v>
      </c>
      <c r="ER37" s="98">
        <v>176794</v>
      </c>
      <c r="ES37" s="98">
        <v>402199</v>
      </c>
      <c r="ET37" s="116">
        <v>0.85791767370163852</v>
      </c>
      <c r="EU37" s="116">
        <v>0.87528715145754121</v>
      </c>
      <c r="EV37" s="116">
        <v>0.86546708871382494</v>
      </c>
      <c r="EW37" s="96">
        <v>1162</v>
      </c>
      <c r="EX37" s="96">
        <v>836</v>
      </c>
      <c r="EY37" s="96">
        <v>1998</v>
      </c>
      <c r="EZ37" s="96">
        <v>225</v>
      </c>
      <c r="FA37" s="96">
        <v>129</v>
      </c>
      <c r="FB37" s="96">
        <v>354</v>
      </c>
      <c r="FC37" s="96">
        <v>12</v>
      </c>
      <c r="FD37" s="96">
        <v>16</v>
      </c>
      <c r="FE37" s="96">
        <v>28</v>
      </c>
      <c r="FF37" s="97">
        <v>237</v>
      </c>
      <c r="FG37" s="98">
        <v>145</v>
      </c>
      <c r="FH37" s="98">
        <v>382</v>
      </c>
      <c r="FI37" s="116">
        <v>0.20395869191049915</v>
      </c>
      <c r="FJ37" s="116">
        <v>0.17344497607655501</v>
      </c>
      <c r="FK37" s="116">
        <v>0.19119119119119118</v>
      </c>
      <c r="FL37" s="98">
        <v>263897</v>
      </c>
      <c r="FM37" s="98">
        <v>202820</v>
      </c>
      <c r="FN37" s="98">
        <v>466717</v>
      </c>
      <c r="FO37" s="98">
        <v>219247</v>
      </c>
      <c r="FP37" s="98">
        <v>170463</v>
      </c>
      <c r="FQ37" s="98">
        <v>389710</v>
      </c>
      <c r="FR37" s="98">
        <v>6395</v>
      </c>
      <c r="FS37" s="98">
        <v>6476</v>
      </c>
      <c r="FT37" s="98">
        <v>12871</v>
      </c>
      <c r="FU37" s="98">
        <v>225642</v>
      </c>
      <c r="FV37" s="98">
        <v>176939</v>
      </c>
      <c r="FW37" s="98">
        <v>402581</v>
      </c>
      <c r="FX37" s="116">
        <v>0.85503813988033206</v>
      </c>
      <c r="FY37" s="116">
        <v>0.87239424119909281</v>
      </c>
      <c r="FZ37" s="116">
        <v>0.86258053595647899</v>
      </c>
      <c r="GA37" s="98">
        <v>495339</v>
      </c>
      <c r="GB37" s="98">
        <v>386163</v>
      </c>
      <c r="GC37" s="98">
        <v>881502</v>
      </c>
      <c r="GD37" s="98">
        <v>170070</v>
      </c>
      <c r="GE37" s="98">
        <v>139041</v>
      </c>
      <c r="GF37" s="98">
        <v>309111</v>
      </c>
      <c r="GG37" s="100">
        <v>34.334062127149288</v>
      </c>
      <c r="GH37" s="100">
        <v>36.005779942666699</v>
      </c>
      <c r="GI37" s="100">
        <v>35.066398034264246</v>
      </c>
      <c r="GJ37" s="98">
        <v>89703</v>
      </c>
      <c r="GK37" s="98">
        <v>68952</v>
      </c>
      <c r="GL37" s="98">
        <v>158655</v>
      </c>
      <c r="GM37" s="98">
        <v>25366</v>
      </c>
      <c r="GN37" s="98">
        <v>18796</v>
      </c>
      <c r="GO37" s="98">
        <v>44162</v>
      </c>
      <c r="GP37" s="100">
        <v>28.277761055929009</v>
      </c>
      <c r="GQ37" s="100">
        <v>27.259542870402598</v>
      </c>
      <c r="GR37" s="100">
        <v>27.835239986133434</v>
      </c>
      <c r="GS37" s="98">
        <v>57217</v>
      </c>
      <c r="GT37" s="98">
        <v>48360</v>
      </c>
      <c r="GU37" s="98">
        <v>105577</v>
      </c>
      <c r="GV37" s="98">
        <v>13068</v>
      </c>
      <c r="GW37" s="98">
        <v>9506</v>
      </c>
      <c r="GX37" s="98">
        <v>22574</v>
      </c>
      <c r="GY37" s="100">
        <v>22.839365922715277</v>
      </c>
      <c r="GZ37" s="100">
        <v>19.656741108354012</v>
      </c>
      <c r="HA37" s="100">
        <v>21.381550905973839</v>
      </c>
      <c r="HB37" s="98">
        <v>225642</v>
      </c>
      <c r="HC37" s="98">
        <v>176939</v>
      </c>
      <c r="HD37" s="98">
        <v>402581</v>
      </c>
      <c r="HE37" s="98">
        <v>86564</v>
      </c>
      <c r="HF37" s="98">
        <v>71830</v>
      </c>
      <c r="HG37" s="98">
        <v>158394</v>
      </c>
      <c r="HH37" s="100">
        <v>38.363425248845516</v>
      </c>
      <c r="HI37" s="100">
        <v>40.595911585348624</v>
      </c>
      <c r="HJ37" s="100">
        <v>39.344628782779118</v>
      </c>
    </row>
    <row r="38" spans="1:220" s="363" customFormat="1" ht="28.5">
      <c r="A38" s="420">
        <v>30</v>
      </c>
      <c r="B38" s="118" t="s">
        <v>382</v>
      </c>
      <c r="C38" s="409">
        <v>474340</v>
      </c>
      <c r="D38" s="409">
        <v>476057</v>
      </c>
      <c r="E38" s="409">
        <v>950397</v>
      </c>
      <c r="F38" s="409">
        <v>438993</v>
      </c>
      <c r="G38" s="409">
        <v>458952</v>
      </c>
      <c r="H38" s="409">
        <v>897945</v>
      </c>
      <c r="I38" s="410"/>
      <c r="J38" s="410"/>
      <c r="K38" s="410"/>
      <c r="L38" s="97">
        <v>438993</v>
      </c>
      <c r="M38" s="98">
        <v>458952</v>
      </c>
      <c r="N38" s="98">
        <v>897945</v>
      </c>
      <c r="O38" s="411">
        <v>0.92548172197158152</v>
      </c>
      <c r="P38" s="411">
        <v>0.96406942866085366</v>
      </c>
      <c r="Q38" s="411">
        <v>0.94481043185111069</v>
      </c>
      <c r="R38" s="409">
        <v>23358</v>
      </c>
      <c r="S38" s="409">
        <v>10353</v>
      </c>
      <c r="T38" s="409">
        <v>33711</v>
      </c>
      <c r="U38" s="409">
        <v>4599</v>
      </c>
      <c r="V38" s="409">
        <v>3177</v>
      </c>
      <c r="W38" s="409">
        <v>7776</v>
      </c>
      <c r="X38" s="410"/>
      <c r="Y38" s="410"/>
      <c r="Z38" s="410"/>
      <c r="AA38" s="97">
        <v>4599</v>
      </c>
      <c r="AB38" s="98">
        <v>3177</v>
      </c>
      <c r="AC38" s="98">
        <v>7776</v>
      </c>
      <c r="AD38" s="411">
        <v>0.19689185717955304</v>
      </c>
      <c r="AE38" s="411">
        <v>0.3068675746160533</v>
      </c>
      <c r="AF38" s="411">
        <v>0.23066654801103498</v>
      </c>
      <c r="AG38" s="261">
        <v>497698</v>
      </c>
      <c r="AH38" s="261">
        <v>486410</v>
      </c>
      <c r="AI38" s="261">
        <v>984108</v>
      </c>
      <c r="AJ38" s="261">
        <v>443592</v>
      </c>
      <c r="AK38" s="261">
        <v>462129</v>
      </c>
      <c r="AL38" s="261">
        <v>905721</v>
      </c>
      <c r="AM38" s="412"/>
      <c r="AN38" s="412"/>
      <c r="AO38" s="412"/>
      <c r="AP38" s="261">
        <v>443592</v>
      </c>
      <c r="AQ38" s="261">
        <v>462129</v>
      </c>
      <c r="AR38" s="261">
        <v>905721</v>
      </c>
      <c r="AS38" s="411">
        <v>0.89128748759287757</v>
      </c>
      <c r="AT38" s="411">
        <v>0.95008120721202283</v>
      </c>
      <c r="AU38" s="411">
        <v>0.92034715701935155</v>
      </c>
      <c r="AV38" s="409">
        <v>113121</v>
      </c>
      <c r="AW38" s="409">
        <v>118058</v>
      </c>
      <c r="AX38" s="409">
        <v>231179</v>
      </c>
      <c r="AY38" s="409">
        <v>99495</v>
      </c>
      <c r="AZ38" s="409">
        <v>110508</v>
      </c>
      <c r="BA38" s="409">
        <v>210003</v>
      </c>
      <c r="BB38" s="410"/>
      <c r="BC38" s="410"/>
      <c r="BD38" s="410"/>
      <c r="BE38" s="97">
        <v>99495</v>
      </c>
      <c r="BF38" s="98">
        <v>110508</v>
      </c>
      <c r="BG38" s="98">
        <v>210003</v>
      </c>
      <c r="BH38" s="411">
        <v>0.87954491208528918</v>
      </c>
      <c r="BI38" s="411">
        <v>0.93604838299818738</v>
      </c>
      <c r="BJ38" s="411">
        <v>0.90839998442765135</v>
      </c>
      <c r="BK38" s="409">
        <v>7366</v>
      </c>
      <c r="BL38" s="409">
        <v>3336</v>
      </c>
      <c r="BM38" s="409">
        <v>10702</v>
      </c>
      <c r="BN38" s="409">
        <v>1239</v>
      </c>
      <c r="BO38" s="409">
        <v>807</v>
      </c>
      <c r="BP38" s="409">
        <v>2046</v>
      </c>
      <c r="BQ38" s="410"/>
      <c r="BR38" s="410"/>
      <c r="BS38" s="410"/>
      <c r="BT38" s="97">
        <v>1239</v>
      </c>
      <c r="BU38" s="98">
        <v>807</v>
      </c>
      <c r="BV38" s="98">
        <v>2046</v>
      </c>
      <c r="BW38" s="411">
        <v>0.16820526744501765</v>
      </c>
      <c r="BX38" s="411">
        <v>0.24190647482014388</v>
      </c>
      <c r="BY38" s="411">
        <v>0.19117921883760045</v>
      </c>
      <c r="BZ38" s="98">
        <v>120487</v>
      </c>
      <c r="CA38" s="98">
        <v>121394</v>
      </c>
      <c r="CB38" s="98">
        <v>241881</v>
      </c>
      <c r="CC38" s="261">
        <v>100734</v>
      </c>
      <c r="CD38" s="261">
        <v>111315</v>
      </c>
      <c r="CE38" s="261">
        <v>212049</v>
      </c>
      <c r="CF38" s="412"/>
      <c r="CG38" s="412"/>
      <c r="CH38" s="412"/>
      <c r="CI38" s="261">
        <v>100734</v>
      </c>
      <c r="CJ38" s="261">
        <v>111315</v>
      </c>
      <c r="CK38" s="261">
        <v>212049</v>
      </c>
      <c r="CL38" s="411">
        <v>0.83605700200021582</v>
      </c>
      <c r="CM38" s="411">
        <v>0.91697283226518611</v>
      </c>
      <c r="CN38" s="411">
        <v>0.87666662532402295</v>
      </c>
      <c r="CO38" s="409">
        <v>4649</v>
      </c>
      <c r="CP38" s="409">
        <v>4741</v>
      </c>
      <c r="CQ38" s="409">
        <v>9390</v>
      </c>
      <c r="CR38" s="409">
        <v>4095</v>
      </c>
      <c r="CS38" s="409">
        <v>4305</v>
      </c>
      <c r="CT38" s="409">
        <v>8400</v>
      </c>
      <c r="CU38" s="410"/>
      <c r="CV38" s="410"/>
      <c r="CW38" s="410"/>
      <c r="CX38" s="97">
        <v>4095</v>
      </c>
      <c r="CY38" s="98">
        <v>4305</v>
      </c>
      <c r="CZ38" s="98">
        <v>8400</v>
      </c>
      <c r="DA38" s="411">
        <v>0.88083458808345882</v>
      </c>
      <c r="DB38" s="411">
        <v>0.90803627926597763</v>
      </c>
      <c r="DC38" s="411">
        <v>0.89456869009584661</v>
      </c>
      <c r="DD38" s="409">
        <v>232</v>
      </c>
      <c r="DE38" s="409">
        <v>115</v>
      </c>
      <c r="DF38" s="409">
        <v>347</v>
      </c>
      <c r="DG38" s="409">
        <v>39</v>
      </c>
      <c r="DH38" s="409">
        <v>31</v>
      </c>
      <c r="DI38" s="409">
        <v>70</v>
      </c>
      <c r="DJ38" s="410"/>
      <c r="DK38" s="410"/>
      <c r="DL38" s="410"/>
      <c r="DM38" s="97">
        <v>39</v>
      </c>
      <c r="DN38" s="98">
        <v>31</v>
      </c>
      <c r="DO38" s="98">
        <v>70</v>
      </c>
      <c r="DP38" s="411">
        <v>0.16810344827586207</v>
      </c>
      <c r="DQ38" s="411">
        <v>0.26956521739130435</v>
      </c>
      <c r="DR38" s="411">
        <v>0.20172910662824209</v>
      </c>
      <c r="DS38" s="98">
        <v>4881</v>
      </c>
      <c r="DT38" s="98">
        <v>4856</v>
      </c>
      <c r="DU38" s="261">
        <v>9737</v>
      </c>
      <c r="DV38" s="261">
        <v>4134</v>
      </c>
      <c r="DW38" s="261">
        <v>4336</v>
      </c>
      <c r="DX38" s="261">
        <v>8470</v>
      </c>
      <c r="DY38" s="412"/>
      <c r="DZ38" s="412"/>
      <c r="EA38" s="412"/>
      <c r="EB38" s="261">
        <v>4134</v>
      </c>
      <c r="EC38" s="261">
        <v>4336</v>
      </c>
      <c r="ED38" s="261">
        <v>8470</v>
      </c>
      <c r="EE38" s="411">
        <v>0.84695759065765208</v>
      </c>
      <c r="EF38" s="411">
        <v>0.89291598023064256</v>
      </c>
      <c r="EG38" s="411">
        <v>0.86987778576563624</v>
      </c>
      <c r="EH38" s="409">
        <v>356570</v>
      </c>
      <c r="EI38" s="409">
        <v>353258</v>
      </c>
      <c r="EJ38" s="409">
        <v>709828</v>
      </c>
      <c r="EK38" s="409">
        <v>335403</v>
      </c>
      <c r="EL38" s="409">
        <v>344139</v>
      </c>
      <c r="EM38" s="409">
        <v>679542</v>
      </c>
      <c r="EN38" s="410"/>
      <c r="EO38" s="410"/>
      <c r="EP38" s="410"/>
      <c r="EQ38" s="97">
        <v>335403</v>
      </c>
      <c r="ER38" s="98">
        <v>344139</v>
      </c>
      <c r="ES38" s="98">
        <v>679542</v>
      </c>
      <c r="ET38" s="411">
        <v>0.94063718203999214</v>
      </c>
      <c r="EU38" s="411">
        <v>0.97418600569555391</v>
      </c>
      <c r="EV38" s="411">
        <v>0.95733332581977604</v>
      </c>
      <c r="EW38" s="409">
        <v>15760</v>
      </c>
      <c r="EX38" s="409">
        <v>6902</v>
      </c>
      <c r="EY38" s="409">
        <v>22662</v>
      </c>
      <c r="EZ38" s="409">
        <v>3321</v>
      </c>
      <c r="FA38" s="409">
        <v>2339</v>
      </c>
      <c r="FB38" s="409">
        <v>5660</v>
      </c>
      <c r="FC38" s="410"/>
      <c r="FD38" s="410"/>
      <c r="FE38" s="410"/>
      <c r="FF38" s="97">
        <v>3321</v>
      </c>
      <c r="FG38" s="98">
        <v>2339</v>
      </c>
      <c r="FH38" s="98">
        <v>5660</v>
      </c>
      <c r="FI38" s="411">
        <v>0.21072335025380712</v>
      </c>
      <c r="FJ38" s="411">
        <v>0.33888727904955085</v>
      </c>
      <c r="FK38" s="411">
        <v>0.24975730297414173</v>
      </c>
      <c r="FL38" s="98">
        <v>372330</v>
      </c>
      <c r="FM38" s="98">
        <v>360160</v>
      </c>
      <c r="FN38" s="261">
        <v>732490</v>
      </c>
      <c r="FO38" s="261">
        <v>338724</v>
      </c>
      <c r="FP38" s="261">
        <v>346478</v>
      </c>
      <c r="FQ38" s="261">
        <v>685202</v>
      </c>
      <c r="FR38" s="412"/>
      <c r="FS38" s="412"/>
      <c r="FT38" s="412"/>
      <c r="FU38" s="261">
        <v>338724</v>
      </c>
      <c r="FV38" s="261">
        <v>346478</v>
      </c>
      <c r="FW38" s="261">
        <v>685202</v>
      </c>
      <c r="FX38" s="411">
        <v>0.90974135847232296</v>
      </c>
      <c r="FY38" s="411">
        <v>0.96201132829853397</v>
      </c>
      <c r="FZ38" s="411">
        <v>0.93544212207675193</v>
      </c>
      <c r="GA38" s="261">
        <v>443592</v>
      </c>
      <c r="GB38" s="261">
        <v>462129</v>
      </c>
      <c r="GC38" s="261">
        <v>905721</v>
      </c>
      <c r="GD38" s="261">
        <v>252537</v>
      </c>
      <c r="GE38" s="261">
        <v>324905</v>
      </c>
      <c r="GF38" s="261">
        <v>577442</v>
      </c>
      <c r="GG38" s="100">
        <v>56.930016772169019</v>
      </c>
      <c r="GH38" s="413">
        <v>70.306126644291965</v>
      </c>
      <c r="GI38" s="413">
        <v>63.754953236151088</v>
      </c>
      <c r="GJ38" s="261">
        <v>100734</v>
      </c>
      <c r="GK38" s="261">
        <v>111315</v>
      </c>
      <c r="GL38" s="261">
        <v>212049</v>
      </c>
      <c r="GM38" s="261">
        <v>43687</v>
      </c>
      <c r="GN38" s="261">
        <v>63070</v>
      </c>
      <c r="GO38" s="261">
        <v>106757</v>
      </c>
      <c r="GP38" s="413">
        <v>43.368673933329362</v>
      </c>
      <c r="GQ38" s="413">
        <v>56.659030678704575</v>
      </c>
      <c r="GR38" s="413">
        <v>50.345439025885526</v>
      </c>
      <c r="GS38" s="261">
        <v>4134</v>
      </c>
      <c r="GT38" s="261">
        <v>4336</v>
      </c>
      <c r="GU38" s="261">
        <v>8470</v>
      </c>
      <c r="GV38" s="261">
        <v>1657</v>
      </c>
      <c r="GW38" s="261">
        <v>1970</v>
      </c>
      <c r="GX38" s="261">
        <v>3627</v>
      </c>
      <c r="GY38" s="413">
        <v>40.082244799225933</v>
      </c>
      <c r="GZ38" s="413">
        <v>45.433579335793361</v>
      </c>
      <c r="HA38" s="413">
        <v>42.821723730814639</v>
      </c>
      <c r="HB38" s="98">
        <v>338724</v>
      </c>
      <c r="HC38" s="98">
        <v>346478</v>
      </c>
      <c r="HD38" s="98">
        <v>685202</v>
      </c>
      <c r="HE38" s="261">
        <v>207193</v>
      </c>
      <c r="HF38" s="261">
        <v>259865</v>
      </c>
      <c r="HG38" s="261">
        <v>467058</v>
      </c>
      <c r="HH38" s="413">
        <v>61.168680105336499</v>
      </c>
      <c r="HI38" s="413">
        <v>75.001876020988348</v>
      </c>
      <c r="HJ38" s="413">
        <v>68.163548851287644</v>
      </c>
    </row>
    <row r="39" spans="1:220" s="363" customFormat="1" ht="28.5">
      <c r="A39" s="420">
        <v>31</v>
      </c>
      <c r="B39" s="118" t="s">
        <v>165</v>
      </c>
      <c r="C39" s="409">
        <v>17503</v>
      </c>
      <c r="D39" s="409">
        <v>18423</v>
      </c>
      <c r="E39" s="409">
        <v>35926</v>
      </c>
      <c r="F39" s="409">
        <v>11734</v>
      </c>
      <c r="G39" s="409">
        <v>11282</v>
      </c>
      <c r="H39" s="409">
        <v>23016</v>
      </c>
      <c r="I39" s="409">
        <v>727</v>
      </c>
      <c r="J39" s="409">
        <v>880</v>
      </c>
      <c r="K39" s="409">
        <v>1607</v>
      </c>
      <c r="L39" s="97">
        <v>12461</v>
      </c>
      <c r="M39" s="98">
        <v>12162</v>
      </c>
      <c r="N39" s="98">
        <v>24623</v>
      </c>
      <c r="O39" s="411">
        <v>0.71193509684054157</v>
      </c>
      <c r="P39" s="411">
        <v>0.66015306953264941</v>
      </c>
      <c r="Q39" s="411">
        <v>0.6853810610699772</v>
      </c>
      <c r="R39" s="409">
        <v>127</v>
      </c>
      <c r="S39" s="409">
        <v>128</v>
      </c>
      <c r="T39" s="409">
        <v>255</v>
      </c>
      <c r="U39" s="409">
        <v>2</v>
      </c>
      <c r="V39" s="409">
        <v>4</v>
      </c>
      <c r="W39" s="409">
        <v>6</v>
      </c>
      <c r="X39" s="410"/>
      <c r="Y39" s="410"/>
      <c r="Z39" s="410"/>
      <c r="AA39" s="97">
        <v>2</v>
      </c>
      <c r="AB39" s="98">
        <v>4</v>
      </c>
      <c r="AC39" s="98">
        <v>6</v>
      </c>
      <c r="AD39" s="411">
        <v>1.5748031496062992E-2</v>
      </c>
      <c r="AE39" s="411">
        <v>3.125E-2</v>
      </c>
      <c r="AF39" s="411">
        <v>2.3529411764705882E-2</v>
      </c>
      <c r="AG39" s="261">
        <v>17630</v>
      </c>
      <c r="AH39" s="261">
        <v>18551</v>
      </c>
      <c r="AI39" s="261">
        <v>36181</v>
      </c>
      <c r="AJ39" s="261">
        <v>11736</v>
      </c>
      <c r="AK39" s="261">
        <v>11286</v>
      </c>
      <c r="AL39" s="261">
        <v>23022</v>
      </c>
      <c r="AM39" s="98">
        <v>727</v>
      </c>
      <c r="AN39" s="98">
        <v>880</v>
      </c>
      <c r="AO39" s="98">
        <v>1607</v>
      </c>
      <c r="AP39" s="261">
        <v>12463</v>
      </c>
      <c r="AQ39" s="261">
        <v>12166</v>
      </c>
      <c r="AR39" s="261">
        <v>24629</v>
      </c>
      <c r="AS39" s="411">
        <v>0.70692002268859899</v>
      </c>
      <c r="AT39" s="411">
        <v>0.65581370276534956</v>
      </c>
      <c r="AU39" s="411">
        <v>0.68071639810950502</v>
      </c>
      <c r="AV39" s="409">
        <v>3639</v>
      </c>
      <c r="AW39" s="409">
        <v>3701</v>
      </c>
      <c r="AX39" s="409">
        <v>7340</v>
      </c>
      <c r="AY39" s="409">
        <v>2615</v>
      </c>
      <c r="AZ39" s="409">
        <v>2484</v>
      </c>
      <c r="BA39" s="409">
        <v>5099</v>
      </c>
      <c r="BB39" s="409">
        <v>176</v>
      </c>
      <c r="BC39" s="409">
        <v>199</v>
      </c>
      <c r="BD39" s="409">
        <v>375</v>
      </c>
      <c r="BE39" s="97">
        <v>2791</v>
      </c>
      <c r="BF39" s="98">
        <v>2683</v>
      </c>
      <c r="BG39" s="98">
        <v>5474</v>
      </c>
      <c r="BH39" s="411">
        <v>0.766968947513053</v>
      </c>
      <c r="BI39" s="411">
        <v>0.72493920562010272</v>
      </c>
      <c r="BJ39" s="411">
        <v>0.74577656675749315</v>
      </c>
      <c r="BK39" s="409">
        <v>11</v>
      </c>
      <c r="BL39" s="409">
        <v>11</v>
      </c>
      <c r="BM39" s="409">
        <v>22</v>
      </c>
      <c r="BN39" s="409">
        <v>1</v>
      </c>
      <c r="BO39" s="416"/>
      <c r="BP39" s="409">
        <v>1</v>
      </c>
      <c r="BQ39" s="410"/>
      <c r="BR39" s="410"/>
      <c r="BS39" s="410"/>
      <c r="BT39" s="97">
        <v>1</v>
      </c>
      <c r="BU39" s="404"/>
      <c r="BV39" s="98">
        <v>1</v>
      </c>
      <c r="BW39" s="411">
        <v>9.0909090909090912E-2</v>
      </c>
      <c r="BX39" s="411">
        <v>0</v>
      </c>
      <c r="BY39" s="411">
        <v>4.5454545454545456E-2</v>
      </c>
      <c r="BZ39" s="98">
        <v>3650</v>
      </c>
      <c r="CA39" s="98">
        <v>3712</v>
      </c>
      <c r="CB39" s="98">
        <v>7362</v>
      </c>
      <c r="CC39" s="261">
        <v>2616</v>
      </c>
      <c r="CD39" s="261">
        <v>2484</v>
      </c>
      <c r="CE39" s="261">
        <v>5100</v>
      </c>
      <c r="CF39" s="98">
        <v>176</v>
      </c>
      <c r="CG39" s="98">
        <v>199</v>
      </c>
      <c r="CH39" s="98">
        <v>375</v>
      </c>
      <c r="CI39" s="261">
        <v>2792</v>
      </c>
      <c r="CJ39" s="261">
        <v>2683</v>
      </c>
      <c r="CK39" s="261">
        <v>5475</v>
      </c>
      <c r="CL39" s="411">
        <v>0.7649315068493151</v>
      </c>
      <c r="CM39" s="411">
        <v>0.7227909482758621</v>
      </c>
      <c r="CN39" s="411">
        <v>0.74368378158109205</v>
      </c>
      <c r="CO39" s="409">
        <v>5095</v>
      </c>
      <c r="CP39" s="409">
        <v>5425</v>
      </c>
      <c r="CQ39" s="409">
        <v>10520</v>
      </c>
      <c r="CR39" s="409">
        <v>2324</v>
      </c>
      <c r="CS39" s="409">
        <v>1989</v>
      </c>
      <c r="CT39" s="409">
        <v>4313</v>
      </c>
      <c r="CU39" s="409">
        <v>189</v>
      </c>
      <c r="CV39" s="409">
        <v>200</v>
      </c>
      <c r="CW39" s="409">
        <v>389</v>
      </c>
      <c r="CX39" s="97">
        <v>2513</v>
      </c>
      <c r="CY39" s="98">
        <v>2189</v>
      </c>
      <c r="CZ39" s="98">
        <v>4702</v>
      </c>
      <c r="DA39" s="411">
        <v>0.49322865554465162</v>
      </c>
      <c r="DB39" s="411">
        <v>0.40350230414746546</v>
      </c>
      <c r="DC39" s="411">
        <v>0.44695817490494294</v>
      </c>
      <c r="DD39" s="409">
        <v>16</v>
      </c>
      <c r="DE39" s="409">
        <v>29</v>
      </c>
      <c r="DF39" s="409">
        <v>45</v>
      </c>
      <c r="DG39" s="416"/>
      <c r="DH39" s="416"/>
      <c r="DI39" s="416"/>
      <c r="DJ39" s="416"/>
      <c r="DK39" s="416"/>
      <c r="DL39" s="416"/>
      <c r="DM39" s="404"/>
      <c r="DN39" s="404"/>
      <c r="DO39" s="404"/>
      <c r="DP39" s="417"/>
      <c r="DQ39" s="417"/>
      <c r="DR39" s="417"/>
      <c r="DS39" s="98">
        <v>5111</v>
      </c>
      <c r="DT39" s="98">
        <v>5454</v>
      </c>
      <c r="DU39" s="261">
        <v>10565</v>
      </c>
      <c r="DV39" s="261">
        <v>2324</v>
      </c>
      <c r="DW39" s="261">
        <v>1989</v>
      </c>
      <c r="DX39" s="261">
        <v>4313</v>
      </c>
      <c r="DY39" s="98">
        <v>189</v>
      </c>
      <c r="DZ39" s="98">
        <v>200</v>
      </c>
      <c r="EA39" s="98">
        <v>389</v>
      </c>
      <c r="EB39" s="261">
        <v>2513</v>
      </c>
      <c r="EC39" s="261">
        <v>2189</v>
      </c>
      <c r="ED39" s="261">
        <v>4702</v>
      </c>
      <c r="EE39" s="411">
        <v>0.4916846018391704</v>
      </c>
      <c r="EF39" s="411">
        <v>0.40135680234690135</v>
      </c>
      <c r="EG39" s="411">
        <v>0.4450544249881685</v>
      </c>
      <c r="EH39" s="416"/>
      <c r="EI39" s="416"/>
      <c r="EJ39" s="416"/>
      <c r="EK39" s="416"/>
      <c r="EL39" s="416"/>
      <c r="EM39" s="416"/>
      <c r="EN39" s="416"/>
      <c r="EO39" s="416"/>
      <c r="EP39" s="416"/>
      <c r="EQ39" s="404"/>
      <c r="ER39" s="404"/>
      <c r="ES39" s="404"/>
      <c r="ET39" s="417"/>
      <c r="EU39" s="417"/>
      <c r="EV39" s="417"/>
      <c r="EW39" s="416"/>
      <c r="EX39" s="416"/>
      <c r="EY39" s="416"/>
      <c r="EZ39" s="416"/>
      <c r="FA39" s="416"/>
      <c r="FB39" s="416"/>
      <c r="FC39" s="416"/>
      <c r="FD39" s="416"/>
      <c r="FE39" s="416"/>
      <c r="FF39" s="404"/>
      <c r="FG39" s="404"/>
      <c r="FH39" s="404"/>
      <c r="FI39" s="417"/>
      <c r="FJ39" s="417"/>
      <c r="FK39" s="417"/>
      <c r="FL39" s="404"/>
      <c r="FM39" s="404"/>
      <c r="FN39" s="418"/>
      <c r="FO39" s="418"/>
      <c r="FP39" s="418"/>
      <c r="FQ39" s="418"/>
      <c r="FR39" s="418"/>
      <c r="FS39" s="418"/>
      <c r="FT39" s="418"/>
      <c r="FU39" s="418"/>
      <c r="FV39" s="418"/>
      <c r="FW39" s="418"/>
      <c r="FX39" s="417"/>
      <c r="FY39" s="417"/>
      <c r="FZ39" s="417"/>
      <c r="GA39" s="261">
        <v>12463</v>
      </c>
      <c r="GB39" s="261">
        <v>12166</v>
      </c>
      <c r="GC39" s="261">
        <v>24629</v>
      </c>
      <c r="GD39" s="418"/>
      <c r="GE39" s="418"/>
      <c r="GF39" s="418"/>
      <c r="GG39" s="407"/>
      <c r="GH39" s="419"/>
      <c r="GI39" s="419"/>
      <c r="GJ39" s="261">
        <v>2792</v>
      </c>
      <c r="GK39" s="261">
        <v>2683</v>
      </c>
      <c r="GL39" s="261">
        <v>5475</v>
      </c>
      <c r="GM39" s="418"/>
      <c r="GN39" s="418"/>
      <c r="GO39" s="418"/>
      <c r="GP39" s="419"/>
      <c r="GQ39" s="419"/>
      <c r="GR39" s="419"/>
      <c r="GS39" s="261">
        <v>2513</v>
      </c>
      <c r="GT39" s="261">
        <v>2189</v>
      </c>
      <c r="GU39" s="261">
        <v>4702</v>
      </c>
      <c r="GV39" s="418"/>
      <c r="GW39" s="418"/>
      <c r="GX39" s="418"/>
      <c r="GY39" s="419"/>
      <c r="GZ39" s="419"/>
      <c r="HA39" s="419"/>
      <c r="HB39" s="404"/>
      <c r="HC39" s="404"/>
      <c r="HD39" s="404"/>
      <c r="HE39" s="418"/>
      <c r="HF39" s="418"/>
      <c r="HG39" s="418"/>
      <c r="HH39" s="419"/>
      <c r="HI39" s="419"/>
      <c r="HJ39" s="419"/>
    </row>
    <row r="40" spans="1:220" s="363" customFormat="1" ht="28.5">
      <c r="A40" s="420">
        <v>32</v>
      </c>
      <c r="B40" s="118" t="s">
        <v>383</v>
      </c>
      <c r="C40" s="409">
        <v>1653551</v>
      </c>
      <c r="D40" s="409">
        <v>1325538</v>
      </c>
      <c r="E40" s="409">
        <v>2979089</v>
      </c>
      <c r="F40" s="409">
        <v>1201386</v>
      </c>
      <c r="G40" s="409">
        <v>1046873</v>
      </c>
      <c r="H40" s="409">
        <v>2248259</v>
      </c>
      <c r="I40" s="409">
        <v>47</v>
      </c>
      <c r="J40" s="409">
        <v>25</v>
      </c>
      <c r="K40" s="409">
        <v>72</v>
      </c>
      <c r="L40" s="97">
        <v>1201433</v>
      </c>
      <c r="M40" s="98">
        <v>1046898</v>
      </c>
      <c r="N40" s="98">
        <v>2248331</v>
      </c>
      <c r="O40" s="411">
        <v>0.72657752920835217</v>
      </c>
      <c r="P40" s="411">
        <v>0.78979101315843081</v>
      </c>
      <c r="Q40" s="411">
        <v>0.75470420655441983</v>
      </c>
      <c r="R40" s="409">
        <v>36326</v>
      </c>
      <c r="S40" s="409">
        <v>13352</v>
      </c>
      <c r="T40" s="409">
        <v>49678</v>
      </c>
      <c r="U40" s="409">
        <v>19816</v>
      </c>
      <c r="V40" s="409">
        <v>8370</v>
      </c>
      <c r="W40" s="409">
        <v>28186</v>
      </c>
      <c r="X40" s="409">
        <v>3</v>
      </c>
      <c r="Y40" s="409">
        <v>1</v>
      </c>
      <c r="Z40" s="409">
        <v>4</v>
      </c>
      <c r="AA40" s="97">
        <v>19819</v>
      </c>
      <c r="AB40" s="98">
        <v>8371</v>
      </c>
      <c r="AC40" s="98">
        <v>28190</v>
      </c>
      <c r="AD40" s="411">
        <v>0.54558718273412987</v>
      </c>
      <c r="AE40" s="411">
        <v>0.62694727381665671</v>
      </c>
      <c r="AF40" s="411">
        <v>0.56745440637706834</v>
      </c>
      <c r="AG40" s="261">
        <v>1689877</v>
      </c>
      <c r="AH40" s="261">
        <v>1338890</v>
      </c>
      <c r="AI40" s="261">
        <v>3028767</v>
      </c>
      <c r="AJ40" s="261">
        <v>1221202</v>
      </c>
      <c r="AK40" s="261">
        <v>1055243</v>
      </c>
      <c r="AL40" s="261">
        <v>2276445</v>
      </c>
      <c r="AM40" s="261">
        <v>50</v>
      </c>
      <c r="AN40" s="261">
        <v>26</v>
      </c>
      <c r="AO40" s="261">
        <v>76</v>
      </c>
      <c r="AP40" s="261">
        <v>1221252</v>
      </c>
      <c r="AQ40" s="261">
        <v>1055269</v>
      </c>
      <c r="AR40" s="261">
        <v>2276521</v>
      </c>
      <c r="AS40" s="411">
        <v>0.72268691745020497</v>
      </c>
      <c r="AT40" s="411">
        <v>0.78816706376177281</v>
      </c>
      <c r="AU40" s="411">
        <v>0.75163292521346148</v>
      </c>
      <c r="AV40" s="409">
        <v>365990</v>
      </c>
      <c r="AW40" s="409">
        <v>295560</v>
      </c>
      <c r="AX40" s="409">
        <v>661550</v>
      </c>
      <c r="AY40" s="409">
        <v>245657</v>
      </c>
      <c r="AZ40" s="409">
        <v>207457</v>
      </c>
      <c r="BA40" s="409">
        <v>453114</v>
      </c>
      <c r="BB40" s="409">
        <v>7</v>
      </c>
      <c r="BC40" s="409">
        <v>4</v>
      </c>
      <c r="BD40" s="409">
        <v>11</v>
      </c>
      <c r="BE40" s="97">
        <v>245664</v>
      </c>
      <c r="BF40" s="98">
        <v>207461</v>
      </c>
      <c r="BG40" s="98">
        <v>453125</v>
      </c>
      <c r="BH40" s="411">
        <v>0.6712314544113227</v>
      </c>
      <c r="BI40" s="411">
        <v>0.70192515902016506</v>
      </c>
      <c r="BJ40" s="411">
        <v>0.68494444864333759</v>
      </c>
      <c r="BK40" s="409">
        <v>7201</v>
      </c>
      <c r="BL40" s="409">
        <v>2462</v>
      </c>
      <c r="BM40" s="409">
        <v>9663</v>
      </c>
      <c r="BN40" s="409">
        <v>3548</v>
      </c>
      <c r="BO40" s="409">
        <v>1230</v>
      </c>
      <c r="BP40" s="409">
        <v>4778</v>
      </c>
      <c r="BQ40" s="409">
        <v>1</v>
      </c>
      <c r="BR40" s="430">
        <v>0</v>
      </c>
      <c r="BS40" s="409">
        <v>1</v>
      </c>
      <c r="BT40" s="97">
        <v>3549</v>
      </c>
      <c r="BU40" s="98">
        <v>1230</v>
      </c>
      <c r="BV40" s="98">
        <v>4779</v>
      </c>
      <c r="BW40" s="411">
        <v>0.49284821552562147</v>
      </c>
      <c r="BX40" s="411">
        <v>0.49959382615759546</v>
      </c>
      <c r="BY40" s="411">
        <v>0.49456690468798509</v>
      </c>
      <c r="BZ40" s="98">
        <v>373191</v>
      </c>
      <c r="CA40" s="98">
        <v>298022</v>
      </c>
      <c r="CB40" s="98">
        <v>671213</v>
      </c>
      <c r="CC40" s="261">
        <v>249205</v>
      </c>
      <c r="CD40" s="261">
        <v>208687</v>
      </c>
      <c r="CE40" s="261">
        <v>457892</v>
      </c>
      <c r="CF40" s="261">
        <v>8</v>
      </c>
      <c r="CG40" s="261">
        <v>4</v>
      </c>
      <c r="CH40" s="261">
        <v>12</v>
      </c>
      <c r="CI40" s="261">
        <v>249213</v>
      </c>
      <c r="CJ40" s="261">
        <v>208691</v>
      </c>
      <c r="CK40" s="261">
        <v>457904</v>
      </c>
      <c r="CL40" s="411">
        <v>0.66778941614347609</v>
      </c>
      <c r="CM40" s="411">
        <v>0.70025367254766424</v>
      </c>
      <c r="CN40" s="411">
        <v>0.68220371178746542</v>
      </c>
      <c r="CO40" s="409">
        <v>13003</v>
      </c>
      <c r="CP40" s="409">
        <v>9471</v>
      </c>
      <c r="CQ40" s="409">
        <v>22474</v>
      </c>
      <c r="CR40" s="409">
        <v>8593</v>
      </c>
      <c r="CS40" s="409">
        <v>6418</v>
      </c>
      <c r="CT40" s="409">
        <v>15011</v>
      </c>
      <c r="CU40" s="409">
        <v>1</v>
      </c>
      <c r="CV40" s="409">
        <v>0</v>
      </c>
      <c r="CW40" s="409">
        <v>1</v>
      </c>
      <c r="CX40" s="97">
        <v>8594</v>
      </c>
      <c r="CY40" s="98">
        <v>6418</v>
      </c>
      <c r="CZ40" s="98">
        <v>15012</v>
      </c>
      <c r="DA40" s="411">
        <v>0.66092440206106284</v>
      </c>
      <c r="DB40" s="411">
        <v>0.67764755569633617</v>
      </c>
      <c r="DC40" s="411">
        <v>0.66797187861528873</v>
      </c>
      <c r="DD40" s="409">
        <v>306</v>
      </c>
      <c r="DE40" s="409">
        <v>121</v>
      </c>
      <c r="DF40" s="409">
        <v>427</v>
      </c>
      <c r="DG40" s="409">
        <v>146</v>
      </c>
      <c r="DH40" s="409">
        <v>64</v>
      </c>
      <c r="DI40" s="409">
        <v>210</v>
      </c>
      <c r="DJ40" s="409">
        <v>0</v>
      </c>
      <c r="DK40" s="409">
        <v>0</v>
      </c>
      <c r="DL40" s="409">
        <v>0</v>
      </c>
      <c r="DM40" s="97">
        <v>146</v>
      </c>
      <c r="DN40" s="98">
        <v>64</v>
      </c>
      <c r="DO40" s="98">
        <v>210</v>
      </c>
      <c r="DP40" s="411">
        <v>0.47712418300653597</v>
      </c>
      <c r="DQ40" s="411">
        <v>0.52892561983471076</v>
      </c>
      <c r="DR40" s="411">
        <v>0.49180327868852458</v>
      </c>
      <c r="DS40" s="98">
        <v>13309</v>
      </c>
      <c r="DT40" s="98">
        <v>9592</v>
      </c>
      <c r="DU40" s="261">
        <v>22901</v>
      </c>
      <c r="DV40" s="261">
        <v>8739</v>
      </c>
      <c r="DW40" s="261">
        <v>6482</v>
      </c>
      <c r="DX40" s="261">
        <v>15221</v>
      </c>
      <c r="DY40" s="261">
        <v>1</v>
      </c>
      <c r="DZ40" s="418"/>
      <c r="EA40" s="261">
        <v>1</v>
      </c>
      <c r="EB40" s="261">
        <v>8740</v>
      </c>
      <c r="EC40" s="261">
        <v>6482</v>
      </c>
      <c r="ED40" s="261">
        <v>15222</v>
      </c>
      <c r="EE40" s="411">
        <v>0.65669847471635734</v>
      </c>
      <c r="EF40" s="411">
        <v>0.67577147623019185</v>
      </c>
      <c r="EG40" s="411">
        <v>0.6646871315663071</v>
      </c>
      <c r="EH40" s="416"/>
      <c r="EI40" s="416"/>
      <c r="EJ40" s="416"/>
      <c r="EK40" s="416"/>
      <c r="EL40" s="416"/>
      <c r="EM40" s="416"/>
      <c r="EN40" s="416"/>
      <c r="EO40" s="416"/>
      <c r="EP40" s="416"/>
      <c r="EQ40" s="404"/>
      <c r="ER40" s="404"/>
      <c r="ES40" s="404"/>
      <c r="ET40" s="417"/>
      <c r="EU40" s="417"/>
      <c r="EV40" s="417"/>
      <c r="EW40" s="416"/>
      <c r="EX40" s="416"/>
      <c r="EY40" s="416"/>
      <c r="EZ40" s="416"/>
      <c r="FA40" s="416"/>
      <c r="FB40" s="416"/>
      <c r="FC40" s="416"/>
      <c r="FD40" s="416"/>
      <c r="FE40" s="416"/>
      <c r="FF40" s="404"/>
      <c r="FG40" s="404"/>
      <c r="FH40" s="404"/>
      <c r="FI40" s="417"/>
      <c r="FJ40" s="417"/>
      <c r="FK40" s="417"/>
      <c r="FL40" s="404"/>
      <c r="FM40" s="404"/>
      <c r="FN40" s="418"/>
      <c r="FO40" s="418"/>
      <c r="FP40" s="418"/>
      <c r="FQ40" s="418"/>
      <c r="FR40" s="418"/>
      <c r="FS40" s="418"/>
      <c r="FT40" s="418"/>
      <c r="FU40" s="418"/>
      <c r="FV40" s="418"/>
      <c r="FW40" s="418"/>
      <c r="FX40" s="417"/>
      <c r="FY40" s="417"/>
      <c r="FZ40" s="417"/>
      <c r="GA40" s="261">
        <v>1221252</v>
      </c>
      <c r="GB40" s="261">
        <v>1055269</v>
      </c>
      <c r="GC40" s="261">
        <v>2276521</v>
      </c>
      <c r="GD40" s="261">
        <v>666497</v>
      </c>
      <c r="GE40" s="261">
        <v>665025</v>
      </c>
      <c r="GF40" s="261">
        <v>1331522</v>
      </c>
      <c r="GG40" s="100">
        <v>54.574895271409993</v>
      </c>
      <c r="GH40" s="413">
        <v>63.019476550528822</v>
      </c>
      <c r="GI40" s="413">
        <v>58.489335262007245</v>
      </c>
      <c r="GJ40" s="261">
        <v>249213</v>
      </c>
      <c r="GK40" s="261">
        <v>208691</v>
      </c>
      <c r="GL40" s="261">
        <v>457904</v>
      </c>
      <c r="GM40" s="261">
        <v>120685</v>
      </c>
      <c r="GN40" s="261">
        <v>112432</v>
      </c>
      <c r="GO40" s="261">
        <v>233117</v>
      </c>
      <c r="GP40" s="413">
        <v>48.426446453435418</v>
      </c>
      <c r="GQ40" s="413">
        <v>53.874867627257522</v>
      </c>
      <c r="GR40" s="413">
        <v>50.909579300464728</v>
      </c>
      <c r="GS40" s="261">
        <v>8740</v>
      </c>
      <c r="GT40" s="261">
        <v>6482</v>
      </c>
      <c r="GU40" s="261">
        <v>15222</v>
      </c>
      <c r="GV40" s="261">
        <v>4359</v>
      </c>
      <c r="GW40" s="261">
        <v>3422</v>
      </c>
      <c r="GX40" s="261">
        <v>7781</v>
      </c>
      <c r="GY40" s="413">
        <v>49.874141876430208</v>
      </c>
      <c r="GZ40" s="413">
        <v>52.792348040728172</v>
      </c>
      <c r="HA40" s="413">
        <v>51.116804624885035</v>
      </c>
      <c r="HB40" s="404"/>
      <c r="HC40" s="404"/>
      <c r="HD40" s="404"/>
      <c r="HE40" s="418"/>
      <c r="HF40" s="418"/>
      <c r="HG40" s="418"/>
      <c r="HH40" s="419"/>
      <c r="HI40" s="419"/>
      <c r="HJ40" s="419"/>
    </row>
    <row r="41" spans="1:220" s="363" customFormat="1" ht="28.5">
      <c r="A41" s="420">
        <v>33</v>
      </c>
      <c r="B41" s="118" t="s">
        <v>169</v>
      </c>
      <c r="C41" s="363">
        <v>70480</v>
      </c>
      <c r="D41" s="363">
        <v>71104</v>
      </c>
      <c r="E41" s="409">
        <v>141584</v>
      </c>
      <c r="F41" s="414">
        <v>49661</v>
      </c>
      <c r="G41" s="414">
        <v>57711</v>
      </c>
      <c r="H41" s="409">
        <v>107372</v>
      </c>
      <c r="I41" s="410"/>
      <c r="J41" s="410"/>
      <c r="K41" s="410"/>
      <c r="L41" s="97">
        <v>49661</v>
      </c>
      <c r="M41" s="98">
        <v>57711</v>
      </c>
      <c r="N41" s="98">
        <v>107372</v>
      </c>
      <c r="O41" s="411">
        <v>0.70461123723041996</v>
      </c>
      <c r="P41" s="411">
        <v>0.81164210171017104</v>
      </c>
      <c r="Q41" s="411">
        <v>0.75836252683919092</v>
      </c>
      <c r="R41" s="363">
        <v>2815</v>
      </c>
      <c r="S41" s="363">
        <v>1767</v>
      </c>
      <c r="T41" s="409">
        <v>4582</v>
      </c>
      <c r="U41" s="363">
        <v>884</v>
      </c>
      <c r="V41" s="363">
        <v>750</v>
      </c>
      <c r="W41" s="409">
        <v>1634</v>
      </c>
      <c r="X41" s="410"/>
      <c r="Y41" s="410"/>
      <c r="Z41" s="410"/>
      <c r="AA41" s="97">
        <v>884</v>
      </c>
      <c r="AB41" s="98">
        <v>750</v>
      </c>
      <c r="AC41" s="98">
        <v>1634</v>
      </c>
      <c r="AD41" s="411">
        <v>0.31403197158081703</v>
      </c>
      <c r="AE41" s="411">
        <v>0.42444821731748728</v>
      </c>
      <c r="AF41" s="411">
        <v>0.35661283282409428</v>
      </c>
      <c r="AG41" s="261">
        <v>73295</v>
      </c>
      <c r="AH41" s="261">
        <v>72871</v>
      </c>
      <c r="AI41" s="261">
        <v>146166</v>
      </c>
      <c r="AJ41" s="261">
        <v>50545</v>
      </c>
      <c r="AK41" s="261">
        <v>58461</v>
      </c>
      <c r="AL41" s="261">
        <v>109006</v>
      </c>
      <c r="AM41" s="410"/>
      <c r="AN41" s="410"/>
      <c r="AO41" s="410"/>
      <c r="AP41" s="261">
        <v>49698</v>
      </c>
      <c r="AQ41" s="261">
        <v>57713</v>
      </c>
      <c r="AR41" s="261">
        <v>107411</v>
      </c>
      <c r="AS41" s="411">
        <v>0.67805443754689954</v>
      </c>
      <c r="AT41" s="411">
        <v>0.79198858256370852</v>
      </c>
      <c r="AU41" s="411">
        <v>0.73485625932159326</v>
      </c>
      <c r="AV41" s="409">
        <v>20950</v>
      </c>
      <c r="AW41" s="409">
        <v>20270</v>
      </c>
      <c r="AX41" s="409">
        <v>41220</v>
      </c>
      <c r="AY41" s="409">
        <v>12735</v>
      </c>
      <c r="AZ41" s="409">
        <v>14668</v>
      </c>
      <c r="BA41" s="409">
        <v>27403</v>
      </c>
      <c r="BB41" s="410"/>
      <c r="BC41" s="410"/>
      <c r="BD41" s="410"/>
      <c r="BE41" s="97">
        <v>12735</v>
      </c>
      <c r="BF41" s="98">
        <v>14668</v>
      </c>
      <c r="BG41" s="98">
        <v>27403</v>
      </c>
      <c r="BH41" s="411">
        <v>0.60787589498806682</v>
      </c>
      <c r="BI41" s="411">
        <v>0.72363098174642326</v>
      </c>
      <c r="BJ41" s="411">
        <v>0.66479864143619605</v>
      </c>
      <c r="BK41" s="409">
        <v>1162</v>
      </c>
      <c r="BL41" s="409">
        <v>749</v>
      </c>
      <c r="BM41" s="409">
        <v>1911</v>
      </c>
      <c r="BN41" s="409">
        <v>332</v>
      </c>
      <c r="BO41" s="409">
        <v>304</v>
      </c>
      <c r="BP41" s="409">
        <v>636</v>
      </c>
      <c r="BQ41" s="410"/>
      <c r="BR41" s="410"/>
      <c r="BS41" s="410"/>
      <c r="BT41" s="97">
        <v>332</v>
      </c>
      <c r="BU41" s="98">
        <v>304</v>
      </c>
      <c r="BV41" s="98">
        <v>636</v>
      </c>
      <c r="BW41" s="411">
        <v>0.2857142857142857</v>
      </c>
      <c r="BX41" s="411">
        <v>0.40587449933244324</v>
      </c>
      <c r="BY41" s="411">
        <v>0.3328100470957614</v>
      </c>
      <c r="BZ41" s="98">
        <v>22112</v>
      </c>
      <c r="CA41" s="98">
        <v>21019</v>
      </c>
      <c r="CB41" s="98">
        <v>43131</v>
      </c>
      <c r="CC41" s="261">
        <v>13067</v>
      </c>
      <c r="CD41" s="261">
        <v>14972</v>
      </c>
      <c r="CE41" s="261">
        <v>28039</v>
      </c>
      <c r="CF41" s="410"/>
      <c r="CG41" s="410"/>
      <c r="CH41" s="410"/>
      <c r="CI41" s="261">
        <v>13067</v>
      </c>
      <c r="CJ41" s="261">
        <v>14972</v>
      </c>
      <c r="CK41" s="261">
        <v>28039</v>
      </c>
      <c r="CL41" s="411">
        <v>0.59094609261939224</v>
      </c>
      <c r="CM41" s="411">
        <v>0.71230791188924303</v>
      </c>
      <c r="CN41" s="411">
        <v>0.65008926294312674</v>
      </c>
      <c r="CO41" s="409">
        <v>2386</v>
      </c>
      <c r="CP41" s="409">
        <v>2507</v>
      </c>
      <c r="CQ41" s="409">
        <v>4893</v>
      </c>
      <c r="CR41" s="409">
        <v>1592</v>
      </c>
      <c r="CS41" s="409">
        <v>1970</v>
      </c>
      <c r="CT41" s="409">
        <v>3562</v>
      </c>
      <c r="CU41" s="410"/>
      <c r="CV41" s="410"/>
      <c r="CW41" s="410"/>
      <c r="CX41" s="97">
        <v>1592</v>
      </c>
      <c r="CY41" s="98">
        <v>1970</v>
      </c>
      <c r="CZ41" s="98">
        <v>3562</v>
      </c>
      <c r="DA41" s="411">
        <v>0.66722548197820619</v>
      </c>
      <c r="DB41" s="411">
        <v>0.78579976067012369</v>
      </c>
      <c r="DC41" s="411">
        <v>0.72797874514612715</v>
      </c>
      <c r="DD41" s="409">
        <v>64</v>
      </c>
      <c r="DE41" s="409">
        <v>45</v>
      </c>
      <c r="DF41" s="409">
        <v>109</v>
      </c>
      <c r="DG41" s="409">
        <v>17</v>
      </c>
      <c r="DH41" s="409">
        <v>23</v>
      </c>
      <c r="DI41" s="409">
        <v>40</v>
      </c>
      <c r="DJ41" s="410"/>
      <c r="DK41" s="410"/>
      <c r="DL41" s="409"/>
      <c r="DM41" s="97">
        <v>17</v>
      </c>
      <c r="DN41" s="98">
        <v>23</v>
      </c>
      <c r="DO41" s="98">
        <v>40</v>
      </c>
      <c r="DP41" s="411">
        <v>0.265625</v>
      </c>
      <c r="DQ41" s="411">
        <v>0.51111111111111107</v>
      </c>
      <c r="DR41" s="411">
        <v>0.3669724770642202</v>
      </c>
      <c r="DS41" s="98">
        <v>2450</v>
      </c>
      <c r="DT41" s="98">
        <v>2552</v>
      </c>
      <c r="DU41" s="261">
        <v>5002</v>
      </c>
      <c r="DV41" s="261">
        <v>1609</v>
      </c>
      <c r="DW41" s="261">
        <v>1993</v>
      </c>
      <c r="DX41" s="261">
        <v>3602</v>
      </c>
      <c r="DY41" s="410"/>
      <c r="DZ41" s="410"/>
      <c r="EA41" s="410"/>
      <c r="EB41" s="261">
        <v>1609</v>
      </c>
      <c r="EC41" s="261">
        <v>1993</v>
      </c>
      <c r="ED41" s="261">
        <v>3602</v>
      </c>
      <c r="EE41" s="411">
        <v>0.65673469387755101</v>
      </c>
      <c r="EF41" s="411">
        <v>0.78095611285266453</v>
      </c>
      <c r="EG41" s="411">
        <v>0.72011195521791282</v>
      </c>
      <c r="EH41" s="416"/>
      <c r="EI41" s="416"/>
      <c r="EJ41" s="416"/>
      <c r="EK41" s="416"/>
      <c r="EL41" s="416"/>
      <c r="EM41" s="416"/>
      <c r="EN41" s="416"/>
      <c r="EO41" s="416"/>
      <c r="EP41" s="416"/>
      <c r="EQ41" s="404"/>
      <c r="ER41" s="404"/>
      <c r="ES41" s="404"/>
      <c r="ET41" s="417"/>
      <c r="EU41" s="417"/>
      <c r="EV41" s="417"/>
      <c r="EW41" s="416"/>
      <c r="EX41" s="416"/>
      <c r="EY41" s="416"/>
      <c r="EZ41" s="416"/>
      <c r="FA41" s="416"/>
      <c r="FB41" s="416"/>
      <c r="FC41" s="416"/>
      <c r="FD41" s="416"/>
      <c r="FE41" s="416"/>
      <c r="FF41" s="404"/>
      <c r="FG41" s="404"/>
      <c r="FH41" s="404"/>
      <c r="FI41" s="417"/>
      <c r="FJ41" s="417"/>
      <c r="FK41" s="417"/>
      <c r="FL41" s="404"/>
      <c r="FM41" s="404"/>
      <c r="FN41" s="418"/>
      <c r="FO41" s="418"/>
      <c r="FP41" s="418"/>
      <c r="FQ41" s="418"/>
      <c r="FR41" s="416"/>
      <c r="FS41" s="416"/>
      <c r="FT41" s="416"/>
      <c r="FU41" s="418"/>
      <c r="FV41" s="418"/>
      <c r="FW41" s="418"/>
      <c r="FX41" s="417"/>
      <c r="FY41" s="417"/>
      <c r="FZ41" s="417"/>
      <c r="GA41" s="261">
        <v>49698</v>
      </c>
      <c r="GB41" s="261">
        <v>57713</v>
      </c>
      <c r="GC41" s="261">
        <v>107411</v>
      </c>
      <c r="GD41" s="32">
        <v>15855</v>
      </c>
      <c r="GE41" s="32">
        <v>21924</v>
      </c>
      <c r="GF41" s="261">
        <v>37779</v>
      </c>
      <c r="GG41" s="100">
        <v>31.902692261257997</v>
      </c>
      <c r="GH41" s="413">
        <v>37.987974979640633</v>
      </c>
      <c r="GI41" s="413">
        <v>35.172375268827217</v>
      </c>
      <c r="GJ41" s="261">
        <v>13067</v>
      </c>
      <c r="GK41" s="261">
        <v>14972</v>
      </c>
      <c r="GL41" s="261">
        <v>28039</v>
      </c>
      <c r="GM41" s="32">
        <v>2845</v>
      </c>
      <c r="GN41" s="32">
        <v>3913</v>
      </c>
      <c r="GO41" s="261">
        <v>6758</v>
      </c>
      <c r="GP41" s="413">
        <v>21.772403765210072</v>
      </c>
      <c r="GQ41" s="413">
        <v>26.135452845311249</v>
      </c>
      <c r="GR41" s="413">
        <v>24.102143443061451</v>
      </c>
      <c r="GS41" s="261">
        <v>1609</v>
      </c>
      <c r="GT41" s="261">
        <v>1993</v>
      </c>
      <c r="GU41" s="261">
        <v>3602</v>
      </c>
      <c r="GV41" s="32">
        <v>505</v>
      </c>
      <c r="GW41" s="32">
        <v>693</v>
      </c>
      <c r="GX41" s="261">
        <v>1198</v>
      </c>
      <c r="GY41" s="413">
        <v>31.385954008701056</v>
      </c>
      <c r="GZ41" s="413">
        <v>34.771700953336676</v>
      </c>
      <c r="HA41" s="413">
        <v>33.259300388672962</v>
      </c>
      <c r="HB41" s="404"/>
      <c r="HC41" s="404"/>
      <c r="HD41" s="404"/>
      <c r="HE41" s="224"/>
      <c r="HF41" s="224"/>
      <c r="HG41" s="418"/>
      <c r="HH41" s="419"/>
      <c r="HI41" s="419"/>
      <c r="HJ41" s="419"/>
    </row>
    <row r="42" spans="1:220" s="363" customFormat="1" ht="28.5">
      <c r="A42" s="420">
        <v>34</v>
      </c>
      <c r="B42" s="118" t="s">
        <v>172</v>
      </c>
      <c r="C42" s="409">
        <v>475363</v>
      </c>
      <c r="D42" s="409">
        <v>616545</v>
      </c>
      <c r="E42" s="409">
        <v>1091908</v>
      </c>
      <c r="F42" s="409">
        <v>415913</v>
      </c>
      <c r="G42" s="409">
        <v>473423</v>
      </c>
      <c r="H42" s="409">
        <v>889336</v>
      </c>
      <c r="I42" s="410"/>
      <c r="J42" s="410"/>
      <c r="K42" s="410"/>
      <c r="L42" s="97">
        <v>415913</v>
      </c>
      <c r="M42" s="98">
        <v>473423</v>
      </c>
      <c r="N42" s="98">
        <v>889336</v>
      </c>
      <c r="O42" s="411">
        <v>0.87493767920515475</v>
      </c>
      <c r="P42" s="411">
        <v>0.76786447055770468</v>
      </c>
      <c r="Q42" s="411">
        <v>0.81447887550965836</v>
      </c>
      <c r="R42" s="416"/>
      <c r="S42" s="416"/>
      <c r="T42" s="416"/>
      <c r="U42" s="416"/>
      <c r="V42" s="416"/>
      <c r="W42" s="416"/>
      <c r="X42" s="416"/>
      <c r="Y42" s="416"/>
      <c r="Z42" s="416"/>
      <c r="AA42" s="404"/>
      <c r="AB42" s="404"/>
      <c r="AC42" s="404"/>
      <c r="AD42" s="417"/>
      <c r="AE42" s="417"/>
      <c r="AF42" s="417"/>
      <c r="AG42" s="261">
        <v>475363</v>
      </c>
      <c r="AH42" s="261">
        <v>616545</v>
      </c>
      <c r="AI42" s="261">
        <v>1091908</v>
      </c>
      <c r="AJ42" s="261">
        <v>415913</v>
      </c>
      <c r="AK42" s="261">
        <v>473423</v>
      </c>
      <c r="AL42" s="261">
        <v>889336</v>
      </c>
      <c r="AM42" s="412"/>
      <c r="AN42" s="412"/>
      <c r="AO42" s="412"/>
      <c r="AP42" s="261">
        <v>415913</v>
      </c>
      <c r="AQ42" s="261">
        <v>473423</v>
      </c>
      <c r="AR42" s="261">
        <v>889336</v>
      </c>
      <c r="AS42" s="411">
        <v>0.87493767920515475</v>
      </c>
      <c r="AT42" s="411">
        <v>0.76786447055770468</v>
      </c>
      <c r="AU42" s="411">
        <v>0.81447887550965836</v>
      </c>
      <c r="AV42" s="409">
        <v>143400</v>
      </c>
      <c r="AW42" s="409">
        <v>175174</v>
      </c>
      <c r="AX42" s="409">
        <v>318574</v>
      </c>
      <c r="AY42" s="409">
        <v>120541</v>
      </c>
      <c r="AZ42" s="409">
        <v>126937</v>
      </c>
      <c r="BA42" s="409">
        <v>247478</v>
      </c>
      <c r="BB42" s="410"/>
      <c r="BC42" s="410"/>
      <c r="BD42" s="410"/>
      <c r="BE42" s="97">
        <v>120541</v>
      </c>
      <c r="BF42" s="98">
        <v>126937</v>
      </c>
      <c r="BG42" s="98">
        <v>247478</v>
      </c>
      <c r="BH42" s="411">
        <v>0.84059274755927471</v>
      </c>
      <c r="BI42" s="411">
        <v>0.72463379268612926</v>
      </c>
      <c r="BJ42" s="411">
        <v>0.7768305009197235</v>
      </c>
      <c r="BK42" s="416"/>
      <c r="BL42" s="416"/>
      <c r="BM42" s="416"/>
      <c r="BN42" s="416"/>
      <c r="BO42" s="416"/>
      <c r="BP42" s="416"/>
      <c r="BQ42" s="416"/>
      <c r="BR42" s="416"/>
      <c r="BS42" s="416"/>
      <c r="BT42" s="404"/>
      <c r="BU42" s="404"/>
      <c r="BV42" s="404"/>
      <c r="BW42" s="417"/>
      <c r="BX42" s="417"/>
      <c r="BY42" s="417"/>
      <c r="BZ42" s="98">
        <v>143400</v>
      </c>
      <c r="CA42" s="98">
        <v>175174</v>
      </c>
      <c r="CB42" s="98">
        <v>318574</v>
      </c>
      <c r="CC42" s="261">
        <v>120541</v>
      </c>
      <c r="CD42" s="261">
        <v>126937</v>
      </c>
      <c r="CE42" s="261">
        <v>247478</v>
      </c>
      <c r="CF42" s="412"/>
      <c r="CG42" s="412"/>
      <c r="CH42" s="412"/>
      <c r="CI42" s="261">
        <v>120541</v>
      </c>
      <c r="CJ42" s="261">
        <v>126937</v>
      </c>
      <c r="CK42" s="261">
        <v>247478</v>
      </c>
      <c r="CL42" s="411">
        <v>0.84059274755927471</v>
      </c>
      <c r="CM42" s="411">
        <v>0.72463379268612926</v>
      </c>
      <c r="CN42" s="411">
        <v>0.7768305009197235</v>
      </c>
      <c r="CO42" s="409">
        <v>28339</v>
      </c>
      <c r="CP42" s="409">
        <v>37081</v>
      </c>
      <c r="CQ42" s="409">
        <v>65420</v>
      </c>
      <c r="CR42" s="409">
        <v>20856</v>
      </c>
      <c r="CS42" s="409">
        <v>22511</v>
      </c>
      <c r="CT42" s="409">
        <v>43367</v>
      </c>
      <c r="CU42" s="410"/>
      <c r="CV42" s="410"/>
      <c r="CW42" s="410"/>
      <c r="CX42" s="97">
        <v>20856</v>
      </c>
      <c r="CY42" s="98">
        <v>22511</v>
      </c>
      <c r="CZ42" s="98">
        <v>43367</v>
      </c>
      <c r="DA42" s="411">
        <v>0.73594692826140651</v>
      </c>
      <c r="DB42" s="411">
        <v>0.60707640031282872</v>
      </c>
      <c r="DC42" s="411">
        <v>0.66290125343931516</v>
      </c>
      <c r="DD42" s="416"/>
      <c r="DE42" s="416"/>
      <c r="DF42" s="416"/>
      <c r="DG42" s="416"/>
      <c r="DH42" s="416"/>
      <c r="DI42" s="416"/>
      <c r="DJ42" s="416"/>
      <c r="DK42" s="416"/>
      <c r="DL42" s="416"/>
      <c r="DM42" s="404"/>
      <c r="DN42" s="404"/>
      <c r="DO42" s="404"/>
      <c r="DP42" s="417"/>
      <c r="DQ42" s="417"/>
      <c r="DR42" s="417"/>
      <c r="DS42" s="98">
        <v>28339</v>
      </c>
      <c r="DT42" s="98">
        <v>37081</v>
      </c>
      <c r="DU42" s="261">
        <v>65420</v>
      </c>
      <c r="DV42" s="261">
        <v>20856</v>
      </c>
      <c r="DW42" s="261">
        <v>22511</v>
      </c>
      <c r="DX42" s="261">
        <v>43367</v>
      </c>
      <c r="DY42" s="412"/>
      <c r="DZ42" s="412"/>
      <c r="EA42" s="412"/>
      <c r="EB42" s="261">
        <v>20856</v>
      </c>
      <c r="EC42" s="261">
        <v>22511</v>
      </c>
      <c r="ED42" s="261">
        <v>43367</v>
      </c>
      <c r="EE42" s="411">
        <v>0.73594692826140651</v>
      </c>
      <c r="EF42" s="411">
        <v>0.60707640031282872</v>
      </c>
      <c r="EG42" s="411">
        <v>0.66290125343931516</v>
      </c>
      <c r="EH42" s="409">
        <v>81605</v>
      </c>
      <c r="EI42" s="409">
        <v>106533</v>
      </c>
      <c r="EJ42" s="409">
        <v>188138</v>
      </c>
      <c r="EK42" s="409">
        <v>72080</v>
      </c>
      <c r="EL42" s="409">
        <v>81481</v>
      </c>
      <c r="EM42" s="409">
        <v>153561</v>
      </c>
      <c r="EN42" s="410"/>
      <c r="EO42" s="410"/>
      <c r="EP42" s="410"/>
      <c r="EQ42" s="97">
        <v>72080</v>
      </c>
      <c r="ER42" s="98">
        <v>81481</v>
      </c>
      <c r="ES42" s="98">
        <v>153561</v>
      </c>
      <c r="ET42" s="411">
        <v>0.88327921083266958</v>
      </c>
      <c r="EU42" s="411">
        <v>0.76484281865712966</v>
      </c>
      <c r="EV42" s="411">
        <v>0.81621469346968711</v>
      </c>
      <c r="EW42" s="416"/>
      <c r="EX42" s="416"/>
      <c r="EY42" s="416"/>
      <c r="EZ42" s="416"/>
      <c r="FA42" s="416"/>
      <c r="FB42" s="416"/>
      <c r="FC42" s="416"/>
      <c r="FD42" s="416"/>
      <c r="FE42" s="416"/>
      <c r="FF42" s="404"/>
      <c r="FG42" s="404"/>
      <c r="FH42" s="404"/>
      <c r="FI42" s="417"/>
      <c r="FJ42" s="417"/>
      <c r="FK42" s="417"/>
      <c r="FL42" s="98">
        <v>81605</v>
      </c>
      <c r="FM42" s="98">
        <v>106533</v>
      </c>
      <c r="FN42" s="261">
        <v>188138</v>
      </c>
      <c r="FO42" s="261">
        <v>72080</v>
      </c>
      <c r="FP42" s="261">
        <v>81481</v>
      </c>
      <c r="FQ42" s="261">
        <v>153561</v>
      </c>
      <c r="FR42" s="412"/>
      <c r="FS42" s="412"/>
      <c r="FT42" s="412"/>
      <c r="FU42" s="261">
        <v>72080</v>
      </c>
      <c r="FV42" s="261">
        <v>81481</v>
      </c>
      <c r="FW42" s="261">
        <v>153561</v>
      </c>
      <c r="FX42" s="411">
        <v>0.88327921083266958</v>
      </c>
      <c r="FY42" s="411">
        <v>0.76484281865712966</v>
      </c>
      <c r="FZ42" s="411">
        <v>0.81621469346968711</v>
      </c>
      <c r="GA42" s="261">
        <v>415913</v>
      </c>
      <c r="GB42" s="261">
        <v>473423</v>
      </c>
      <c r="GC42" s="261">
        <v>889336</v>
      </c>
      <c r="GD42" s="261">
        <v>63597</v>
      </c>
      <c r="GE42" s="261">
        <v>54933</v>
      </c>
      <c r="GF42" s="261">
        <v>118530</v>
      </c>
      <c r="GG42" s="100">
        <v>15.290938249104981</v>
      </c>
      <c r="GH42" s="413">
        <v>11.603365277986072</v>
      </c>
      <c r="GI42" s="413">
        <v>13.327921055708979</v>
      </c>
      <c r="GJ42" s="261">
        <v>120541</v>
      </c>
      <c r="GK42" s="261">
        <v>126937</v>
      </c>
      <c r="GL42" s="261">
        <v>247478</v>
      </c>
      <c r="GM42" s="261">
        <v>11603</v>
      </c>
      <c r="GN42" s="261">
        <v>8780</v>
      </c>
      <c r="GO42" s="261">
        <v>20383</v>
      </c>
      <c r="GP42" s="413">
        <v>9.625770484731337</v>
      </c>
      <c r="GQ42" s="413">
        <v>6.9168170037105021</v>
      </c>
      <c r="GR42" s="413">
        <v>8.2362876700151126</v>
      </c>
      <c r="GS42" s="261">
        <v>20856</v>
      </c>
      <c r="GT42" s="261">
        <v>22511</v>
      </c>
      <c r="GU42" s="261">
        <v>43367</v>
      </c>
      <c r="GV42" s="261">
        <v>952</v>
      </c>
      <c r="GW42" s="261">
        <v>762</v>
      </c>
      <c r="GX42" s="261">
        <v>1714</v>
      </c>
      <c r="GY42" s="413">
        <v>4.5646336785577288</v>
      </c>
      <c r="GZ42" s="413">
        <v>3.3850117720225668</v>
      </c>
      <c r="HA42" s="413">
        <v>3.952313971452948</v>
      </c>
      <c r="HB42" s="98">
        <v>72080</v>
      </c>
      <c r="HC42" s="98">
        <v>81481</v>
      </c>
      <c r="HD42" s="98">
        <v>153561</v>
      </c>
      <c r="HE42" s="261">
        <v>11807</v>
      </c>
      <c r="HF42" s="261">
        <v>9263</v>
      </c>
      <c r="HG42" s="261">
        <v>21070</v>
      </c>
      <c r="HH42" s="413">
        <v>16.380410654827969</v>
      </c>
      <c r="HI42" s="413">
        <v>11.368294449012653</v>
      </c>
      <c r="HJ42" s="413">
        <v>13.720931746993051</v>
      </c>
    </row>
    <row r="43" spans="1:220" s="363" customFormat="1" ht="28.5">
      <c r="A43" s="420">
        <v>35</v>
      </c>
      <c r="B43" s="118" t="s">
        <v>171</v>
      </c>
      <c r="C43" s="409">
        <v>14977</v>
      </c>
      <c r="D43" s="409">
        <v>39899</v>
      </c>
      <c r="E43" s="409">
        <v>54876</v>
      </c>
      <c r="F43" s="409">
        <v>13077</v>
      </c>
      <c r="G43" s="409">
        <v>28176</v>
      </c>
      <c r="H43" s="409">
        <v>41253</v>
      </c>
      <c r="I43" s="410"/>
      <c r="J43" s="410"/>
      <c r="K43" s="410"/>
      <c r="L43" s="97">
        <v>13077</v>
      </c>
      <c r="M43" s="98">
        <v>28176</v>
      </c>
      <c r="N43" s="98">
        <v>41253</v>
      </c>
      <c r="O43" s="411">
        <v>0.87313881284636441</v>
      </c>
      <c r="P43" s="411">
        <v>0.70618311235870568</v>
      </c>
      <c r="Q43" s="411">
        <v>0.75174939864421608</v>
      </c>
      <c r="R43" s="409">
        <v>959</v>
      </c>
      <c r="S43" s="409">
        <v>667</v>
      </c>
      <c r="T43" s="409">
        <v>1626</v>
      </c>
      <c r="U43" s="409">
        <v>869</v>
      </c>
      <c r="V43" s="409">
        <v>522</v>
      </c>
      <c r="W43" s="409">
        <v>1391</v>
      </c>
      <c r="X43" s="410"/>
      <c r="Y43" s="410"/>
      <c r="Z43" s="410"/>
      <c r="AA43" s="97">
        <v>869</v>
      </c>
      <c r="AB43" s="98">
        <v>522</v>
      </c>
      <c r="AC43" s="98">
        <v>1391</v>
      </c>
      <c r="AD43" s="411">
        <v>0.90615224191866528</v>
      </c>
      <c r="AE43" s="411">
        <v>0.78260869565217395</v>
      </c>
      <c r="AF43" s="411">
        <v>0.85547355473554731</v>
      </c>
      <c r="AG43" s="261">
        <v>15936</v>
      </c>
      <c r="AH43" s="261">
        <v>40566</v>
      </c>
      <c r="AI43" s="261">
        <v>56502</v>
      </c>
      <c r="AJ43" s="261">
        <v>13946</v>
      </c>
      <c r="AK43" s="261">
        <v>28698</v>
      </c>
      <c r="AL43" s="261">
        <v>42644</v>
      </c>
      <c r="AM43" s="412"/>
      <c r="AN43" s="412"/>
      <c r="AO43" s="412"/>
      <c r="AP43" s="261">
        <v>13946</v>
      </c>
      <c r="AQ43" s="261">
        <v>28698</v>
      </c>
      <c r="AR43" s="261">
        <v>42644</v>
      </c>
      <c r="AS43" s="411">
        <v>0.87512550200803207</v>
      </c>
      <c r="AT43" s="411">
        <v>0.70743972785090958</v>
      </c>
      <c r="AU43" s="411">
        <v>0.75473434568687836</v>
      </c>
      <c r="AV43" s="409">
        <v>348</v>
      </c>
      <c r="AW43" s="409">
        <v>568</v>
      </c>
      <c r="AX43" s="409">
        <v>916</v>
      </c>
      <c r="AY43" s="409">
        <v>277</v>
      </c>
      <c r="AZ43" s="409">
        <v>377</v>
      </c>
      <c r="BA43" s="409">
        <v>654</v>
      </c>
      <c r="BB43" s="410"/>
      <c r="BC43" s="410"/>
      <c r="BD43" s="410"/>
      <c r="BE43" s="97">
        <v>277</v>
      </c>
      <c r="BF43" s="98">
        <v>377</v>
      </c>
      <c r="BG43" s="98">
        <v>654</v>
      </c>
      <c r="BH43" s="411">
        <v>0.79597701149425293</v>
      </c>
      <c r="BI43" s="411">
        <v>0.66373239436619713</v>
      </c>
      <c r="BJ43" s="411">
        <v>0.71397379912663761</v>
      </c>
      <c r="BK43" s="409">
        <v>91</v>
      </c>
      <c r="BL43" s="409">
        <v>75</v>
      </c>
      <c r="BM43" s="409">
        <v>166</v>
      </c>
      <c r="BN43" s="409">
        <v>76</v>
      </c>
      <c r="BO43" s="409">
        <v>66</v>
      </c>
      <c r="BP43" s="409">
        <v>142</v>
      </c>
      <c r="BQ43" s="410"/>
      <c r="BR43" s="410"/>
      <c r="BS43" s="410"/>
      <c r="BT43" s="97">
        <v>76</v>
      </c>
      <c r="BU43" s="98">
        <v>66</v>
      </c>
      <c r="BV43" s="98">
        <v>142</v>
      </c>
      <c r="BW43" s="411">
        <v>0.8351648351648352</v>
      </c>
      <c r="BX43" s="411">
        <v>0.88</v>
      </c>
      <c r="BY43" s="411">
        <v>0.85542168674698793</v>
      </c>
      <c r="BZ43" s="98">
        <v>439</v>
      </c>
      <c r="CA43" s="98">
        <v>643</v>
      </c>
      <c r="CB43" s="98">
        <v>1082</v>
      </c>
      <c r="CC43" s="261">
        <v>353</v>
      </c>
      <c r="CD43" s="261">
        <v>443</v>
      </c>
      <c r="CE43" s="261">
        <v>796</v>
      </c>
      <c r="CF43" s="412"/>
      <c r="CG43" s="412"/>
      <c r="CH43" s="412"/>
      <c r="CI43" s="261">
        <v>353</v>
      </c>
      <c r="CJ43" s="261">
        <v>443</v>
      </c>
      <c r="CK43" s="261">
        <v>796</v>
      </c>
      <c r="CL43" s="411">
        <v>0.80410022779043278</v>
      </c>
      <c r="CM43" s="411">
        <v>0.68895800933125972</v>
      </c>
      <c r="CN43" s="411">
        <v>0.73567467652495377</v>
      </c>
      <c r="CO43" s="409">
        <v>109</v>
      </c>
      <c r="CP43" s="409">
        <v>188</v>
      </c>
      <c r="CQ43" s="409">
        <v>297</v>
      </c>
      <c r="CR43" s="409">
        <v>89</v>
      </c>
      <c r="CS43" s="409">
        <v>108</v>
      </c>
      <c r="CT43" s="409">
        <v>197</v>
      </c>
      <c r="CU43" s="410"/>
      <c r="CV43" s="410"/>
      <c r="CW43" s="410"/>
      <c r="CX43" s="97">
        <v>89</v>
      </c>
      <c r="CY43" s="98">
        <v>108</v>
      </c>
      <c r="CZ43" s="98">
        <v>197</v>
      </c>
      <c r="DA43" s="411">
        <v>0.8165137614678899</v>
      </c>
      <c r="DB43" s="411">
        <v>0.57446808510638303</v>
      </c>
      <c r="DC43" s="411">
        <v>0.66329966329966328</v>
      </c>
      <c r="DD43" s="409">
        <v>20</v>
      </c>
      <c r="DE43" s="409">
        <v>25</v>
      </c>
      <c r="DF43" s="409">
        <v>45</v>
      </c>
      <c r="DG43" s="409">
        <v>18</v>
      </c>
      <c r="DH43" s="409">
        <v>20</v>
      </c>
      <c r="DI43" s="409">
        <v>38</v>
      </c>
      <c r="DJ43" s="410"/>
      <c r="DK43" s="410"/>
      <c r="DL43" s="410"/>
      <c r="DM43" s="97">
        <v>18</v>
      </c>
      <c r="DN43" s="98">
        <v>20</v>
      </c>
      <c r="DO43" s="98">
        <v>38</v>
      </c>
      <c r="DP43" s="411">
        <v>0.9</v>
      </c>
      <c r="DQ43" s="411">
        <v>0.8</v>
      </c>
      <c r="DR43" s="411">
        <v>0.84444444444444444</v>
      </c>
      <c r="DS43" s="98">
        <v>129</v>
      </c>
      <c r="DT43" s="98">
        <v>213</v>
      </c>
      <c r="DU43" s="261">
        <v>342</v>
      </c>
      <c r="DV43" s="261">
        <v>107</v>
      </c>
      <c r="DW43" s="261">
        <v>128</v>
      </c>
      <c r="DX43" s="261">
        <v>235</v>
      </c>
      <c r="DY43" s="412"/>
      <c r="DZ43" s="412"/>
      <c r="EA43" s="412"/>
      <c r="EB43" s="261">
        <v>107</v>
      </c>
      <c r="EC43" s="261">
        <v>128</v>
      </c>
      <c r="ED43" s="261">
        <v>235</v>
      </c>
      <c r="EE43" s="411">
        <v>0.8294573643410853</v>
      </c>
      <c r="EF43" s="411">
        <v>0.60093896713615025</v>
      </c>
      <c r="EG43" s="411">
        <v>0.6871345029239766</v>
      </c>
      <c r="EH43" s="409">
        <v>4324</v>
      </c>
      <c r="EI43" s="409">
        <v>10229</v>
      </c>
      <c r="EJ43" s="409">
        <v>14553</v>
      </c>
      <c r="EK43" s="409">
        <v>3773</v>
      </c>
      <c r="EL43" s="409">
        <v>7841</v>
      </c>
      <c r="EM43" s="409">
        <v>11614</v>
      </c>
      <c r="EN43" s="410"/>
      <c r="EO43" s="410"/>
      <c r="EP43" s="410"/>
      <c r="EQ43" s="97">
        <v>3773</v>
      </c>
      <c r="ER43" s="98">
        <v>7841</v>
      </c>
      <c r="ES43" s="98">
        <v>11614</v>
      </c>
      <c r="ET43" s="411">
        <v>0.87257169287696579</v>
      </c>
      <c r="EU43" s="411">
        <v>0.76654609443738386</v>
      </c>
      <c r="EV43" s="411">
        <v>0.79804851233422658</v>
      </c>
      <c r="EW43" s="409">
        <v>139</v>
      </c>
      <c r="EX43" s="409">
        <v>59</v>
      </c>
      <c r="EY43" s="409">
        <v>198</v>
      </c>
      <c r="EZ43" s="409">
        <v>126</v>
      </c>
      <c r="FA43" s="409">
        <v>52</v>
      </c>
      <c r="FB43" s="409">
        <v>178</v>
      </c>
      <c r="FC43" s="410"/>
      <c r="FD43" s="410"/>
      <c r="FE43" s="410"/>
      <c r="FF43" s="97">
        <v>126</v>
      </c>
      <c r="FG43" s="98">
        <v>52</v>
      </c>
      <c r="FH43" s="98">
        <v>178</v>
      </c>
      <c r="FI43" s="411">
        <v>0.90647482014388492</v>
      </c>
      <c r="FJ43" s="411">
        <v>0.88135593220338981</v>
      </c>
      <c r="FK43" s="411">
        <v>0.89898989898989901</v>
      </c>
      <c r="FL43" s="98">
        <v>4463</v>
      </c>
      <c r="FM43" s="98">
        <v>10288</v>
      </c>
      <c r="FN43" s="261">
        <v>14751</v>
      </c>
      <c r="FO43" s="261">
        <v>3899</v>
      </c>
      <c r="FP43" s="261">
        <v>7893</v>
      </c>
      <c r="FQ43" s="261">
        <v>11792</v>
      </c>
      <c r="FR43" s="412"/>
      <c r="FS43" s="412"/>
      <c r="FT43" s="412"/>
      <c r="FU43" s="261">
        <v>3899</v>
      </c>
      <c r="FV43" s="261">
        <v>7893</v>
      </c>
      <c r="FW43" s="261">
        <v>11792</v>
      </c>
      <c r="FX43" s="411">
        <v>0.8736276047501681</v>
      </c>
      <c r="FY43" s="411">
        <v>0.7672045101088647</v>
      </c>
      <c r="FZ43" s="411">
        <v>0.79940343027591354</v>
      </c>
      <c r="GA43" s="261">
        <v>13946</v>
      </c>
      <c r="GB43" s="261">
        <v>28698</v>
      </c>
      <c r="GC43" s="261">
        <v>42644</v>
      </c>
      <c r="GD43" s="261">
        <v>1518</v>
      </c>
      <c r="GE43" s="261">
        <v>2013</v>
      </c>
      <c r="GF43" s="261">
        <v>3531</v>
      </c>
      <c r="GG43" s="100">
        <v>10.884841531621971</v>
      </c>
      <c r="GH43" s="413">
        <v>7.0144260924106208</v>
      </c>
      <c r="GI43" s="413">
        <v>8.2801800956758278</v>
      </c>
      <c r="GJ43" s="261">
        <v>353</v>
      </c>
      <c r="GK43" s="261">
        <v>443</v>
      </c>
      <c r="GL43" s="261">
        <v>796</v>
      </c>
      <c r="GM43" s="261">
        <v>12</v>
      </c>
      <c r="GN43" s="261">
        <v>10</v>
      </c>
      <c r="GO43" s="261">
        <v>22</v>
      </c>
      <c r="GP43" s="413">
        <v>3.3994334277620397</v>
      </c>
      <c r="GQ43" s="413">
        <v>2.2573363431151243</v>
      </c>
      <c r="GR43" s="413">
        <v>2.7638190954773871</v>
      </c>
      <c r="GS43" s="261">
        <v>107</v>
      </c>
      <c r="GT43" s="261">
        <v>128</v>
      </c>
      <c r="GU43" s="261">
        <v>235</v>
      </c>
      <c r="GV43" s="261">
        <v>4</v>
      </c>
      <c r="GW43" s="261">
        <v>5</v>
      </c>
      <c r="GX43" s="261">
        <v>9</v>
      </c>
      <c r="GY43" s="413">
        <v>3.7383177570093458</v>
      </c>
      <c r="GZ43" s="413">
        <v>3.90625</v>
      </c>
      <c r="HA43" s="413">
        <v>3.8297872340425534</v>
      </c>
      <c r="HB43" s="98">
        <v>3899</v>
      </c>
      <c r="HC43" s="98">
        <v>7893</v>
      </c>
      <c r="HD43" s="98">
        <v>11792</v>
      </c>
      <c r="HE43" s="261">
        <v>504</v>
      </c>
      <c r="HF43" s="261">
        <v>581</v>
      </c>
      <c r="HG43" s="261">
        <v>1085</v>
      </c>
      <c r="HH43" s="413">
        <v>12.926391382405745</v>
      </c>
      <c r="HI43" s="413">
        <v>7.3609527429367798</v>
      </c>
      <c r="HJ43" s="413">
        <v>9.2011533242876524</v>
      </c>
    </row>
    <row r="44" spans="1:220" s="363" customFormat="1" ht="28.5">
      <c r="A44" s="420">
        <v>36</v>
      </c>
      <c r="B44" s="118" t="s">
        <v>408</v>
      </c>
      <c r="C44" s="96">
        <v>1485</v>
      </c>
      <c r="D44" s="96">
        <v>785</v>
      </c>
      <c r="E44" s="96">
        <v>2270</v>
      </c>
      <c r="F44" s="96">
        <v>1258</v>
      </c>
      <c r="G44" s="96">
        <v>667</v>
      </c>
      <c r="H44" s="96">
        <v>1925</v>
      </c>
      <c r="I44" s="96">
        <v>5</v>
      </c>
      <c r="J44" s="403"/>
      <c r="K44" s="96">
        <v>5</v>
      </c>
      <c r="L44" s="97">
        <v>1263</v>
      </c>
      <c r="M44" s="98">
        <v>667</v>
      </c>
      <c r="N44" s="98">
        <v>1930</v>
      </c>
      <c r="O44" s="116">
        <v>0.85050505050505054</v>
      </c>
      <c r="P44" s="116">
        <v>0.84968152866242042</v>
      </c>
      <c r="Q44" s="116">
        <v>0.85022026431718056</v>
      </c>
      <c r="R44" s="96">
        <v>4</v>
      </c>
      <c r="S44" s="403"/>
      <c r="T44" s="96">
        <v>4</v>
      </c>
      <c r="U44" s="96">
        <v>4</v>
      </c>
      <c r="V44" s="403"/>
      <c r="W44" s="96">
        <v>4</v>
      </c>
      <c r="X44" s="403"/>
      <c r="Y44" s="403"/>
      <c r="Z44" s="403"/>
      <c r="AA44" s="97">
        <v>4</v>
      </c>
      <c r="AB44" s="404"/>
      <c r="AC44" s="98">
        <v>4</v>
      </c>
      <c r="AD44" s="116">
        <v>1</v>
      </c>
      <c r="AE44" s="405"/>
      <c r="AF44" s="116">
        <v>1</v>
      </c>
      <c r="AG44" s="98">
        <v>1489</v>
      </c>
      <c r="AH44" s="98">
        <v>785</v>
      </c>
      <c r="AI44" s="98">
        <v>2274</v>
      </c>
      <c r="AJ44" s="98">
        <v>1262</v>
      </c>
      <c r="AK44" s="98">
        <v>667</v>
      </c>
      <c r="AL44" s="98">
        <v>1929</v>
      </c>
      <c r="AM44" s="98">
        <v>5</v>
      </c>
      <c r="AN44" s="404"/>
      <c r="AO44" s="98">
        <v>5</v>
      </c>
      <c r="AP44" s="98">
        <v>1267</v>
      </c>
      <c r="AQ44" s="98">
        <v>667</v>
      </c>
      <c r="AR44" s="98">
        <v>1934</v>
      </c>
      <c r="AS44" s="116">
        <v>0.85090664875755539</v>
      </c>
      <c r="AT44" s="116">
        <v>0.84968152866242042</v>
      </c>
      <c r="AU44" s="116">
        <v>0.85048372911169745</v>
      </c>
      <c r="AV44" s="403"/>
      <c r="AW44" s="403"/>
      <c r="AX44" s="403"/>
      <c r="AY44" s="403"/>
      <c r="AZ44" s="403"/>
      <c r="BA44" s="403"/>
      <c r="BB44" s="403"/>
      <c r="BC44" s="403"/>
      <c r="BD44" s="403"/>
      <c r="BE44" s="404"/>
      <c r="BF44" s="404"/>
      <c r="BG44" s="404"/>
      <c r="BH44" s="405"/>
      <c r="BI44" s="405"/>
      <c r="BJ44" s="405"/>
      <c r="BK44" s="403"/>
      <c r="BL44" s="403"/>
      <c r="BM44" s="403"/>
      <c r="BN44" s="403"/>
      <c r="BO44" s="403"/>
      <c r="BP44" s="403"/>
      <c r="BQ44" s="403"/>
      <c r="BR44" s="403"/>
      <c r="BS44" s="403"/>
      <c r="BT44" s="404"/>
      <c r="BU44" s="404"/>
      <c r="BV44" s="404"/>
      <c r="BW44" s="405"/>
      <c r="BX44" s="405"/>
      <c r="BY44" s="405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12"/>
      <c r="CM44" s="112"/>
      <c r="CN44" s="112"/>
      <c r="CO44" s="403"/>
      <c r="CP44" s="403"/>
      <c r="CQ44" s="403"/>
      <c r="CR44" s="403"/>
      <c r="CS44" s="403"/>
      <c r="CT44" s="403"/>
      <c r="CU44" s="403"/>
      <c r="CV44" s="403"/>
      <c r="CW44" s="403"/>
      <c r="CX44" s="404"/>
      <c r="CY44" s="404"/>
      <c r="CZ44" s="404"/>
      <c r="DA44" s="405"/>
      <c r="DB44" s="405"/>
      <c r="DC44" s="405"/>
      <c r="DD44" s="403"/>
      <c r="DE44" s="403"/>
      <c r="DF44" s="403"/>
      <c r="DG44" s="403"/>
      <c r="DH44" s="403"/>
      <c r="DI44" s="403"/>
      <c r="DJ44" s="403"/>
      <c r="DK44" s="403"/>
      <c r="DL44" s="403"/>
      <c r="DM44" s="404"/>
      <c r="DN44" s="404"/>
      <c r="DO44" s="404"/>
      <c r="DP44" s="405"/>
      <c r="DQ44" s="405"/>
      <c r="DR44" s="405"/>
      <c r="DS44" s="404"/>
      <c r="DT44" s="404"/>
      <c r="DU44" s="404"/>
      <c r="DV44" s="103"/>
      <c r="DW44" s="103"/>
      <c r="DX44" s="103"/>
      <c r="DY44" s="103"/>
      <c r="DZ44" s="103"/>
      <c r="EA44" s="103"/>
      <c r="EB44" s="103"/>
      <c r="EC44" s="103"/>
      <c r="ED44" s="103"/>
      <c r="EE44" s="112"/>
      <c r="EF44" s="112"/>
      <c r="EG44" s="112"/>
      <c r="EH44" s="403"/>
      <c r="EI44" s="403"/>
      <c r="EJ44" s="403"/>
      <c r="EK44" s="403"/>
      <c r="EL44" s="403"/>
      <c r="EM44" s="403"/>
      <c r="EN44" s="403"/>
      <c r="EO44" s="403"/>
      <c r="EP44" s="403"/>
      <c r="EQ44" s="404"/>
      <c r="ER44" s="404"/>
      <c r="ES44" s="404"/>
      <c r="ET44" s="405"/>
      <c r="EU44" s="405"/>
      <c r="EV44" s="405"/>
      <c r="EW44" s="403"/>
      <c r="EX44" s="403"/>
      <c r="EY44" s="403"/>
      <c r="EZ44" s="403"/>
      <c r="FA44" s="403"/>
      <c r="FB44" s="403"/>
      <c r="FC44" s="403"/>
      <c r="FD44" s="403"/>
      <c r="FE44" s="403"/>
      <c r="FF44" s="404"/>
      <c r="FG44" s="404"/>
      <c r="FH44" s="404"/>
      <c r="FI44" s="405"/>
      <c r="FJ44" s="405"/>
      <c r="FK44" s="405"/>
      <c r="FL44" s="404"/>
      <c r="FM44" s="404"/>
      <c r="FN44" s="404"/>
      <c r="FO44" s="404"/>
      <c r="FP44" s="404"/>
      <c r="FQ44" s="404"/>
      <c r="FR44" s="404"/>
      <c r="FS44" s="404"/>
      <c r="FT44" s="404"/>
      <c r="FU44" s="404"/>
      <c r="FV44" s="404"/>
      <c r="FW44" s="404"/>
      <c r="FX44" s="405"/>
      <c r="FY44" s="405"/>
      <c r="FZ44" s="405"/>
      <c r="GA44" s="98">
        <v>1267</v>
      </c>
      <c r="GB44" s="98">
        <v>667</v>
      </c>
      <c r="GC44" s="103"/>
      <c r="GD44" s="103"/>
      <c r="GE44" s="103"/>
      <c r="GF44" s="103"/>
      <c r="GG44" s="110"/>
      <c r="GH44" s="110"/>
      <c r="GI44" s="110"/>
      <c r="GJ44" s="103"/>
      <c r="GK44" s="103"/>
      <c r="GL44" s="103"/>
      <c r="GM44" s="103"/>
      <c r="GN44" s="103"/>
      <c r="GO44" s="103"/>
      <c r="GP44" s="110"/>
      <c r="GQ44" s="110"/>
      <c r="GR44" s="110"/>
      <c r="GS44" s="103"/>
      <c r="GT44" s="103"/>
      <c r="GU44" s="103"/>
      <c r="GV44" s="103"/>
      <c r="GW44" s="103"/>
      <c r="GX44" s="103"/>
      <c r="GY44" s="110"/>
      <c r="GZ44" s="110"/>
      <c r="HA44" s="110"/>
      <c r="HB44" s="404"/>
      <c r="HC44" s="404"/>
      <c r="HD44" s="404"/>
      <c r="HE44" s="103"/>
      <c r="HF44" s="103"/>
      <c r="HG44" s="103"/>
      <c r="HH44" s="110"/>
      <c r="HI44" s="110"/>
      <c r="HJ44" s="110"/>
    </row>
    <row r="45" spans="1:220" s="363" customFormat="1" ht="42.75">
      <c r="A45" s="420">
        <v>37</v>
      </c>
      <c r="B45" s="118" t="s">
        <v>132</v>
      </c>
      <c r="C45" s="96">
        <v>926</v>
      </c>
      <c r="D45" s="96">
        <v>730</v>
      </c>
      <c r="E45" s="96">
        <v>1656</v>
      </c>
      <c r="F45" s="96">
        <v>755</v>
      </c>
      <c r="G45" s="96">
        <v>667</v>
      </c>
      <c r="H45" s="96">
        <v>1422</v>
      </c>
      <c r="I45" s="96">
        <v>62</v>
      </c>
      <c r="J45" s="96">
        <v>36</v>
      </c>
      <c r="K45" s="96">
        <v>98</v>
      </c>
      <c r="L45" s="97">
        <v>817</v>
      </c>
      <c r="M45" s="98">
        <v>703</v>
      </c>
      <c r="N45" s="98">
        <v>1520</v>
      </c>
      <c r="O45" s="116">
        <v>0.8822894168466523</v>
      </c>
      <c r="P45" s="116">
        <v>0.96301369863013697</v>
      </c>
      <c r="Q45" s="116">
        <v>0.91787439613526567</v>
      </c>
      <c r="R45" s="403"/>
      <c r="S45" s="96">
        <v>329</v>
      </c>
      <c r="T45" s="96">
        <v>329</v>
      </c>
      <c r="U45" s="403"/>
      <c r="V45" s="96">
        <v>160</v>
      </c>
      <c r="W45" s="96">
        <v>160</v>
      </c>
      <c r="X45" s="403"/>
      <c r="Y45" s="96">
        <v>58</v>
      </c>
      <c r="Z45" s="96">
        <v>58</v>
      </c>
      <c r="AA45" s="404"/>
      <c r="AB45" s="98">
        <v>218</v>
      </c>
      <c r="AC45" s="98">
        <v>218</v>
      </c>
      <c r="AD45" s="405"/>
      <c r="AE45" s="116">
        <v>0.66261398176291797</v>
      </c>
      <c r="AF45" s="116">
        <v>0.66261398176291797</v>
      </c>
      <c r="AG45" s="98">
        <v>926</v>
      </c>
      <c r="AH45" s="98">
        <v>1059</v>
      </c>
      <c r="AI45" s="98">
        <v>1985</v>
      </c>
      <c r="AJ45" s="98">
        <v>755</v>
      </c>
      <c r="AK45" s="98">
        <v>827</v>
      </c>
      <c r="AL45" s="98">
        <v>1582</v>
      </c>
      <c r="AM45" s="98">
        <v>62</v>
      </c>
      <c r="AN45" s="98">
        <v>94</v>
      </c>
      <c r="AO45" s="98">
        <v>156</v>
      </c>
      <c r="AP45" s="98">
        <v>817</v>
      </c>
      <c r="AQ45" s="98">
        <v>921</v>
      </c>
      <c r="AR45" s="98">
        <v>1738</v>
      </c>
      <c r="AS45" s="116">
        <v>0.8822894168466523</v>
      </c>
      <c r="AT45" s="116">
        <v>0.86968838526912184</v>
      </c>
      <c r="AU45" s="116">
        <v>0.87556675062972289</v>
      </c>
      <c r="AV45" s="96">
        <v>11</v>
      </c>
      <c r="AW45" s="96">
        <v>6</v>
      </c>
      <c r="AX45" s="96">
        <v>17</v>
      </c>
      <c r="AY45" s="96">
        <v>10</v>
      </c>
      <c r="AZ45" s="96">
        <v>5</v>
      </c>
      <c r="BA45" s="96">
        <v>15</v>
      </c>
      <c r="BB45" s="403"/>
      <c r="BC45" s="403"/>
      <c r="BD45" s="403"/>
      <c r="BE45" s="97">
        <v>10</v>
      </c>
      <c r="BF45" s="98">
        <v>5</v>
      </c>
      <c r="BG45" s="98">
        <v>15</v>
      </c>
      <c r="BH45" s="116">
        <v>0.90909090909090906</v>
      </c>
      <c r="BI45" s="116">
        <v>0.83333333333333337</v>
      </c>
      <c r="BJ45" s="116">
        <v>0.88235294117647056</v>
      </c>
      <c r="BK45" s="403"/>
      <c r="BL45" s="403"/>
      <c r="BM45" s="403"/>
      <c r="BN45" s="403"/>
      <c r="BO45" s="403"/>
      <c r="BP45" s="403"/>
      <c r="BQ45" s="403"/>
      <c r="BR45" s="403"/>
      <c r="BS45" s="403"/>
      <c r="BT45" s="404"/>
      <c r="BU45" s="404"/>
      <c r="BV45" s="404"/>
      <c r="BW45" s="405"/>
      <c r="BX45" s="405"/>
      <c r="BY45" s="405"/>
      <c r="BZ45" s="98">
        <v>11</v>
      </c>
      <c r="CA45" s="98">
        <v>6</v>
      </c>
      <c r="CB45" s="98">
        <v>17</v>
      </c>
      <c r="CC45" s="98">
        <v>10</v>
      </c>
      <c r="CD45" s="98">
        <v>5</v>
      </c>
      <c r="CE45" s="98">
        <v>15</v>
      </c>
      <c r="CF45" s="103"/>
      <c r="CG45" s="103"/>
      <c r="CH45" s="103"/>
      <c r="CI45" s="98">
        <v>10</v>
      </c>
      <c r="CJ45" s="98">
        <v>5</v>
      </c>
      <c r="CK45" s="98">
        <v>15</v>
      </c>
      <c r="CL45" s="116">
        <v>0.90909090909090906</v>
      </c>
      <c r="CM45" s="116">
        <v>0.83333333333333337</v>
      </c>
      <c r="CN45" s="116">
        <v>0.88235294117647056</v>
      </c>
      <c r="CO45" s="403"/>
      <c r="CP45" s="403"/>
      <c r="CQ45" s="403"/>
      <c r="CR45" s="403"/>
      <c r="CS45" s="403"/>
      <c r="CT45" s="403"/>
      <c r="CU45" s="403"/>
      <c r="CV45" s="403"/>
      <c r="CW45" s="403"/>
      <c r="CX45" s="404"/>
      <c r="CY45" s="404"/>
      <c r="CZ45" s="404"/>
      <c r="DA45" s="405"/>
      <c r="DB45" s="405"/>
      <c r="DC45" s="405"/>
      <c r="DD45" s="403"/>
      <c r="DE45" s="403"/>
      <c r="DF45" s="403"/>
      <c r="DG45" s="403"/>
      <c r="DH45" s="403"/>
      <c r="DI45" s="403"/>
      <c r="DJ45" s="403"/>
      <c r="DK45" s="403"/>
      <c r="DL45" s="403"/>
      <c r="DM45" s="404"/>
      <c r="DN45" s="404"/>
      <c r="DO45" s="404"/>
      <c r="DP45" s="405"/>
      <c r="DQ45" s="405"/>
      <c r="DR45" s="405"/>
      <c r="DS45" s="404"/>
      <c r="DT45" s="404"/>
      <c r="DU45" s="404"/>
      <c r="DV45" s="103"/>
      <c r="DW45" s="103"/>
      <c r="DX45" s="103"/>
      <c r="DY45" s="103"/>
      <c r="DZ45" s="103"/>
      <c r="EA45" s="103"/>
      <c r="EB45" s="103"/>
      <c r="EC45" s="103"/>
      <c r="ED45" s="103"/>
      <c r="EE45" s="112"/>
      <c r="EF45" s="112"/>
      <c r="EG45" s="112"/>
      <c r="EH45" s="96">
        <v>312</v>
      </c>
      <c r="EI45" s="96">
        <v>222</v>
      </c>
      <c r="EJ45" s="96">
        <v>534</v>
      </c>
      <c r="EK45" s="96">
        <v>311</v>
      </c>
      <c r="EL45" s="96">
        <v>221</v>
      </c>
      <c r="EM45" s="96">
        <v>532</v>
      </c>
      <c r="EN45" s="403"/>
      <c r="EO45" s="403"/>
      <c r="EP45" s="403"/>
      <c r="EQ45" s="97">
        <v>311</v>
      </c>
      <c r="ER45" s="98">
        <v>221</v>
      </c>
      <c r="ES45" s="98">
        <v>532</v>
      </c>
      <c r="ET45" s="116">
        <v>0.99679487179487181</v>
      </c>
      <c r="EU45" s="116">
        <v>0.99549549549549554</v>
      </c>
      <c r="EV45" s="116">
        <v>0.99625468164794007</v>
      </c>
      <c r="EW45" s="403"/>
      <c r="EX45" s="403"/>
      <c r="EY45" s="403"/>
      <c r="EZ45" s="403"/>
      <c r="FA45" s="403"/>
      <c r="FB45" s="403"/>
      <c r="FC45" s="403"/>
      <c r="FD45" s="403"/>
      <c r="FE45" s="403"/>
      <c r="FF45" s="404"/>
      <c r="FG45" s="404"/>
      <c r="FH45" s="404"/>
      <c r="FI45" s="405"/>
      <c r="FJ45" s="405"/>
      <c r="FK45" s="405"/>
      <c r="FL45" s="98">
        <v>312</v>
      </c>
      <c r="FM45" s="98">
        <v>222</v>
      </c>
      <c r="FN45" s="261">
        <v>534</v>
      </c>
      <c r="FO45" s="261">
        <v>311</v>
      </c>
      <c r="FP45" s="261">
        <v>221</v>
      </c>
      <c r="FQ45" s="261">
        <v>532</v>
      </c>
      <c r="FR45" s="412"/>
      <c r="FS45" s="412"/>
      <c r="FT45" s="412"/>
      <c r="FU45" s="261">
        <v>311</v>
      </c>
      <c r="FV45" s="261">
        <v>221</v>
      </c>
      <c r="FW45" s="261">
        <v>532</v>
      </c>
      <c r="FX45" s="411">
        <v>0.99679487179487181</v>
      </c>
      <c r="FY45" s="411">
        <v>0.99549549549549554</v>
      </c>
      <c r="FZ45" s="411">
        <v>0.99625468164794007</v>
      </c>
      <c r="GA45" s="98">
        <v>817</v>
      </c>
      <c r="GB45" s="98">
        <v>921</v>
      </c>
      <c r="GC45" s="98">
        <v>1738</v>
      </c>
      <c r="GD45" s="98">
        <v>525</v>
      </c>
      <c r="GE45" s="98">
        <v>454</v>
      </c>
      <c r="GF45" s="98">
        <v>979</v>
      </c>
      <c r="GG45" s="100">
        <v>64.25948592411261</v>
      </c>
      <c r="GH45" s="100">
        <v>49.294245385450594</v>
      </c>
      <c r="GI45" s="100">
        <v>56.329113924050631</v>
      </c>
      <c r="GJ45" s="98">
        <v>10</v>
      </c>
      <c r="GK45" s="98">
        <v>5</v>
      </c>
      <c r="GL45" s="98">
        <v>15</v>
      </c>
      <c r="GM45" s="404"/>
      <c r="GN45" s="404"/>
      <c r="GO45" s="404"/>
      <c r="GP45" s="407"/>
      <c r="GQ45" s="407"/>
      <c r="GR45" s="407"/>
      <c r="GS45" s="103"/>
      <c r="GT45" s="103"/>
      <c r="GU45" s="103"/>
      <c r="GV45" s="103"/>
      <c r="GW45" s="103"/>
      <c r="GX45" s="103"/>
      <c r="GY45" s="110"/>
      <c r="GZ45" s="110"/>
      <c r="HA45" s="110"/>
      <c r="HB45" s="98">
        <v>311</v>
      </c>
      <c r="HC45" s="98">
        <v>221</v>
      </c>
      <c r="HD45" s="98">
        <v>532</v>
      </c>
      <c r="HE45" s="103"/>
      <c r="HF45" s="103"/>
      <c r="HG45" s="103"/>
      <c r="HH45" s="110"/>
      <c r="HI45" s="110"/>
      <c r="HJ45" s="110"/>
    </row>
    <row r="46" spans="1:220" s="363" customFormat="1" ht="28.5">
      <c r="A46" s="408">
        <v>38</v>
      </c>
      <c r="B46" s="118" t="s">
        <v>157</v>
      </c>
      <c r="C46" s="96">
        <v>1296</v>
      </c>
      <c r="D46" s="96">
        <v>376</v>
      </c>
      <c r="E46" s="96">
        <v>1672</v>
      </c>
      <c r="F46" s="96">
        <v>529</v>
      </c>
      <c r="G46" s="96">
        <v>201</v>
      </c>
      <c r="H46" s="96">
        <v>730</v>
      </c>
      <c r="I46" s="96">
        <v>308</v>
      </c>
      <c r="J46" s="96">
        <v>162</v>
      </c>
      <c r="K46" s="96">
        <v>470</v>
      </c>
      <c r="L46" s="97">
        <v>837</v>
      </c>
      <c r="M46" s="98">
        <v>363</v>
      </c>
      <c r="N46" s="98">
        <v>1200</v>
      </c>
      <c r="O46" s="116">
        <v>0.64583333333333337</v>
      </c>
      <c r="P46" s="116">
        <v>0.96542553191489366</v>
      </c>
      <c r="Q46" s="116">
        <v>0.71770334928229662</v>
      </c>
      <c r="R46" s="403"/>
      <c r="S46" s="403"/>
      <c r="T46" s="403"/>
      <c r="U46" s="403"/>
      <c r="V46" s="403"/>
      <c r="W46" s="403"/>
      <c r="X46" s="403"/>
      <c r="Y46" s="403"/>
      <c r="Z46" s="403"/>
      <c r="AA46" s="404"/>
      <c r="AB46" s="404"/>
      <c r="AC46" s="404"/>
      <c r="AD46" s="405"/>
      <c r="AE46" s="405"/>
      <c r="AF46" s="405"/>
      <c r="AG46" s="98">
        <v>1296</v>
      </c>
      <c r="AH46" s="98">
        <v>376</v>
      </c>
      <c r="AI46" s="98">
        <v>1672</v>
      </c>
      <c r="AJ46" s="98">
        <v>529</v>
      </c>
      <c r="AK46" s="98">
        <v>201</v>
      </c>
      <c r="AL46" s="98">
        <v>730</v>
      </c>
      <c r="AM46" s="98">
        <v>308</v>
      </c>
      <c r="AN46" s="98">
        <v>162</v>
      </c>
      <c r="AO46" s="98">
        <v>470</v>
      </c>
      <c r="AP46" s="98">
        <v>837</v>
      </c>
      <c r="AQ46" s="98">
        <v>363</v>
      </c>
      <c r="AR46" s="98">
        <v>1200</v>
      </c>
      <c r="AS46" s="116">
        <v>0.64583333333333337</v>
      </c>
      <c r="AT46" s="116">
        <v>0.96542553191489366</v>
      </c>
      <c r="AU46" s="116">
        <v>0.71770334928229662</v>
      </c>
      <c r="AV46" s="96">
        <v>95</v>
      </c>
      <c r="AW46" s="96">
        <v>41</v>
      </c>
      <c r="AX46" s="96">
        <v>136</v>
      </c>
      <c r="AY46" s="96">
        <v>30</v>
      </c>
      <c r="AZ46" s="96">
        <v>12</v>
      </c>
      <c r="BA46" s="96">
        <v>42</v>
      </c>
      <c r="BB46" s="96">
        <v>42</v>
      </c>
      <c r="BC46" s="96">
        <v>11</v>
      </c>
      <c r="BD46" s="96">
        <v>53</v>
      </c>
      <c r="BE46" s="97">
        <v>72</v>
      </c>
      <c r="BF46" s="98">
        <v>23</v>
      </c>
      <c r="BG46" s="98">
        <v>95</v>
      </c>
      <c r="BH46" s="116">
        <v>0.75789473684210529</v>
      </c>
      <c r="BI46" s="116">
        <v>0.56097560975609762</v>
      </c>
      <c r="BJ46" s="116">
        <v>0.69852941176470584</v>
      </c>
      <c r="BK46" s="403"/>
      <c r="BL46" s="403"/>
      <c r="BM46" s="403"/>
      <c r="BN46" s="403"/>
      <c r="BO46" s="403"/>
      <c r="BP46" s="403"/>
      <c r="BQ46" s="403"/>
      <c r="BR46" s="403"/>
      <c r="BS46" s="403"/>
      <c r="BT46" s="404"/>
      <c r="BU46" s="404"/>
      <c r="BV46" s="404"/>
      <c r="BW46" s="405"/>
      <c r="BX46" s="405"/>
      <c r="BY46" s="405"/>
      <c r="BZ46" s="98">
        <v>95</v>
      </c>
      <c r="CA46" s="98">
        <v>41</v>
      </c>
      <c r="CB46" s="98">
        <v>136</v>
      </c>
      <c r="CC46" s="98">
        <v>30</v>
      </c>
      <c r="CD46" s="98">
        <v>12</v>
      </c>
      <c r="CE46" s="98">
        <v>42</v>
      </c>
      <c r="CF46" s="98">
        <v>42</v>
      </c>
      <c r="CG46" s="98">
        <v>11</v>
      </c>
      <c r="CH46" s="98">
        <v>53</v>
      </c>
      <c r="CI46" s="98">
        <v>72</v>
      </c>
      <c r="CJ46" s="98">
        <v>23</v>
      </c>
      <c r="CK46" s="98">
        <v>95</v>
      </c>
      <c r="CL46" s="116">
        <v>0.75789473684210529</v>
      </c>
      <c r="CM46" s="116">
        <v>0.56097560975609762</v>
      </c>
      <c r="CN46" s="116">
        <v>0.69852941176470584</v>
      </c>
      <c r="CO46" s="96">
        <v>58</v>
      </c>
      <c r="CP46" s="96">
        <v>15</v>
      </c>
      <c r="CQ46" s="96">
        <v>73</v>
      </c>
      <c r="CR46" s="96">
        <v>17</v>
      </c>
      <c r="CS46" s="96">
        <v>3</v>
      </c>
      <c r="CT46" s="96">
        <v>20</v>
      </c>
      <c r="CU46" s="96">
        <v>25</v>
      </c>
      <c r="CV46" s="96">
        <v>11</v>
      </c>
      <c r="CW46" s="96">
        <v>36</v>
      </c>
      <c r="CX46" s="97">
        <v>42</v>
      </c>
      <c r="CY46" s="98">
        <v>14</v>
      </c>
      <c r="CZ46" s="98">
        <v>56</v>
      </c>
      <c r="DA46" s="116">
        <v>0.72413793103448276</v>
      </c>
      <c r="DB46" s="116">
        <v>0.93333333333333335</v>
      </c>
      <c r="DC46" s="116">
        <v>0.76712328767123283</v>
      </c>
      <c r="DD46" s="403"/>
      <c r="DE46" s="403"/>
      <c r="DF46" s="403"/>
      <c r="DG46" s="403"/>
      <c r="DH46" s="403"/>
      <c r="DI46" s="403"/>
      <c r="DJ46" s="403"/>
      <c r="DK46" s="403"/>
      <c r="DL46" s="403"/>
      <c r="DM46" s="404"/>
      <c r="DN46" s="404"/>
      <c r="DO46" s="404"/>
      <c r="DP46" s="405"/>
      <c r="DQ46" s="405"/>
      <c r="DR46" s="405"/>
      <c r="DS46" s="98">
        <v>58</v>
      </c>
      <c r="DT46" s="98">
        <v>15</v>
      </c>
      <c r="DU46" s="98">
        <v>73</v>
      </c>
      <c r="DV46" s="98">
        <v>17</v>
      </c>
      <c r="DW46" s="98">
        <v>3</v>
      </c>
      <c r="DX46" s="98">
        <v>20</v>
      </c>
      <c r="DY46" s="98">
        <v>25</v>
      </c>
      <c r="DZ46" s="98">
        <v>11</v>
      </c>
      <c r="EA46" s="98">
        <v>36</v>
      </c>
      <c r="EB46" s="98">
        <v>42</v>
      </c>
      <c r="EC46" s="98">
        <v>14</v>
      </c>
      <c r="ED46" s="98">
        <v>56</v>
      </c>
      <c r="EE46" s="116">
        <v>0.72413793103448276</v>
      </c>
      <c r="EF46" s="116">
        <v>0.93333333333333335</v>
      </c>
      <c r="EG46" s="116">
        <v>0.76712328767123283</v>
      </c>
      <c r="EH46" s="403"/>
      <c r="EI46" s="403"/>
      <c r="EJ46" s="403"/>
      <c r="EK46" s="403"/>
      <c r="EL46" s="403"/>
      <c r="EM46" s="403"/>
      <c r="EN46" s="403"/>
      <c r="EO46" s="403"/>
      <c r="EP46" s="403"/>
      <c r="EQ46" s="404"/>
      <c r="ER46" s="404"/>
      <c r="ES46" s="404"/>
      <c r="ET46" s="405"/>
      <c r="EU46" s="405"/>
      <c r="EV46" s="405"/>
      <c r="EW46" s="403"/>
      <c r="EX46" s="403"/>
      <c r="EY46" s="403"/>
      <c r="EZ46" s="403"/>
      <c r="FA46" s="403"/>
      <c r="FB46" s="403"/>
      <c r="FC46" s="403"/>
      <c r="FD46" s="403"/>
      <c r="FE46" s="403"/>
      <c r="FF46" s="404"/>
      <c r="FG46" s="404"/>
      <c r="FH46" s="404"/>
      <c r="FI46" s="405"/>
      <c r="FJ46" s="405"/>
      <c r="FK46" s="405"/>
      <c r="FL46" s="404"/>
      <c r="FM46" s="404"/>
      <c r="FN46" s="404"/>
      <c r="FO46" s="404"/>
      <c r="FP46" s="404"/>
      <c r="FQ46" s="404"/>
      <c r="FR46" s="404"/>
      <c r="FS46" s="404"/>
      <c r="FT46" s="404"/>
      <c r="FU46" s="404"/>
      <c r="FV46" s="404"/>
      <c r="FW46" s="404"/>
      <c r="FX46" s="405"/>
      <c r="FY46" s="405"/>
      <c r="FZ46" s="405"/>
      <c r="GA46" s="98">
        <v>837</v>
      </c>
      <c r="GB46" s="98">
        <v>363</v>
      </c>
      <c r="GC46" s="98">
        <v>1200</v>
      </c>
      <c r="GD46" s="103"/>
      <c r="GE46" s="103"/>
      <c r="GF46" s="103"/>
      <c r="GG46" s="110"/>
      <c r="GH46" s="110"/>
      <c r="GI46" s="110"/>
      <c r="GJ46" s="98">
        <v>72</v>
      </c>
      <c r="GK46" s="98">
        <v>23</v>
      </c>
      <c r="GL46" s="98">
        <v>95</v>
      </c>
      <c r="GM46" s="103"/>
      <c r="GN46" s="103"/>
      <c r="GO46" s="103"/>
      <c r="GP46" s="103"/>
      <c r="GQ46" s="103"/>
      <c r="GR46" s="103"/>
      <c r="GS46" s="98">
        <v>42</v>
      </c>
      <c r="GT46" s="98">
        <v>14</v>
      </c>
      <c r="GU46" s="98">
        <v>56</v>
      </c>
      <c r="GV46" s="103"/>
      <c r="GW46" s="103"/>
      <c r="GX46" s="103"/>
      <c r="GY46" s="103"/>
      <c r="GZ46" s="103"/>
      <c r="HA46" s="103"/>
      <c r="HB46" s="404"/>
      <c r="HC46" s="404"/>
      <c r="HD46" s="404"/>
      <c r="HE46" s="103"/>
      <c r="HF46" s="103"/>
      <c r="HG46" s="103"/>
      <c r="HH46" s="103"/>
      <c r="HI46" s="103"/>
      <c r="HJ46" s="103"/>
    </row>
    <row r="47" spans="1:220" s="363" customFormat="1" ht="28.5">
      <c r="A47" s="408">
        <v>39</v>
      </c>
      <c r="B47" s="118" t="s">
        <v>385</v>
      </c>
      <c r="C47" s="96">
        <v>507</v>
      </c>
      <c r="D47" s="96">
        <v>250</v>
      </c>
      <c r="E47" s="96">
        <v>757</v>
      </c>
      <c r="F47" s="96">
        <v>488</v>
      </c>
      <c r="G47" s="96">
        <v>242</v>
      </c>
      <c r="H47" s="96">
        <v>730</v>
      </c>
      <c r="I47" s="403"/>
      <c r="J47" s="403"/>
      <c r="K47" s="403"/>
      <c r="L47" s="97">
        <v>488</v>
      </c>
      <c r="M47" s="98">
        <v>242</v>
      </c>
      <c r="N47" s="98">
        <v>730</v>
      </c>
      <c r="O47" s="116">
        <v>0.96252465483234717</v>
      </c>
      <c r="P47" s="116">
        <v>0.96799999999999997</v>
      </c>
      <c r="Q47" s="116">
        <v>0.96433289299867897</v>
      </c>
      <c r="R47" s="403"/>
      <c r="S47" s="403"/>
      <c r="T47" s="403"/>
      <c r="U47" s="403"/>
      <c r="V47" s="403"/>
      <c r="W47" s="403"/>
      <c r="X47" s="403"/>
      <c r="Y47" s="403"/>
      <c r="Z47" s="403"/>
      <c r="AA47" s="404"/>
      <c r="AB47" s="404"/>
      <c r="AC47" s="404"/>
      <c r="AD47" s="405"/>
      <c r="AE47" s="405"/>
      <c r="AF47" s="405"/>
      <c r="AG47" s="98">
        <v>507</v>
      </c>
      <c r="AH47" s="98">
        <v>250</v>
      </c>
      <c r="AI47" s="98">
        <v>757</v>
      </c>
      <c r="AJ47" s="98">
        <v>488</v>
      </c>
      <c r="AK47" s="98">
        <v>242</v>
      </c>
      <c r="AL47" s="98">
        <v>730</v>
      </c>
      <c r="AM47" s="404"/>
      <c r="AN47" s="404"/>
      <c r="AO47" s="404"/>
      <c r="AP47" s="98">
        <v>488</v>
      </c>
      <c r="AQ47" s="98">
        <v>242</v>
      </c>
      <c r="AR47" s="98">
        <v>730</v>
      </c>
      <c r="AS47" s="116">
        <v>0.96252465483234717</v>
      </c>
      <c r="AT47" s="116">
        <v>0.96799999999999997</v>
      </c>
      <c r="AU47" s="116">
        <v>0.96433289299867897</v>
      </c>
      <c r="AV47" s="96">
        <v>57</v>
      </c>
      <c r="AW47" s="96">
        <v>40</v>
      </c>
      <c r="AX47" s="96">
        <v>97</v>
      </c>
      <c r="AY47" s="96">
        <v>54</v>
      </c>
      <c r="AZ47" s="96">
        <v>39</v>
      </c>
      <c r="BA47" s="96">
        <v>93</v>
      </c>
      <c r="BB47" s="403"/>
      <c r="BC47" s="403"/>
      <c r="BD47" s="403"/>
      <c r="BE47" s="97">
        <v>54</v>
      </c>
      <c r="BF47" s="98">
        <v>39</v>
      </c>
      <c r="BG47" s="98">
        <v>93</v>
      </c>
      <c r="BH47" s="116">
        <v>0.94736842105263153</v>
      </c>
      <c r="BI47" s="116">
        <v>0.97499999999999998</v>
      </c>
      <c r="BJ47" s="116">
        <v>0.95876288659793818</v>
      </c>
      <c r="BK47" s="403"/>
      <c r="BL47" s="403"/>
      <c r="BM47" s="403"/>
      <c r="BN47" s="403"/>
      <c r="BO47" s="403"/>
      <c r="BP47" s="403"/>
      <c r="BQ47" s="403"/>
      <c r="BR47" s="403"/>
      <c r="BS47" s="403"/>
      <c r="BT47" s="404"/>
      <c r="BU47" s="404"/>
      <c r="BV47" s="404"/>
      <c r="BW47" s="405"/>
      <c r="BX47" s="405"/>
      <c r="BY47" s="405"/>
      <c r="BZ47" s="98">
        <v>57</v>
      </c>
      <c r="CA47" s="98">
        <v>40</v>
      </c>
      <c r="CB47" s="98">
        <v>97</v>
      </c>
      <c r="CC47" s="98">
        <v>54</v>
      </c>
      <c r="CD47" s="98">
        <v>39</v>
      </c>
      <c r="CE47" s="98">
        <v>93</v>
      </c>
      <c r="CF47" s="404"/>
      <c r="CG47" s="404"/>
      <c r="CH47" s="404"/>
      <c r="CI47" s="98">
        <v>54</v>
      </c>
      <c r="CJ47" s="98">
        <v>39</v>
      </c>
      <c r="CK47" s="98">
        <v>93</v>
      </c>
      <c r="CL47" s="116">
        <v>0.94736842105263153</v>
      </c>
      <c r="CM47" s="116">
        <v>0.97499999999999998</v>
      </c>
      <c r="CN47" s="116">
        <v>0.95876288659793818</v>
      </c>
      <c r="CO47" s="96">
        <v>10</v>
      </c>
      <c r="CP47" s="96">
        <v>6</v>
      </c>
      <c r="CQ47" s="96">
        <v>16</v>
      </c>
      <c r="CR47" s="96">
        <v>10</v>
      </c>
      <c r="CS47" s="96">
        <v>6</v>
      </c>
      <c r="CT47" s="96">
        <v>16</v>
      </c>
      <c r="CU47" s="403"/>
      <c r="CV47" s="403"/>
      <c r="CW47" s="403"/>
      <c r="CX47" s="97">
        <v>10</v>
      </c>
      <c r="CY47" s="98">
        <v>6</v>
      </c>
      <c r="CZ47" s="98">
        <v>16</v>
      </c>
      <c r="DA47" s="116">
        <v>1</v>
      </c>
      <c r="DB47" s="116">
        <v>1</v>
      </c>
      <c r="DC47" s="116">
        <v>1</v>
      </c>
      <c r="DD47" s="403"/>
      <c r="DE47" s="403"/>
      <c r="DF47" s="403"/>
      <c r="DG47" s="403"/>
      <c r="DH47" s="403"/>
      <c r="DI47" s="403"/>
      <c r="DJ47" s="403"/>
      <c r="DK47" s="403"/>
      <c r="DL47" s="403"/>
      <c r="DM47" s="404"/>
      <c r="DN47" s="404"/>
      <c r="DO47" s="404"/>
      <c r="DP47" s="405"/>
      <c r="DQ47" s="405"/>
      <c r="DR47" s="405"/>
      <c r="DS47" s="98">
        <v>10</v>
      </c>
      <c r="DT47" s="98">
        <v>6</v>
      </c>
      <c r="DU47" s="98">
        <v>16</v>
      </c>
      <c r="DV47" s="98">
        <v>10</v>
      </c>
      <c r="DW47" s="98">
        <v>6</v>
      </c>
      <c r="DX47" s="98">
        <v>16</v>
      </c>
      <c r="DY47" s="404"/>
      <c r="DZ47" s="404"/>
      <c r="EA47" s="404"/>
      <c r="EB47" s="98">
        <v>10</v>
      </c>
      <c r="EC47" s="98">
        <v>6</v>
      </c>
      <c r="ED47" s="98">
        <v>16</v>
      </c>
      <c r="EE47" s="116">
        <v>1</v>
      </c>
      <c r="EF47" s="116">
        <v>1</v>
      </c>
      <c r="EG47" s="116">
        <v>1</v>
      </c>
      <c r="EH47" s="96">
        <v>45</v>
      </c>
      <c r="EI47" s="96">
        <v>40</v>
      </c>
      <c r="EJ47" s="96">
        <v>85</v>
      </c>
      <c r="EK47" s="96">
        <v>44</v>
      </c>
      <c r="EL47" s="96">
        <v>38</v>
      </c>
      <c r="EM47" s="96">
        <v>82</v>
      </c>
      <c r="EN47" s="403"/>
      <c r="EO47" s="403"/>
      <c r="EP47" s="403"/>
      <c r="EQ47" s="97">
        <v>44</v>
      </c>
      <c r="ER47" s="98">
        <v>38</v>
      </c>
      <c r="ES47" s="98">
        <v>82</v>
      </c>
      <c r="ET47" s="116">
        <v>0.97777777777777775</v>
      </c>
      <c r="EU47" s="116">
        <v>0.95</v>
      </c>
      <c r="EV47" s="116">
        <v>0.96470588235294119</v>
      </c>
      <c r="EW47" s="403"/>
      <c r="EX47" s="403"/>
      <c r="EY47" s="403"/>
      <c r="EZ47" s="403"/>
      <c r="FA47" s="403"/>
      <c r="FB47" s="403"/>
      <c r="FC47" s="403"/>
      <c r="FD47" s="403"/>
      <c r="FE47" s="403"/>
      <c r="FF47" s="404"/>
      <c r="FG47" s="404"/>
      <c r="FH47" s="404"/>
      <c r="FI47" s="405"/>
      <c r="FJ47" s="405"/>
      <c r="FK47" s="405"/>
      <c r="FL47" s="98">
        <v>45</v>
      </c>
      <c r="FM47" s="98">
        <v>40</v>
      </c>
      <c r="FN47" s="98">
        <v>85</v>
      </c>
      <c r="FO47" s="98">
        <v>44</v>
      </c>
      <c r="FP47" s="98">
        <v>38</v>
      </c>
      <c r="FQ47" s="98">
        <v>82</v>
      </c>
      <c r="FR47" s="404"/>
      <c r="FS47" s="404"/>
      <c r="FT47" s="404"/>
      <c r="FU47" s="98">
        <v>44</v>
      </c>
      <c r="FV47" s="98">
        <v>38</v>
      </c>
      <c r="FW47" s="98">
        <v>82</v>
      </c>
      <c r="FX47" s="116">
        <v>0.97777777777777775</v>
      </c>
      <c r="FY47" s="116">
        <v>0.95</v>
      </c>
      <c r="FZ47" s="116">
        <v>0.96470588235294119</v>
      </c>
      <c r="GA47" s="98">
        <v>488</v>
      </c>
      <c r="GB47" s="98">
        <v>242</v>
      </c>
      <c r="GC47" s="98">
        <v>730</v>
      </c>
      <c r="GD47" s="101">
        <v>189</v>
      </c>
      <c r="GE47" s="101">
        <v>121</v>
      </c>
      <c r="GF47" s="98">
        <v>310</v>
      </c>
      <c r="GG47" s="100">
        <v>38.729508196721312</v>
      </c>
      <c r="GH47" s="100">
        <v>50</v>
      </c>
      <c r="GI47" s="100">
        <v>42.465753424657535</v>
      </c>
      <c r="GJ47" s="98">
        <v>54</v>
      </c>
      <c r="GK47" s="98">
        <v>39</v>
      </c>
      <c r="GL47" s="98">
        <v>93</v>
      </c>
      <c r="GM47" s="101">
        <v>9</v>
      </c>
      <c r="GN47" s="101">
        <v>4</v>
      </c>
      <c r="GO47" s="98">
        <v>13</v>
      </c>
      <c r="GP47" s="100">
        <v>16.666666666666668</v>
      </c>
      <c r="GQ47" s="100">
        <v>10.256410256410257</v>
      </c>
      <c r="GR47" s="100">
        <v>13.978494623655914</v>
      </c>
      <c r="GS47" s="98">
        <v>10</v>
      </c>
      <c r="GT47" s="98">
        <v>6</v>
      </c>
      <c r="GU47" s="98">
        <v>16</v>
      </c>
      <c r="GV47" s="101">
        <v>2</v>
      </c>
      <c r="GW47" s="101">
        <v>2</v>
      </c>
      <c r="GX47" s="98">
        <v>4</v>
      </c>
      <c r="GY47" s="100">
        <v>20</v>
      </c>
      <c r="GZ47" s="100">
        <v>33.333333333333336</v>
      </c>
      <c r="HA47" s="100">
        <v>25</v>
      </c>
      <c r="HB47" s="98">
        <v>44</v>
      </c>
      <c r="HC47" s="98">
        <v>38</v>
      </c>
      <c r="HD47" s="98">
        <v>82</v>
      </c>
      <c r="HE47" s="101">
        <v>13</v>
      </c>
      <c r="HF47" s="101">
        <v>18</v>
      </c>
      <c r="HG47" s="98">
        <v>31</v>
      </c>
      <c r="HH47" s="100">
        <v>29.545454545454547</v>
      </c>
      <c r="HI47" s="100">
        <v>47.368421052631582</v>
      </c>
      <c r="HJ47" s="100">
        <v>37.804878048780488</v>
      </c>
    </row>
    <row r="48" spans="1:220" s="363" customFormat="1">
      <c r="A48" s="408">
        <v>40</v>
      </c>
      <c r="B48" s="118" t="s">
        <v>166</v>
      </c>
      <c r="C48" s="409">
        <v>109</v>
      </c>
      <c r="D48" s="409">
        <v>109</v>
      </c>
      <c r="E48" s="409">
        <v>218</v>
      </c>
      <c r="F48" s="409">
        <v>106</v>
      </c>
      <c r="G48" s="409">
        <v>104</v>
      </c>
      <c r="H48" s="409">
        <v>210</v>
      </c>
      <c r="I48" s="409">
        <v>3</v>
      </c>
      <c r="J48" s="409">
        <v>3</v>
      </c>
      <c r="K48" s="409">
        <v>6</v>
      </c>
      <c r="L48" s="97">
        <v>109</v>
      </c>
      <c r="M48" s="98">
        <v>107</v>
      </c>
      <c r="N48" s="98">
        <v>216</v>
      </c>
      <c r="O48" s="411">
        <v>1</v>
      </c>
      <c r="P48" s="411">
        <v>0.98165137614678899</v>
      </c>
      <c r="Q48" s="411">
        <v>0.99082568807339455</v>
      </c>
      <c r="R48" s="416"/>
      <c r="S48" s="416"/>
      <c r="T48" s="416"/>
      <c r="U48" s="416"/>
      <c r="V48" s="416"/>
      <c r="W48" s="416"/>
      <c r="X48" s="416"/>
      <c r="Y48" s="416"/>
      <c r="Z48" s="416"/>
      <c r="AA48" s="404"/>
      <c r="AB48" s="404"/>
      <c r="AC48" s="404"/>
      <c r="AD48" s="417"/>
      <c r="AE48" s="417"/>
      <c r="AF48" s="417"/>
      <c r="AG48" s="261">
        <v>109</v>
      </c>
      <c r="AH48" s="261">
        <v>109</v>
      </c>
      <c r="AI48" s="261">
        <v>218</v>
      </c>
      <c r="AJ48" s="261">
        <v>106</v>
      </c>
      <c r="AK48" s="261">
        <v>104</v>
      </c>
      <c r="AL48" s="261">
        <v>210</v>
      </c>
      <c r="AM48" s="261">
        <v>3</v>
      </c>
      <c r="AN48" s="261">
        <v>3</v>
      </c>
      <c r="AO48" s="261">
        <v>6</v>
      </c>
      <c r="AP48" s="261">
        <v>109</v>
      </c>
      <c r="AQ48" s="261">
        <v>107</v>
      </c>
      <c r="AR48" s="261">
        <v>216</v>
      </c>
      <c r="AS48" s="411">
        <v>1</v>
      </c>
      <c r="AT48" s="411">
        <v>0.98165137614678899</v>
      </c>
      <c r="AU48" s="411">
        <v>0.99082568807339455</v>
      </c>
      <c r="AV48" s="409">
        <v>15</v>
      </c>
      <c r="AW48" s="409">
        <v>13</v>
      </c>
      <c r="AX48" s="409">
        <v>28</v>
      </c>
      <c r="AY48" s="409">
        <v>15</v>
      </c>
      <c r="AZ48" s="409">
        <v>13</v>
      </c>
      <c r="BA48" s="409">
        <v>28</v>
      </c>
      <c r="BB48" s="416"/>
      <c r="BC48" s="416"/>
      <c r="BD48" s="416"/>
      <c r="BE48" s="97">
        <v>15</v>
      </c>
      <c r="BF48" s="98">
        <v>13</v>
      </c>
      <c r="BG48" s="98">
        <v>28</v>
      </c>
      <c r="BH48" s="411">
        <v>1</v>
      </c>
      <c r="BI48" s="411">
        <v>1</v>
      </c>
      <c r="BJ48" s="411">
        <v>1</v>
      </c>
      <c r="BK48" s="416"/>
      <c r="BL48" s="416"/>
      <c r="BM48" s="416"/>
      <c r="BN48" s="416"/>
      <c r="BO48" s="416"/>
      <c r="BP48" s="416"/>
      <c r="BQ48" s="416"/>
      <c r="BR48" s="416"/>
      <c r="BS48" s="416"/>
      <c r="BT48" s="404"/>
      <c r="BU48" s="404"/>
      <c r="BV48" s="404"/>
      <c r="BW48" s="417"/>
      <c r="BX48" s="417"/>
      <c r="BY48" s="417"/>
      <c r="BZ48" s="98">
        <v>15</v>
      </c>
      <c r="CA48" s="98">
        <v>13</v>
      </c>
      <c r="CB48" s="98">
        <v>28</v>
      </c>
      <c r="CC48" s="261">
        <v>15</v>
      </c>
      <c r="CD48" s="261">
        <v>13</v>
      </c>
      <c r="CE48" s="261">
        <v>28</v>
      </c>
      <c r="CF48" s="418"/>
      <c r="CG48" s="418"/>
      <c r="CH48" s="418"/>
      <c r="CI48" s="261">
        <v>15</v>
      </c>
      <c r="CJ48" s="261">
        <v>13</v>
      </c>
      <c r="CK48" s="261">
        <v>28</v>
      </c>
      <c r="CL48" s="411">
        <v>1</v>
      </c>
      <c r="CM48" s="411">
        <v>1</v>
      </c>
      <c r="CN48" s="411">
        <v>1</v>
      </c>
      <c r="CO48" s="409">
        <v>15</v>
      </c>
      <c r="CP48" s="409">
        <v>22</v>
      </c>
      <c r="CQ48" s="409">
        <v>37</v>
      </c>
      <c r="CR48" s="409">
        <v>15</v>
      </c>
      <c r="CS48" s="409">
        <v>19</v>
      </c>
      <c r="CT48" s="409">
        <v>34</v>
      </c>
      <c r="CU48" s="416"/>
      <c r="CV48" s="409">
        <v>1</v>
      </c>
      <c r="CW48" s="409">
        <v>1</v>
      </c>
      <c r="CX48" s="97">
        <v>15</v>
      </c>
      <c r="CY48" s="98">
        <v>20</v>
      </c>
      <c r="CZ48" s="98">
        <v>35</v>
      </c>
      <c r="DA48" s="411">
        <v>1</v>
      </c>
      <c r="DB48" s="411">
        <v>0.90909090909090906</v>
      </c>
      <c r="DC48" s="411">
        <v>0.94594594594594594</v>
      </c>
      <c r="DD48" s="416"/>
      <c r="DE48" s="416"/>
      <c r="DF48" s="416"/>
      <c r="DG48" s="416"/>
      <c r="DH48" s="416"/>
      <c r="DI48" s="416"/>
      <c r="DJ48" s="416"/>
      <c r="DK48" s="416"/>
      <c r="DL48" s="416"/>
      <c r="DM48" s="404"/>
      <c r="DN48" s="404"/>
      <c r="DO48" s="404"/>
      <c r="DP48" s="417"/>
      <c r="DQ48" s="417"/>
      <c r="DR48" s="417"/>
      <c r="DS48" s="98">
        <v>15</v>
      </c>
      <c r="DT48" s="98">
        <v>22</v>
      </c>
      <c r="DU48" s="261">
        <v>37</v>
      </c>
      <c r="DV48" s="261">
        <v>15</v>
      </c>
      <c r="DW48" s="261">
        <v>19</v>
      </c>
      <c r="DX48" s="261">
        <v>34</v>
      </c>
      <c r="DY48" s="412"/>
      <c r="DZ48" s="412"/>
      <c r="EA48" s="412"/>
      <c r="EB48" s="261">
        <v>15</v>
      </c>
      <c r="EC48" s="261">
        <v>20</v>
      </c>
      <c r="ED48" s="261">
        <v>35</v>
      </c>
      <c r="EE48" s="411">
        <v>1</v>
      </c>
      <c r="EF48" s="411">
        <v>0.90909090909090906</v>
      </c>
      <c r="EG48" s="411">
        <v>0.94594594594594594</v>
      </c>
      <c r="EH48" s="409">
        <v>37</v>
      </c>
      <c r="EI48" s="409">
        <v>37</v>
      </c>
      <c r="EJ48" s="409">
        <v>74</v>
      </c>
      <c r="EK48" s="409">
        <v>34</v>
      </c>
      <c r="EL48" s="409">
        <v>36</v>
      </c>
      <c r="EM48" s="409">
        <v>70</v>
      </c>
      <c r="EN48" s="409">
        <v>3</v>
      </c>
      <c r="EO48" s="409">
        <v>1</v>
      </c>
      <c r="EP48" s="409">
        <v>4</v>
      </c>
      <c r="EQ48" s="97">
        <v>37</v>
      </c>
      <c r="ER48" s="98">
        <v>37</v>
      </c>
      <c r="ES48" s="98">
        <v>74</v>
      </c>
      <c r="ET48" s="411">
        <v>1</v>
      </c>
      <c r="EU48" s="411">
        <v>1</v>
      </c>
      <c r="EV48" s="411">
        <v>1</v>
      </c>
      <c r="EW48" s="416"/>
      <c r="EX48" s="416"/>
      <c r="EY48" s="416"/>
      <c r="EZ48" s="416"/>
      <c r="FA48" s="416"/>
      <c r="FB48" s="416"/>
      <c r="FC48" s="416"/>
      <c r="FD48" s="416"/>
      <c r="FE48" s="416"/>
      <c r="FF48" s="404"/>
      <c r="FG48" s="404"/>
      <c r="FH48" s="404"/>
      <c r="FI48" s="417"/>
      <c r="FJ48" s="417"/>
      <c r="FK48" s="417"/>
      <c r="FL48" s="98">
        <v>37</v>
      </c>
      <c r="FM48" s="98">
        <v>37</v>
      </c>
      <c r="FN48" s="261">
        <v>74</v>
      </c>
      <c r="FO48" s="261">
        <v>34</v>
      </c>
      <c r="FP48" s="261">
        <v>36</v>
      </c>
      <c r="FQ48" s="261">
        <v>70</v>
      </c>
      <c r="FR48" s="98">
        <v>3</v>
      </c>
      <c r="FS48" s="98">
        <v>1</v>
      </c>
      <c r="FT48" s="98">
        <v>4</v>
      </c>
      <c r="FU48" s="261">
        <v>37</v>
      </c>
      <c r="FV48" s="261">
        <v>37</v>
      </c>
      <c r="FW48" s="261">
        <v>74</v>
      </c>
      <c r="FX48" s="411">
        <v>1</v>
      </c>
      <c r="FY48" s="411">
        <v>1</v>
      </c>
      <c r="FZ48" s="411">
        <v>1</v>
      </c>
      <c r="GA48" s="261">
        <v>109</v>
      </c>
      <c r="GB48" s="261">
        <v>107</v>
      </c>
      <c r="GC48" s="261">
        <v>216</v>
      </c>
      <c r="GD48" s="32">
        <v>85</v>
      </c>
      <c r="GE48" s="32">
        <v>96</v>
      </c>
      <c r="GF48" s="261">
        <v>181</v>
      </c>
      <c r="GG48" s="100">
        <v>77.981651376146786</v>
      </c>
      <c r="GH48" s="413">
        <v>89.719626168224295</v>
      </c>
      <c r="GI48" s="413">
        <v>83.796296296296291</v>
      </c>
      <c r="GJ48" s="261">
        <v>15</v>
      </c>
      <c r="GK48" s="261">
        <v>13</v>
      </c>
      <c r="GL48" s="261">
        <v>28</v>
      </c>
      <c r="GM48" s="32">
        <v>11</v>
      </c>
      <c r="GN48" s="32">
        <v>11</v>
      </c>
      <c r="GO48" s="261">
        <v>22</v>
      </c>
      <c r="GP48" s="413">
        <v>73.333333333333329</v>
      </c>
      <c r="GQ48" s="413">
        <v>84.615384615384613</v>
      </c>
      <c r="GR48" s="413">
        <v>78.571428571428569</v>
      </c>
      <c r="GS48" s="261">
        <v>15</v>
      </c>
      <c r="GT48" s="261">
        <v>20</v>
      </c>
      <c r="GU48" s="261">
        <v>35</v>
      </c>
      <c r="GV48" s="32">
        <v>11</v>
      </c>
      <c r="GW48" s="32">
        <v>16</v>
      </c>
      <c r="GX48" s="261">
        <v>27</v>
      </c>
      <c r="GY48" s="413">
        <v>73.333333333333329</v>
      </c>
      <c r="GZ48" s="413">
        <v>80</v>
      </c>
      <c r="HA48" s="413">
        <v>77.142857142857139</v>
      </c>
      <c r="HB48" s="98">
        <v>37</v>
      </c>
      <c r="HC48" s="98">
        <v>37</v>
      </c>
      <c r="HD48" s="98">
        <v>74</v>
      </c>
      <c r="HE48" s="32">
        <v>28</v>
      </c>
      <c r="HF48" s="32">
        <v>33</v>
      </c>
      <c r="HG48" s="261">
        <v>61</v>
      </c>
      <c r="HH48" s="413">
        <v>75.675675675675677</v>
      </c>
      <c r="HI48" s="413">
        <v>89.189189189189193</v>
      </c>
      <c r="HJ48" s="413">
        <v>82.432432432432435</v>
      </c>
    </row>
    <row r="49" spans="1:218" s="363" customFormat="1" ht="28.5">
      <c r="A49" s="408">
        <v>41</v>
      </c>
      <c r="B49" s="118" t="s">
        <v>374</v>
      </c>
      <c r="C49" s="409"/>
      <c r="D49" s="549" t="s">
        <v>416</v>
      </c>
      <c r="E49" s="550"/>
      <c r="F49" s="550"/>
      <c r="G49" s="550"/>
      <c r="H49" s="551"/>
      <c r="I49" s="410"/>
      <c r="J49" s="410"/>
      <c r="K49" s="410"/>
      <c r="L49" s="97"/>
      <c r="M49" s="98"/>
      <c r="N49" s="98"/>
      <c r="O49" s="411"/>
      <c r="P49" s="411"/>
      <c r="Q49" s="411"/>
      <c r="R49" s="416"/>
      <c r="S49" s="416"/>
      <c r="T49" s="416"/>
      <c r="U49" s="416"/>
      <c r="V49" s="416"/>
      <c r="W49" s="416"/>
      <c r="X49" s="416"/>
      <c r="Y49" s="416"/>
      <c r="Z49" s="416"/>
      <c r="AA49" s="404"/>
      <c r="AB49" s="404"/>
      <c r="AC49" s="404"/>
      <c r="AD49" s="417"/>
      <c r="AE49" s="417"/>
      <c r="AF49" s="417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7"/>
      <c r="AT49" s="417"/>
      <c r="AU49" s="417"/>
      <c r="AV49" s="416"/>
      <c r="AW49" s="416"/>
      <c r="AX49" s="416"/>
      <c r="AY49" s="416"/>
      <c r="AZ49" s="416"/>
      <c r="BA49" s="416"/>
      <c r="BB49" s="410"/>
      <c r="BC49" s="410"/>
      <c r="BD49" s="410"/>
      <c r="BE49" s="404"/>
      <c r="BF49" s="404"/>
      <c r="BG49" s="404"/>
      <c r="BH49" s="417"/>
      <c r="BI49" s="417"/>
      <c r="BJ49" s="417"/>
      <c r="BK49" s="416"/>
      <c r="BL49" s="416"/>
      <c r="BM49" s="416"/>
      <c r="BN49" s="416"/>
      <c r="BO49" s="416"/>
      <c r="BP49" s="416"/>
      <c r="BQ49" s="416"/>
      <c r="BR49" s="416"/>
      <c r="BS49" s="416"/>
      <c r="BT49" s="404"/>
      <c r="BU49" s="404"/>
      <c r="BV49" s="404"/>
      <c r="BW49" s="417"/>
      <c r="BX49" s="417"/>
      <c r="BY49" s="417"/>
      <c r="BZ49" s="404"/>
      <c r="CA49" s="404"/>
      <c r="CB49" s="404"/>
      <c r="CC49" s="418"/>
      <c r="CD49" s="418"/>
      <c r="CE49" s="418"/>
      <c r="CF49" s="418"/>
      <c r="CG49" s="418"/>
      <c r="CH49" s="418"/>
      <c r="CI49" s="418"/>
      <c r="CJ49" s="418"/>
      <c r="CK49" s="418"/>
      <c r="CL49" s="417"/>
      <c r="CM49" s="417"/>
      <c r="CN49" s="417"/>
      <c r="CO49" s="416"/>
      <c r="CP49" s="416"/>
      <c r="CQ49" s="416"/>
      <c r="CR49" s="416"/>
      <c r="CS49" s="416"/>
      <c r="CT49" s="416"/>
      <c r="CU49" s="416"/>
      <c r="CV49" s="416"/>
      <c r="CW49" s="416"/>
      <c r="CX49" s="404"/>
      <c r="CY49" s="404"/>
      <c r="CZ49" s="404"/>
      <c r="DA49" s="411"/>
      <c r="DB49" s="411"/>
      <c r="DC49" s="411"/>
      <c r="DD49" s="416"/>
      <c r="DE49" s="416"/>
      <c r="DF49" s="416"/>
      <c r="DG49" s="416"/>
      <c r="DH49" s="416"/>
      <c r="DI49" s="416"/>
      <c r="DJ49" s="416"/>
      <c r="DK49" s="416"/>
      <c r="DL49" s="416"/>
      <c r="DM49" s="404"/>
      <c r="DN49" s="404"/>
      <c r="DO49" s="404"/>
      <c r="DP49" s="417"/>
      <c r="DQ49" s="417"/>
      <c r="DR49" s="417"/>
      <c r="DS49" s="404"/>
      <c r="DT49" s="404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7"/>
      <c r="EF49" s="417"/>
      <c r="EG49" s="417"/>
      <c r="EH49" s="416"/>
      <c r="EI49" s="416"/>
      <c r="EJ49" s="416"/>
      <c r="EK49" s="416"/>
      <c r="EL49" s="416"/>
      <c r="EM49" s="416"/>
      <c r="EN49" s="416"/>
      <c r="EO49" s="416"/>
      <c r="EP49" s="416"/>
      <c r="EQ49" s="404"/>
      <c r="ER49" s="404"/>
      <c r="ES49" s="404"/>
      <c r="ET49" s="417"/>
      <c r="EU49" s="417"/>
      <c r="EV49" s="417"/>
      <c r="EW49" s="416"/>
      <c r="EX49" s="416"/>
      <c r="EY49" s="416"/>
      <c r="EZ49" s="416"/>
      <c r="FA49" s="416"/>
      <c r="FB49" s="416"/>
      <c r="FC49" s="416"/>
      <c r="FD49" s="416"/>
      <c r="FE49" s="416"/>
      <c r="FF49" s="404"/>
      <c r="FG49" s="404"/>
      <c r="FH49" s="404"/>
      <c r="FI49" s="417"/>
      <c r="FJ49" s="417"/>
      <c r="FK49" s="417"/>
      <c r="FL49" s="404"/>
      <c r="FM49" s="404"/>
      <c r="FN49" s="418"/>
      <c r="FO49" s="418"/>
      <c r="FP49" s="418"/>
      <c r="FQ49" s="418"/>
      <c r="FR49" s="418"/>
      <c r="FS49" s="418"/>
      <c r="FT49" s="418"/>
      <c r="FU49" s="418"/>
      <c r="FV49" s="418"/>
      <c r="FW49" s="418"/>
      <c r="FX49" s="417"/>
      <c r="FY49" s="417"/>
      <c r="FZ49" s="417"/>
      <c r="GA49" s="418"/>
      <c r="GB49" s="418"/>
      <c r="GC49" s="418"/>
      <c r="GD49" s="418"/>
      <c r="GE49" s="418"/>
      <c r="GF49" s="418"/>
      <c r="GG49" s="407"/>
      <c r="GH49" s="419"/>
      <c r="GI49" s="419"/>
      <c r="GJ49" s="418"/>
      <c r="GK49" s="418"/>
      <c r="GL49" s="418"/>
      <c r="GM49" s="418"/>
      <c r="GN49" s="418"/>
      <c r="GO49" s="418"/>
      <c r="GP49" s="419"/>
      <c r="GQ49" s="419"/>
      <c r="GR49" s="419"/>
      <c r="GS49" s="418"/>
      <c r="GT49" s="418"/>
      <c r="GU49" s="418"/>
      <c r="GV49" s="418"/>
      <c r="GW49" s="418"/>
      <c r="GX49" s="418"/>
      <c r="GY49" s="419"/>
      <c r="GZ49" s="419"/>
      <c r="HA49" s="419"/>
      <c r="HB49" s="404"/>
      <c r="HC49" s="404"/>
      <c r="HD49" s="404"/>
      <c r="HE49" s="418"/>
      <c r="HF49" s="418"/>
      <c r="HG49" s="418"/>
      <c r="HH49" s="419"/>
      <c r="HI49" s="419"/>
      <c r="HJ49" s="419"/>
    </row>
    <row r="50" spans="1:218" s="363" customFormat="1" ht="28.5">
      <c r="A50" s="415">
        <v>42</v>
      </c>
      <c r="B50" s="118" t="s">
        <v>214</v>
      </c>
      <c r="C50" s="409">
        <v>745</v>
      </c>
      <c r="D50" s="409">
        <v>57</v>
      </c>
      <c r="E50" s="409">
        <v>802</v>
      </c>
      <c r="F50" s="409">
        <v>702</v>
      </c>
      <c r="G50" s="409">
        <v>52</v>
      </c>
      <c r="H50" s="409">
        <v>754</v>
      </c>
      <c r="I50" s="410"/>
      <c r="J50" s="410"/>
      <c r="K50" s="410"/>
      <c r="L50" s="97">
        <v>702</v>
      </c>
      <c r="M50" s="98">
        <v>52</v>
      </c>
      <c r="N50" s="98">
        <v>754</v>
      </c>
      <c r="O50" s="411">
        <v>0.94228187919463091</v>
      </c>
      <c r="P50" s="411">
        <v>0.91228070175438591</v>
      </c>
      <c r="Q50" s="411">
        <v>0.94014962593516205</v>
      </c>
      <c r="R50" s="409">
        <v>46</v>
      </c>
      <c r="S50" s="409">
        <v>2</v>
      </c>
      <c r="T50" s="409">
        <v>48</v>
      </c>
      <c r="U50" s="409">
        <v>37</v>
      </c>
      <c r="V50" s="409">
        <v>2</v>
      </c>
      <c r="W50" s="409">
        <v>39</v>
      </c>
      <c r="X50" s="410"/>
      <c r="Y50" s="410"/>
      <c r="Z50" s="410"/>
      <c r="AA50" s="97">
        <v>37</v>
      </c>
      <c r="AB50" s="98">
        <v>2</v>
      </c>
      <c r="AC50" s="98">
        <v>39</v>
      </c>
      <c r="AD50" s="411">
        <v>0.80434782608695654</v>
      </c>
      <c r="AE50" s="411">
        <v>1</v>
      </c>
      <c r="AF50" s="411">
        <v>0.8125</v>
      </c>
      <c r="AG50" s="261">
        <v>791</v>
      </c>
      <c r="AH50" s="261">
        <v>59</v>
      </c>
      <c r="AI50" s="261">
        <v>850</v>
      </c>
      <c r="AJ50" s="261">
        <v>739</v>
      </c>
      <c r="AK50" s="261">
        <v>54</v>
      </c>
      <c r="AL50" s="261">
        <v>793</v>
      </c>
      <c r="AM50" s="412"/>
      <c r="AN50" s="412"/>
      <c r="AO50" s="412"/>
      <c r="AP50" s="261">
        <v>739</v>
      </c>
      <c r="AQ50" s="261">
        <v>54</v>
      </c>
      <c r="AR50" s="261">
        <v>793</v>
      </c>
      <c r="AS50" s="411">
        <v>0.93426042983565105</v>
      </c>
      <c r="AT50" s="411">
        <v>0.9152542372881356</v>
      </c>
      <c r="AU50" s="411">
        <v>0.93294117647058827</v>
      </c>
      <c r="AV50" s="409">
        <v>24</v>
      </c>
      <c r="AW50" s="409">
        <v>10</v>
      </c>
      <c r="AX50" s="409">
        <v>34</v>
      </c>
      <c r="AY50" s="409">
        <v>20</v>
      </c>
      <c r="AZ50" s="409">
        <v>10</v>
      </c>
      <c r="BA50" s="409">
        <v>30</v>
      </c>
      <c r="BB50" s="410"/>
      <c r="BC50" s="410"/>
      <c r="BD50" s="410"/>
      <c r="BE50" s="97">
        <v>20</v>
      </c>
      <c r="BF50" s="98">
        <v>10</v>
      </c>
      <c r="BG50" s="98">
        <v>30</v>
      </c>
      <c r="BH50" s="411">
        <v>0.83333333333333337</v>
      </c>
      <c r="BI50" s="411">
        <v>1</v>
      </c>
      <c r="BJ50" s="411">
        <v>0.88235294117647056</v>
      </c>
      <c r="BK50" s="409">
        <v>3</v>
      </c>
      <c r="BL50" s="409">
        <v>1</v>
      </c>
      <c r="BM50" s="409">
        <v>4</v>
      </c>
      <c r="BN50" s="409">
        <v>3</v>
      </c>
      <c r="BO50" s="409">
        <v>1</v>
      </c>
      <c r="BP50" s="409">
        <v>4</v>
      </c>
      <c r="BQ50" s="410"/>
      <c r="BR50" s="410"/>
      <c r="BS50" s="410"/>
      <c r="BT50" s="97">
        <v>3</v>
      </c>
      <c r="BU50" s="98">
        <v>1</v>
      </c>
      <c r="BV50" s="98">
        <v>4</v>
      </c>
      <c r="BW50" s="411">
        <v>1</v>
      </c>
      <c r="BX50" s="411">
        <v>1</v>
      </c>
      <c r="BY50" s="411">
        <v>1</v>
      </c>
      <c r="BZ50" s="98">
        <v>27</v>
      </c>
      <c r="CA50" s="98">
        <v>11</v>
      </c>
      <c r="CB50" s="98">
        <v>38</v>
      </c>
      <c r="CC50" s="261">
        <v>23</v>
      </c>
      <c r="CD50" s="261">
        <v>11</v>
      </c>
      <c r="CE50" s="261">
        <v>34</v>
      </c>
      <c r="CF50" s="412"/>
      <c r="CG50" s="412"/>
      <c r="CH50" s="412"/>
      <c r="CI50" s="261">
        <v>23</v>
      </c>
      <c r="CJ50" s="261">
        <v>11</v>
      </c>
      <c r="CK50" s="261">
        <v>34</v>
      </c>
      <c r="CL50" s="411">
        <v>0.85185185185185186</v>
      </c>
      <c r="CM50" s="411">
        <v>1</v>
      </c>
      <c r="CN50" s="411">
        <v>0.89473684210526316</v>
      </c>
      <c r="CO50" s="409">
        <v>9</v>
      </c>
      <c r="CP50" s="416"/>
      <c r="CQ50" s="409">
        <v>9</v>
      </c>
      <c r="CR50" s="409">
        <v>9</v>
      </c>
      <c r="CS50" s="416"/>
      <c r="CT50" s="409">
        <v>9</v>
      </c>
      <c r="CU50" s="410"/>
      <c r="CV50" s="410"/>
      <c r="CW50" s="410"/>
      <c r="CX50" s="97">
        <v>9</v>
      </c>
      <c r="CY50" s="404"/>
      <c r="CZ50" s="98">
        <v>9</v>
      </c>
      <c r="DA50" s="411">
        <v>1</v>
      </c>
      <c r="DB50" s="411"/>
      <c r="DC50" s="411">
        <v>1</v>
      </c>
      <c r="DD50" s="409">
        <v>2</v>
      </c>
      <c r="DE50" s="416"/>
      <c r="DF50" s="409">
        <v>2</v>
      </c>
      <c r="DG50" s="409">
        <v>1</v>
      </c>
      <c r="DH50" s="416"/>
      <c r="DI50" s="409">
        <v>1</v>
      </c>
      <c r="DJ50" s="410"/>
      <c r="DK50" s="410"/>
      <c r="DL50" s="410"/>
      <c r="DM50" s="97">
        <v>1</v>
      </c>
      <c r="DN50" s="404"/>
      <c r="DO50" s="98">
        <v>1</v>
      </c>
      <c r="DP50" s="411">
        <v>0.5</v>
      </c>
      <c r="DQ50" s="411"/>
      <c r="DR50" s="411">
        <v>0.5</v>
      </c>
      <c r="DS50" s="98">
        <v>11</v>
      </c>
      <c r="DT50" s="404"/>
      <c r="DU50" s="261">
        <v>11</v>
      </c>
      <c r="DV50" s="261">
        <v>10</v>
      </c>
      <c r="DW50" s="418"/>
      <c r="DX50" s="261">
        <v>10</v>
      </c>
      <c r="DY50" s="412"/>
      <c r="DZ50" s="412"/>
      <c r="EA50" s="412"/>
      <c r="EB50" s="261">
        <v>10</v>
      </c>
      <c r="EC50" s="418"/>
      <c r="ED50" s="261">
        <v>10</v>
      </c>
      <c r="EE50" s="411">
        <v>0.90909090909090906</v>
      </c>
      <c r="EF50" s="417"/>
      <c r="EG50" s="411">
        <v>0.90909090909090906</v>
      </c>
      <c r="EH50" s="409">
        <v>82</v>
      </c>
      <c r="EI50" s="409">
        <v>16</v>
      </c>
      <c r="EJ50" s="409">
        <v>98</v>
      </c>
      <c r="EK50" s="409">
        <v>77</v>
      </c>
      <c r="EL50" s="409">
        <v>13</v>
      </c>
      <c r="EM50" s="409">
        <v>90</v>
      </c>
      <c r="EN50" s="410"/>
      <c r="EO50" s="410"/>
      <c r="EP50" s="410"/>
      <c r="EQ50" s="97">
        <v>77</v>
      </c>
      <c r="ER50" s="98">
        <v>13</v>
      </c>
      <c r="ES50" s="98">
        <v>90</v>
      </c>
      <c r="ET50" s="411">
        <v>0.93902439024390238</v>
      </c>
      <c r="EU50" s="411">
        <v>0.8125</v>
      </c>
      <c r="EV50" s="411">
        <v>0.91836734693877553</v>
      </c>
      <c r="EW50" s="409">
        <v>4</v>
      </c>
      <c r="EX50" s="416"/>
      <c r="EY50" s="409">
        <v>4</v>
      </c>
      <c r="EZ50" s="409">
        <v>4</v>
      </c>
      <c r="FA50" s="423"/>
      <c r="FB50" s="409">
        <v>4</v>
      </c>
      <c r="FC50" s="410"/>
      <c r="FD50" s="410"/>
      <c r="FE50" s="410"/>
      <c r="FF50" s="97">
        <v>4</v>
      </c>
      <c r="FG50" s="424"/>
      <c r="FH50" s="98">
        <v>4</v>
      </c>
      <c r="FI50" s="411">
        <v>1</v>
      </c>
      <c r="FJ50" s="425"/>
      <c r="FK50" s="411">
        <v>1</v>
      </c>
      <c r="FL50" s="98">
        <v>86</v>
      </c>
      <c r="FM50" s="98">
        <v>16</v>
      </c>
      <c r="FN50" s="261">
        <v>102</v>
      </c>
      <c r="FO50" s="261">
        <v>81</v>
      </c>
      <c r="FP50" s="261">
        <v>13</v>
      </c>
      <c r="FQ50" s="261">
        <v>94</v>
      </c>
      <c r="FR50" s="412"/>
      <c r="FS50" s="412"/>
      <c r="FT50" s="412"/>
      <c r="FU50" s="261">
        <v>81</v>
      </c>
      <c r="FV50" s="261">
        <v>13</v>
      </c>
      <c r="FW50" s="261">
        <v>94</v>
      </c>
      <c r="FX50" s="411">
        <v>0.94186046511627908</v>
      </c>
      <c r="FY50" s="411">
        <v>0</v>
      </c>
      <c r="FZ50" s="411">
        <v>0.92156862745098034</v>
      </c>
      <c r="GA50" s="261">
        <v>739</v>
      </c>
      <c r="GB50" s="261">
        <v>54</v>
      </c>
      <c r="GC50" s="261">
        <v>793</v>
      </c>
      <c r="GD50" s="32">
        <v>180</v>
      </c>
      <c r="GE50" s="32">
        <v>7</v>
      </c>
      <c r="GF50" s="261">
        <v>187</v>
      </c>
      <c r="GG50" s="100">
        <v>24.357239512855209</v>
      </c>
      <c r="GH50" s="100">
        <v>12.962962962962964</v>
      </c>
      <c r="GI50" s="100">
        <v>23.581336696090794</v>
      </c>
      <c r="GJ50" s="261">
        <v>23</v>
      </c>
      <c r="GK50" s="261">
        <v>11</v>
      </c>
      <c r="GL50" s="261">
        <v>34</v>
      </c>
      <c r="GM50" s="261">
        <v>4</v>
      </c>
      <c r="GN50" s="261">
        <v>1</v>
      </c>
      <c r="GO50" s="261">
        <v>5</v>
      </c>
      <c r="GP50" s="413">
        <v>17.391304347826086</v>
      </c>
      <c r="GQ50" s="413">
        <v>9.0909090909090917</v>
      </c>
      <c r="GR50" s="413">
        <v>14.705882352941176</v>
      </c>
      <c r="GS50" s="261">
        <v>10</v>
      </c>
      <c r="GT50" s="418"/>
      <c r="GU50" s="261">
        <v>10</v>
      </c>
      <c r="GV50" s="261">
        <v>1</v>
      </c>
      <c r="GW50" s="418"/>
      <c r="GX50" s="261">
        <v>1</v>
      </c>
      <c r="GY50" s="413">
        <v>10</v>
      </c>
      <c r="GZ50" s="419"/>
      <c r="HA50" s="413">
        <v>10</v>
      </c>
      <c r="HB50" s="98">
        <v>81</v>
      </c>
      <c r="HC50" s="98">
        <v>13</v>
      </c>
      <c r="HD50" s="98">
        <v>94</v>
      </c>
      <c r="HE50" s="261">
        <v>12</v>
      </c>
      <c r="HF50" s="261">
        <v>1</v>
      </c>
      <c r="HG50" s="261">
        <v>13</v>
      </c>
      <c r="HH50" s="413">
        <v>14.814814814814815</v>
      </c>
      <c r="HI50" s="413">
        <v>7.6923076923076925</v>
      </c>
      <c r="HJ50" s="413">
        <v>13.829787234042554</v>
      </c>
    </row>
    <row r="51" spans="1:218">
      <c r="A51" s="558" t="s">
        <v>3</v>
      </c>
      <c r="B51" s="559"/>
      <c r="C51" s="353">
        <v>9424869</v>
      </c>
      <c r="D51" s="353">
        <v>8387614</v>
      </c>
      <c r="E51" s="353">
        <v>17812483</v>
      </c>
      <c r="F51" s="353">
        <v>7066962</v>
      </c>
      <c r="G51" s="353">
        <v>6440883</v>
      </c>
      <c r="H51" s="353">
        <v>13939007</v>
      </c>
      <c r="I51" s="353">
        <v>222864</v>
      </c>
      <c r="J51" s="353">
        <v>195587</v>
      </c>
      <c r="K51" s="353">
        <v>418451</v>
      </c>
      <c r="L51" s="353">
        <v>7289826</v>
      </c>
      <c r="M51" s="353">
        <v>6636470</v>
      </c>
      <c r="N51" s="353">
        <v>14357458</v>
      </c>
      <c r="O51" s="354">
        <v>0.77346709009960779</v>
      </c>
      <c r="P51" s="354">
        <v>0.79122262898602636</v>
      </c>
      <c r="Q51" s="354">
        <v>0.80603349909162014</v>
      </c>
      <c r="R51" s="353">
        <v>751811</v>
      </c>
      <c r="S51" s="353">
        <v>566443</v>
      </c>
      <c r="T51" s="353">
        <v>1321008</v>
      </c>
      <c r="U51" s="353">
        <v>328471</v>
      </c>
      <c r="V51" s="353">
        <v>255559</v>
      </c>
      <c r="W51" s="353">
        <v>586114</v>
      </c>
      <c r="X51" s="353">
        <v>20552</v>
      </c>
      <c r="Y51" s="353">
        <v>16407</v>
      </c>
      <c r="Z51" s="353">
        <v>36959</v>
      </c>
      <c r="AA51" s="353">
        <v>349023</v>
      </c>
      <c r="AB51" s="353">
        <v>271966</v>
      </c>
      <c r="AC51" s="353">
        <v>623073</v>
      </c>
      <c r="AD51" s="354">
        <v>0.46424300788363032</v>
      </c>
      <c r="AE51" s="354">
        <v>0.48012950994186526</v>
      </c>
      <c r="AF51" s="354">
        <v>0.47166481959231132</v>
      </c>
      <c r="AG51" s="353">
        <v>10176680</v>
      </c>
      <c r="AH51" s="353">
        <v>8954057</v>
      </c>
      <c r="AI51" s="353">
        <v>19133491</v>
      </c>
      <c r="AJ51" s="353">
        <v>7395433</v>
      </c>
      <c r="AK51" s="353">
        <v>6696442</v>
      </c>
      <c r="AL51" s="353">
        <v>14525121</v>
      </c>
      <c r="AM51" s="353">
        <v>263354</v>
      </c>
      <c r="AN51" s="353">
        <v>223981</v>
      </c>
      <c r="AO51" s="353">
        <v>487335</v>
      </c>
      <c r="AP51" s="353">
        <v>7664507</v>
      </c>
      <c r="AQ51" s="353">
        <v>6929846</v>
      </c>
      <c r="AR51" s="353">
        <v>15027599</v>
      </c>
      <c r="AS51" s="354">
        <v>0.75314414917242167</v>
      </c>
      <c r="AT51" s="354">
        <v>0.77393364817758026</v>
      </c>
      <c r="AU51" s="354">
        <v>0.78540810979031483</v>
      </c>
      <c r="AV51" s="353">
        <v>1653874</v>
      </c>
      <c r="AW51" s="353">
        <v>1494270</v>
      </c>
      <c r="AX51" s="353">
        <v>3192129</v>
      </c>
      <c r="AY51" s="353">
        <v>1168720</v>
      </c>
      <c r="AZ51" s="353">
        <v>1074542</v>
      </c>
      <c r="BA51" s="353">
        <v>2285135</v>
      </c>
      <c r="BB51" s="353">
        <v>42897</v>
      </c>
      <c r="BC51" s="353">
        <v>38257</v>
      </c>
      <c r="BD51" s="353">
        <v>81154</v>
      </c>
      <c r="BE51" s="353">
        <v>1211617</v>
      </c>
      <c r="BF51" s="353">
        <v>1112799</v>
      </c>
      <c r="BG51" s="353">
        <v>2366289</v>
      </c>
      <c r="BH51" s="354">
        <v>0.73259329308036769</v>
      </c>
      <c r="BI51" s="354">
        <v>0.74471079523780848</v>
      </c>
      <c r="BJ51" s="354">
        <v>0.74128865092858087</v>
      </c>
      <c r="BK51" s="353">
        <v>132054</v>
      </c>
      <c r="BL51" s="353">
        <v>101422</v>
      </c>
      <c r="BM51" s="353">
        <v>233476</v>
      </c>
      <c r="BN51" s="353">
        <v>55923</v>
      </c>
      <c r="BO51" s="353">
        <v>39689</v>
      </c>
      <c r="BP51" s="353">
        <v>95612</v>
      </c>
      <c r="BQ51" s="353">
        <v>3835</v>
      </c>
      <c r="BR51" s="353">
        <v>3179</v>
      </c>
      <c r="BS51" s="353">
        <v>7014</v>
      </c>
      <c r="BT51" s="353">
        <v>59758</v>
      </c>
      <c r="BU51" s="353">
        <v>42868</v>
      </c>
      <c r="BV51" s="353">
        <v>102626</v>
      </c>
      <c r="BW51" s="354">
        <v>0.45252699653172185</v>
      </c>
      <c r="BX51" s="354">
        <v>0.42266963775117822</v>
      </c>
      <c r="BY51" s="354">
        <v>0.43955695660367661</v>
      </c>
      <c r="BZ51" s="353">
        <v>1785928</v>
      </c>
      <c r="CA51" s="353">
        <v>1595692</v>
      </c>
      <c r="CB51" s="353">
        <v>3425605</v>
      </c>
      <c r="CC51" s="353">
        <v>1224643</v>
      </c>
      <c r="CD51" s="353">
        <v>1114231</v>
      </c>
      <c r="CE51" s="353">
        <v>2380747</v>
      </c>
      <c r="CF51" s="353">
        <v>52380</v>
      </c>
      <c r="CG51" s="353">
        <v>46311</v>
      </c>
      <c r="CH51" s="353">
        <v>98691</v>
      </c>
      <c r="CI51" s="353">
        <v>1277023</v>
      </c>
      <c r="CJ51" s="353">
        <v>1160542</v>
      </c>
      <c r="CK51" s="353">
        <v>2479438</v>
      </c>
      <c r="CL51" s="354">
        <v>0.7150473031387603</v>
      </c>
      <c r="CM51" s="354">
        <v>0.7272969971648664</v>
      </c>
      <c r="CN51" s="354">
        <v>0.72379565069527863</v>
      </c>
      <c r="CO51" s="353">
        <v>663907</v>
      </c>
      <c r="CP51" s="353">
        <v>656576</v>
      </c>
      <c r="CQ51" s="353">
        <v>1328591</v>
      </c>
      <c r="CR51" s="353">
        <v>455541</v>
      </c>
      <c r="CS51" s="353">
        <v>448807</v>
      </c>
      <c r="CT51" s="353">
        <v>911403</v>
      </c>
      <c r="CU51" s="353">
        <v>19798</v>
      </c>
      <c r="CV51" s="353">
        <v>21353</v>
      </c>
      <c r="CW51" s="353">
        <v>41151</v>
      </c>
      <c r="CX51" s="353">
        <v>475339</v>
      </c>
      <c r="CY51" s="353">
        <v>470160</v>
      </c>
      <c r="CZ51" s="353">
        <v>952554</v>
      </c>
      <c r="DA51" s="354">
        <v>0.71597226720007467</v>
      </c>
      <c r="DB51" s="354">
        <v>0.71607856516229651</v>
      </c>
      <c r="DC51" s="354">
        <v>0.71696556728142824</v>
      </c>
      <c r="DD51" s="353">
        <v>74419</v>
      </c>
      <c r="DE51" s="353">
        <v>63685</v>
      </c>
      <c r="DF51" s="353">
        <v>138104</v>
      </c>
      <c r="DG51" s="353">
        <v>19839</v>
      </c>
      <c r="DH51" s="353">
        <v>16996</v>
      </c>
      <c r="DI51" s="353">
        <v>36835</v>
      </c>
      <c r="DJ51" s="353">
        <v>3878</v>
      </c>
      <c r="DK51" s="353">
        <v>3569</v>
      </c>
      <c r="DL51" s="353">
        <v>7447</v>
      </c>
      <c r="DM51" s="353">
        <v>23717</v>
      </c>
      <c r="DN51" s="353">
        <v>20565</v>
      </c>
      <c r="DO51" s="353">
        <v>44282</v>
      </c>
      <c r="DP51" s="354">
        <v>0.31869549443018585</v>
      </c>
      <c r="DQ51" s="354">
        <v>0.32291748449399388</v>
      </c>
      <c r="DR51" s="354">
        <v>0.32064241441232694</v>
      </c>
      <c r="DS51" s="353">
        <v>746816</v>
      </c>
      <c r="DT51" s="353">
        <v>727075</v>
      </c>
      <c r="DU51" s="353">
        <v>1481999</v>
      </c>
      <c r="DV51" s="353">
        <v>480384</v>
      </c>
      <c r="DW51" s="353">
        <v>470860</v>
      </c>
      <c r="DX51" s="353">
        <v>958299</v>
      </c>
      <c r="DY51" s="353">
        <v>27527</v>
      </c>
      <c r="DZ51" s="353">
        <v>28407</v>
      </c>
      <c r="EA51" s="353">
        <v>55934</v>
      </c>
      <c r="EB51" s="353">
        <v>502088</v>
      </c>
      <c r="EC51" s="353">
        <v>493657</v>
      </c>
      <c r="ED51" s="353">
        <v>1002800</v>
      </c>
      <c r="EE51" s="354">
        <v>0.67230482474933584</v>
      </c>
      <c r="EF51" s="354">
        <v>0.67896296805694045</v>
      </c>
      <c r="EG51" s="354">
        <v>0.67665362797140904</v>
      </c>
      <c r="EH51" s="353">
        <v>3385321</v>
      </c>
      <c r="EI51" s="353">
        <v>3023699</v>
      </c>
      <c r="EJ51" s="353">
        <v>6705040</v>
      </c>
      <c r="EK51" s="353">
        <v>2691629</v>
      </c>
      <c r="EL51" s="353">
        <v>2456376</v>
      </c>
      <c r="EM51" s="353">
        <v>5438504</v>
      </c>
      <c r="EN51" s="353">
        <v>91489</v>
      </c>
      <c r="EO51" s="353">
        <v>83994</v>
      </c>
      <c r="EP51" s="353">
        <v>184998</v>
      </c>
      <c r="EQ51" s="353">
        <v>2783118</v>
      </c>
      <c r="ER51" s="353">
        <v>2540370</v>
      </c>
      <c r="ES51" s="353">
        <v>5623502</v>
      </c>
      <c r="ET51" s="354">
        <v>0.82211347166191917</v>
      </c>
      <c r="EU51" s="354">
        <v>0.8401530707917686</v>
      </c>
      <c r="EV51" s="354">
        <v>0.83869775571808669</v>
      </c>
      <c r="EW51" s="353">
        <v>293439</v>
      </c>
      <c r="EX51" s="353">
        <v>244003</v>
      </c>
      <c r="EY51" s="353">
        <v>537442</v>
      </c>
      <c r="EZ51" s="353">
        <v>140444</v>
      </c>
      <c r="FA51" s="353">
        <v>114286</v>
      </c>
      <c r="FB51" s="353">
        <v>254730</v>
      </c>
      <c r="FC51" s="353">
        <v>8727</v>
      </c>
      <c r="FD51" s="353">
        <v>6963</v>
      </c>
      <c r="FE51" s="353">
        <v>15690</v>
      </c>
      <c r="FF51" s="353">
        <v>149171</v>
      </c>
      <c r="FG51" s="353">
        <v>121249</v>
      </c>
      <c r="FH51" s="353">
        <v>270420</v>
      </c>
      <c r="FI51" s="354">
        <v>0.50835437688923424</v>
      </c>
      <c r="FJ51" s="354">
        <v>0.49691602152432551</v>
      </c>
      <c r="FK51" s="354">
        <v>0.50316127135579281</v>
      </c>
      <c r="FL51" s="353">
        <v>3678760</v>
      </c>
      <c r="FM51" s="353">
        <v>3267702</v>
      </c>
      <c r="FN51" s="353">
        <v>7242482</v>
      </c>
      <c r="FO51" s="353">
        <v>2832073</v>
      </c>
      <c r="FP51" s="353">
        <v>2570662</v>
      </c>
      <c r="FQ51" s="353">
        <v>5693234</v>
      </c>
      <c r="FR51" s="353">
        <v>113762</v>
      </c>
      <c r="FS51" s="353">
        <v>101841</v>
      </c>
      <c r="FT51" s="353">
        <v>215603</v>
      </c>
      <c r="FU51" s="353">
        <v>2945835</v>
      </c>
      <c r="FV51" s="353">
        <v>2672503</v>
      </c>
      <c r="FW51" s="353">
        <v>5918352</v>
      </c>
      <c r="FX51" s="354">
        <v>0.80076846546118796</v>
      </c>
      <c r="FY51" s="354">
        <v>0.81785395363469493</v>
      </c>
      <c r="FZ51" s="354">
        <v>0.81717179276386187</v>
      </c>
      <c r="GA51" s="353">
        <v>7664507</v>
      </c>
      <c r="GB51" s="353">
        <v>6929846</v>
      </c>
      <c r="GC51" s="353">
        <v>15025665</v>
      </c>
      <c r="GD51" s="353">
        <v>3489343</v>
      </c>
      <c r="GE51" s="353">
        <v>3446239</v>
      </c>
      <c r="GF51" s="353">
        <v>7090029</v>
      </c>
      <c r="GG51" s="351">
        <v>45.525994039799301</v>
      </c>
      <c r="GH51" s="352">
        <v>49.730383618914473</v>
      </c>
      <c r="GI51" s="352">
        <v>47.186124540910505</v>
      </c>
      <c r="GJ51" s="353">
        <v>1277023</v>
      </c>
      <c r="GK51" s="353">
        <v>1160542</v>
      </c>
      <c r="GL51" s="353">
        <v>2479438</v>
      </c>
      <c r="GM51" s="353">
        <v>475235</v>
      </c>
      <c r="GN51" s="353">
        <v>484161</v>
      </c>
      <c r="GO51" s="353">
        <v>959396</v>
      </c>
      <c r="GP51" s="355">
        <v>37.21428666515795</v>
      </c>
      <c r="GQ51" s="355">
        <v>41.718524620392884</v>
      </c>
      <c r="GR51" s="355">
        <v>38.694091160980832</v>
      </c>
      <c r="GS51" s="353">
        <v>502088</v>
      </c>
      <c r="GT51" s="353">
        <v>493657</v>
      </c>
      <c r="GU51" s="353">
        <v>1002800</v>
      </c>
      <c r="GV51" s="353">
        <v>147301</v>
      </c>
      <c r="GW51" s="353">
        <v>149910</v>
      </c>
      <c r="GX51" s="353">
        <v>297211</v>
      </c>
      <c r="GY51" s="355">
        <v>29.337685823998982</v>
      </c>
      <c r="GZ51" s="355">
        <v>30.367238791306516</v>
      </c>
      <c r="HA51" s="355">
        <v>29.638113282808138</v>
      </c>
      <c r="HB51" s="353">
        <v>2945835</v>
      </c>
      <c r="HC51" s="353">
        <v>2672503</v>
      </c>
      <c r="HD51" s="353">
        <v>5918352</v>
      </c>
      <c r="HE51" s="353">
        <v>1372354</v>
      </c>
      <c r="HF51" s="353">
        <v>1355094</v>
      </c>
      <c r="HG51" s="353">
        <v>2727448</v>
      </c>
      <c r="HH51" s="355">
        <v>46.586248041726712</v>
      </c>
      <c r="HI51" s="355">
        <v>50.705050658502536</v>
      </c>
      <c r="HJ51" s="355">
        <v>46.084585708994666</v>
      </c>
    </row>
    <row r="52" spans="1:218">
      <c r="A52" s="121"/>
      <c r="B52" s="122"/>
      <c r="C52" s="552" t="s">
        <v>228</v>
      </c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468" t="s">
        <v>228</v>
      </c>
      <c r="S52" s="468"/>
      <c r="T52" s="468"/>
      <c r="U52" s="468"/>
      <c r="V52" s="468"/>
      <c r="W52" s="468"/>
      <c r="X52" s="468"/>
      <c r="Y52" s="468"/>
      <c r="Z52" s="468"/>
      <c r="AA52" s="468"/>
      <c r="AB52" s="121"/>
      <c r="AC52" s="121"/>
      <c r="AD52" s="121"/>
      <c r="AE52" s="121"/>
      <c r="AF52" s="121"/>
      <c r="AG52" s="121" t="s">
        <v>228</v>
      </c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 t="s">
        <v>228</v>
      </c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 t="s">
        <v>228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 t="s">
        <v>228</v>
      </c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 t="s">
        <v>228</v>
      </c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 t="s">
        <v>228</v>
      </c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 t="s">
        <v>228</v>
      </c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 t="s">
        <v>228</v>
      </c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 t="s">
        <v>228</v>
      </c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 t="s">
        <v>228</v>
      </c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 t="s">
        <v>228</v>
      </c>
      <c r="GB52" s="121"/>
      <c r="GC52" s="121"/>
      <c r="GD52" s="121"/>
      <c r="GE52" s="121"/>
      <c r="GF52" s="121"/>
      <c r="GG52" s="121"/>
      <c r="GH52" s="121"/>
      <c r="GI52" s="121"/>
      <c r="GJ52" s="121" t="s">
        <v>228</v>
      </c>
      <c r="GK52" s="121"/>
      <c r="GL52" s="121"/>
      <c r="GM52" s="121"/>
      <c r="GN52" s="121"/>
      <c r="GO52" s="121"/>
      <c r="GP52" s="121"/>
      <c r="GQ52" s="121"/>
      <c r="GR52" s="121"/>
      <c r="GS52" s="121" t="s">
        <v>228</v>
      </c>
      <c r="GT52" s="121"/>
      <c r="GU52" s="121"/>
      <c r="GV52" s="121"/>
      <c r="GW52" s="121"/>
      <c r="GX52" s="121"/>
      <c r="GY52" s="121"/>
      <c r="GZ52" s="121"/>
      <c r="HA52" s="121"/>
      <c r="HB52" s="121" t="s">
        <v>228</v>
      </c>
      <c r="HC52" s="121"/>
      <c r="HD52" s="121"/>
      <c r="HE52" s="121"/>
      <c r="HF52" s="121"/>
      <c r="HG52" s="121"/>
      <c r="HH52" s="121"/>
      <c r="HI52" s="121"/>
      <c r="HJ52" s="121"/>
    </row>
    <row r="53" spans="1:218">
      <c r="A53" s="121"/>
      <c r="B53" s="122"/>
      <c r="C53" s="552" t="s">
        <v>407</v>
      </c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468" t="s">
        <v>407</v>
      </c>
      <c r="S53" s="468"/>
      <c r="T53" s="468"/>
      <c r="U53" s="468"/>
      <c r="V53" s="468"/>
      <c r="W53" s="468"/>
      <c r="X53" s="468"/>
      <c r="Y53" s="468"/>
      <c r="Z53" s="468"/>
      <c r="AA53" s="468"/>
      <c r="AB53" s="121"/>
      <c r="AC53" s="121"/>
      <c r="AD53" s="121"/>
      <c r="AE53" s="121"/>
      <c r="AF53" s="121"/>
      <c r="AG53" s="121" t="s">
        <v>407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 t="s">
        <v>407</v>
      </c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 t="s">
        <v>407</v>
      </c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 t="s">
        <v>407</v>
      </c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 t="s">
        <v>407</v>
      </c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 t="s">
        <v>407</v>
      </c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 t="s">
        <v>407</v>
      </c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 t="s">
        <v>407</v>
      </c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 t="s">
        <v>407</v>
      </c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 t="s">
        <v>407</v>
      </c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 t="s">
        <v>407</v>
      </c>
      <c r="GB53" s="121"/>
      <c r="GC53" s="121"/>
      <c r="GD53" s="121"/>
      <c r="GE53" s="121"/>
      <c r="GF53" s="121"/>
      <c r="GG53" s="121"/>
      <c r="GH53" s="121"/>
      <c r="GI53" s="121"/>
      <c r="GJ53" s="121" t="s">
        <v>407</v>
      </c>
      <c r="GK53" s="121"/>
      <c r="GL53" s="121"/>
      <c r="GM53" s="121"/>
      <c r="GN53" s="121"/>
      <c r="GO53" s="121"/>
      <c r="GP53" s="121"/>
      <c r="GQ53" s="121"/>
      <c r="GR53" s="121"/>
      <c r="GS53" s="121" t="s">
        <v>407</v>
      </c>
      <c r="GT53" s="121"/>
      <c r="GU53" s="121"/>
      <c r="GV53" s="121"/>
      <c r="GW53" s="121"/>
      <c r="GX53" s="121"/>
      <c r="GY53" s="121"/>
      <c r="GZ53" s="121"/>
      <c r="HA53" s="121"/>
      <c r="HB53" s="121" t="s">
        <v>407</v>
      </c>
      <c r="HC53" s="121"/>
      <c r="HD53" s="121"/>
      <c r="HE53" s="121"/>
      <c r="HF53" s="121"/>
      <c r="HG53" s="121"/>
      <c r="HH53" s="121"/>
      <c r="HI53" s="121"/>
      <c r="HJ53" s="121"/>
    </row>
  </sheetData>
  <mergeCells count="143">
    <mergeCell ref="GA1:GI1"/>
    <mergeCell ref="GJ1:GR1"/>
    <mergeCell ref="GS1:HA1"/>
    <mergeCell ref="HB1:HJ1"/>
    <mergeCell ref="C2:Q2"/>
    <mergeCell ref="R2:AF2"/>
    <mergeCell ref="AG2:AU2"/>
    <mergeCell ref="AV2:BJ2"/>
    <mergeCell ref="BK2:BY2"/>
    <mergeCell ref="BZ2:CN2"/>
    <mergeCell ref="CO1:DC1"/>
    <mergeCell ref="DD1:DR1"/>
    <mergeCell ref="DS1:EG1"/>
    <mergeCell ref="EH1:EV1"/>
    <mergeCell ref="EW1:FK1"/>
    <mergeCell ref="FL1:FZ1"/>
    <mergeCell ref="C1:Q1"/>
    <mergeCell ref="R1:AF1"/>
    <mergeCell ref="AG1:AU1"/>
    <mergeCell ref="AV1:BJ1"/>
    <mergeCell ref="BK1:BY1"/>
    <mergeCell ref="BZ1:CN1"/>
    <mergeCell ref="GA2:GI2"/>
    <mergeCell ref="GJ2:GR2"/>
    <mergeCell ref="GS2:HA2"/>
    <mergeCell ref="HB2:HJ2"/>
    <mergeCell ref="A3:A6"/>
    <mergeCell ref="B3:B6"/>
    <mergeCell ref="C3:N3"/>
    <mergeCell ref="O3:Q5"/>
    <mergeCell ref="R3:AC3"/>
    <mergeCell ref="AD3:AF5"/>
    <mergeCell ref="CO2:DC2"/>
    <mergeCell ref="DD2:DR2"/>
    <mergeCell ref="DS2:EG2"/>
    <mergeCell ref="EH2:EV2"/>
    <mergeCell ref="EW2:FK2"/>
    <mergeCell ref="FL2:FZ2"/>
    <mergeCell ref="AG3:AR3"/>
    <mergeCell ref="AS3:AU5"/>
    <mergeCell ref="AV3:BG3"/>
    <mergeCell ref="BH3:BJ5"/>
    <mergeCell ref="BK3:BV3"/>
    <mergeCell ref="BW3:BY5"/>
    <mergeCell ref="BK4:BM5"/>
    <mergeCell ref="BN4:BV4"/>
    <mergeCell ref="AJ5:AL5"/>
    <mergeCell ref="AM5:AO5"/>
    <mergeCell ref="BZ3:CK3"/>
    <mergeCell ref="CL3:CN5"/>
    <mergeCell ref="CO3:CZ3"/>
    <mergeCell ref="DA3:DC5"/>
    <mergeCell ref="DD3:DO3"/>
    <mergeCell ref="DP3:DR5"/>
    <mergeCell ref="BZ4:CB5"/>
    <mergeCell ref="CC4:CK4"/>
    <mergeCell ref="CO4:CQ5"/>
    <mergeCell ref="CR4:CZ4"/>
    <mergeCell ref="DD4:DF5"/>
    <mergeCell ref="DG4:DO4"/>
    <mergeCell ref="CR5:CT5"/>
    <mergeCell ref="CU5:CW5"/>
    <mergeCell ref="GG3:GI4"/>
    <mergeCell ref="GJ3:GL5"/>
    <mergeCell ref="FL4:FN5"/>
    <mergeCell ref="FO4:FW4"/>
    <mergeCell ref="DS3:ED3"/>
    <mergeCell ref="EE3:EG5"/>
    <mergeCell ref="EH3:ES3"/>
    <mergeCell ref="ET3:EV5"/>
    <mergeCell ref="EW3:FH3"/>
    <mergeCell ref="FI3:FK5"/>
    <mergeCell ref="EW4:EY5"/>
    <mergeCell ref="EZ4:FH4"/>
    <mergeCell ref="EZ5:FB5"/>
    <mergeCell ref="FC5:FE5"/>
    <mergeCell ref="DS4:DU5"/>
    <mergeCell ref="DV4:ED4"/>
    <mergeCell ref="EH4:EJ5"/>
    <mergeCell ref="EK4:ES4"/>
    <mergeCell ref="EB5:ED5"/>
    <mergeCell ref="EK5:EM5"/>
    <mergeCell ref="EN5:EP5"/>
    <mergeCell ref="EQ5:ES5"/>
    <mergeCell ref="HE3:HG4"/>
    <mergeCell ref="HH3:HJ4"/>
    <mergeCell ref="C4:E5"/>
    <mergeCell ref="F4:N4"/>
    <mergeCell ref="R4:T5"/>
    <mergeCell ref="U4:AC4"/>
    <mergeCell ref="AG4:AI5"/>
    <mergeCell ref="AJ4:AR4"/>
    <mergeCell ref="AV4:AX5"/>
    <mergeCell ref="AY4:BG4"/>
    <mergeCell ref="GM3:GO4"/>
    <mergeCell ref="GP3:GR4"/>
    <mergeCell ref="GS3:GU5"/>
    <mergeCell ref="GV3:GX4"/>
    <mergeCell ref="GY3:HA4"/>
    <mergeCell ref="HB3:HD5"/>
    <mergeCell ref="GM5:GO5"/>
    <mergeCell ref="GP5:GR5"/>
    <mergeCell ref="GV5:GX5"/>
    <mergeCell ref="GY5:HA5"/>
    <mergeCell ref="FL3:FW3"/>
    <mergeCell ref="FX3:FZ5"/>
    <mergeCell ref="GA3:GC5"/>
    <mergeCell ref="GD3:GF4"/>
    <mergeCell ref="AY5:BA5"/>
    <mergeCell ref="BB5:BD5"/>
    <mergeCell ref="BE5:BG5"/>
    <mergeCell ref="BN5:BP5"/>
    <mergeCell ref="BQ5:BS5"/>
    <mergeCell ref="F5:H5"/>
    <mergeCell ref="I5:K5"/>
    <mergeCell ref="L5:N5"/>
    <mergeCell ref="U5:W5"/>
    <mergeCell ref="X5:Z5"/>
    <mergeCell ref="AA5:AC5"/>
    <mergeCell ref="D49:H49"/>
    <mergeCell ref="C52:Q52"/>
    <mergeCell ref="C53:Q53"/>
    <mergeCell ref="HE5:HG5"/>
    <mergeCell ref="HH5:HJ5"/>
    <mergeCell ref="A8:B8"/>
    <mergeCell ref="A51:B51"/>
    <mergeCell ref="FF5:FH5"/>
    <mergeCell ref="FO5:FQ5"/>
    <mergeCell ref="FR5:FT5"/>
    <mergeCell ref="FU5:FW5"/>
    <mergeCell ref="GD5:GF5"/>
    <mergeCell ref="GG5:GI5"/>
    <mergeCell ref="CX5:CZ5"/>
    <mergeCell ref="DG5:DI5"/>
    <mergeCell ref="DJ5:DL5"/>
    <mergeCell ref="DM5:DO5"/>
    <mergeCell ref="DV5:DX5"/>
    <mergeCell ref="DY5:EA5"/>
    <mergeCell ref="BT5:BV5"/>
    <mergeCell ref="CC5:CE5"/>
    <mergeCell ref="CF5:CH5"/>
    <mergeCell ref="CI5:CK5"/>
    <mergeCell ref="AP5:AR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&amp;CPage &amp;P</oddFooter>
  </headerFooter>
  <rowBreaks count="1" manualBreakCount="1">
    <brk id="29" max="217" man="1"/>
  </rowBreaks>
  <colBreaks count="12" manualBreakCount="12">
    <brk id="17" max="1048575" man="1"/>
    <brk id="32" max="56" man="1"/>
    <brk id="47" max="1048575" man="1"/>
    <brk id="62" max="55" man="1"/>
    <brk id="77" max="55" man="1"/>
    <brk id="92" max="55" man="1"/>
    <brk id="107" max="55" man="1"/>
    <brk id="122" max="55" man="1"/>
    <brk id="182" max="56" man="1"/>
    <brk id="191" max="56" man="1"/>
    <brk id="200" max="56" man="1"/>
    <brk id="209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L53"/>
  <sheetViews>
    <sheetView tabSelected="1" view="pageBreakPreview" zoomScale="85" zoomScaleSheetLayoutView="85" workbookViewId="0">
      <pane xSplit="2" ySplit="8" topLeftCell="CK45" activePane="bottomRight" state="frozen"/>
      <selection pane="topRight" activeCell="C1" sqref="C1"/>
      <selection pane="bottomLeft" activeCell="A9" sqref="A9"/>
      <selection pane="bottomRight" activeCell="CN55" sqref="CN55"/>
    </sheetView>
  </sheetViews>
  <sheetFormatPr defaultRowHeight="15"/>
  <cols>
    <col min="2" max="2" width="33.5703125" customWidth="1"/>
    <col min="3" max="4" width="9.28515625" bestFit="1" customWidth="1"/>
    <col min="5" max="5" width="9.85546875" bestFit="1" customWidth="1"/>
    <col min="6" max="19" width="9.28515625" bestFit="1" customWidth="1"/>
    <col min="23" max="23" width="10.42578125" customWidth="1"/>
    <col min="30" max="30" width="9.5703125" customWidth="1"/>
    <col min="138" max="146" width="0" hidden="1" customWidth="1"/>
    <col min="147" max="147" width="12.28515625" hidden="1" customWidth="1"/>
    <col min="148" max="182" width="0" hidden="1" customWidth="1"/>
    <col min="183" max="209" width="16.5703125" customWidth="1"/>
    <col min="210" max="210" width="11.28515625" hidden="1" customWidth="1"/>
    <col min="211" max="211" width="11.42578125" hidden="1" customWidth="1"/>
    <col min="212" max="212" width="10.85546875" hidden="1" customWidth="1"/>
    <col min="213" max="213" width="10.28515625" hidden="1" customWidth="1"/>
    <col min="214" max="214" width="11.42578125" hidden="1" customWidth="1"/>
    <col min="215" max="215" width="10.140625" hidden="1" customWidth="1"/>
    <col min="216" max="216" width="10.5703125" hidden="1" customWidth="1"/>
    <col min="217" max="217" width="11.42578125" hidden="1" customWidth="1"/>
    <col min="218" max="218" width="10.28515625" hidden="1" customWidth="1"/>
  </cols>
  <sheetData>
    <row r="1" spans="1:218" ht="18">
      <c r="A1" s="121"/>
      <c r="B1" s="125"/>
      <c r="C1" s="595" t="s">
        <v>379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6" t="str">
        <f>C1</f>
        <v>RESULTS OF SECONDARY EXAMINATION- 2018</v>
      </c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 t="str">
        <f>R1</f>
        <v>RESULTS OF SECONDARY EXAMINATION- 2018</v>
      </c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 t="str">
        <f>AG1</f>
        <v>RESULTS OF SECONDARY EXAMINATION- 2018</v>
      </c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 t="str">
        <f>AV1</f>
        <v>RESULTS OF SECONDARY EXAMINATION- 2018</v>
      </c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 t="str">
        <f>BK1</f>
        <v>RESULTS OF SECONDARY EXAMINATION- 2018</v>
      </c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 t="str">
        <f>AG1</f>
        <v>RESULTS OF SECONDARY EXAMINATION- 2018</v>
      </c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6"/>
      <c r="DC1" s="596"/>
      <c r="DD1" s="596" t="str">
        <f>CO1</f>
        <v>RESULTS OF SECONDARY EXAMINATION- 2018</v>
      </c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 t="str">
        <f>DD1</f>
        <v>RESULTS OF SECONDARY EXAMINATION- 2018</v>
      </c>
      <c r="DT1" s="596"/>
      <c r="DU1" s="596"/>
      <c r="DV1" s="596"/>
      <c r="DW1" s="596"/>
      <c r="DX1" s="596"/>
      <c r="DY1" s="596"/>
      <c r="DZ1" s="596"/>
      <c r="EA1" s="596"/>
      <c r="EB1" s="596"/>
      <c r="EC1" s="596"/>
      <c r="ED1" s="596"/>
      <c r="EE1" s="596"/>
      <c r="EF1" s="596"/>
      <c r="EG1" s="596"/>
      <c r="EH1" s="596" t="str">
        <f>BZ1</f>
        <v>RESULTS OF SECONDARY EXAMINATION- 2018</v>
      </c>
      <c r="EI1" s="596"/>
      <c r="EJ1" s="596"/>
      <c r="EK1" s="596"/>
      <c r="EL1" s="596"/>
      <c r="EM1" s="596"/>
      <c r="EN1" s="596"/>
      <c r="EO1" s="596"/>
      <c r="EP1" s="596"/>
      <c r="EQ1" s="596"/>
      <c r="ER1" s="596"/>
      <c r="ES1" s="596"/>
      <c r="ET1" s="596"/>
      <c r="EU1" s="596"/>
      <c r="EV1" s="596"/>
      <c r="EW1" s="596" t="str">
        <f>EH1</f>
        <v>RESULTS OF SECONDARY EXAMINATION- 2018</v>
      </c>
      <c r="EX1" s="596"/>
      <c r="EY1" s="596"/>
      <c r="EZ1" s="596"/>
      <c r="FA1" s="596"/>
      <c r="FB1" s="596"/>
      <c r="FC1" s="596"/>
      <c r="FD1" s="596"/>
      <c r="FE1" s="596"/>
      <c r="FF1" s="596"/>
      <c r="FG1" s="596"/>
      <c r="FH1" s="596"/>
      <c r="FI1" s="596"/>
      <c r="FJ1" s="596"/>
      <c r="FK1" s="596"/>
      <c r="FL1" s="596" t="str">
        <f>EW1</f>
        <v>RESULTS OF SECONDARY EXAMINATION- 2018</v>
      </c>
      <c r="FM1" s="596"/>
      <c r="FN1" s="596"/>
      <c r="FO1" s="596"/>
      <c r="FP1" s="596"/>
      <c r="FQ1" s="596"/>
      <c r="FR1" s="596"/>
      <c r="FS1" s="596"/>
      <c r="FT1" s="596"/>
      <c r="FU1" s="596"/>
      <c r="FV1" s="596"/>
      <c r="FW1" s="596"/>
      <c r="FX1" s="596"/>
      <c r="FY1" s="596"/>
      <c r="FZ1" s="596"/>
      <c r="GA1" s="595" t="str">
        <f>C1</f>
        <v>RESULTS OF SECONDARY EXAMINATION- 2018</v>
      </c>
      <c r="GB1" s="595"/>
      <c r="GC1" s="595"/>
      <c r="GD1" s="595"/>
      <c r="GE1" s="595"/>
      <c r="GF1" s="595"/>
      <c r="GG1" s="595"/>
      <c r="GH1" s="595"/>
      <c r="GI1" s="595"/>
      <c r="GJ1" s="595" t="str">
        <f>C1</f>
        <v>RESULTS OF SECONDARY EXAMINATION- 2018</v>
      </c>
      <c r="GK1" s="595"/>
      <c r="GL1" s="595"/>
      <c r="GM1" s="595"/>
      <c r="GN1" s="595"/>
      <c r="GO1" s="595"/>
      <c r="GP1" s="595"/>
      <c r="GQ1" s="595"/>
      <c r="GR1" s="595"/>
      <c r="GS1" s="595" t="str">
        <f>C1</f>
        <v>RESULTS OF SECONDARY EXAMINATION- 2018</v>
      </c>
      <c r="GT1" s="595"/>
      <c r="GU1" s="595"/>
      <c r="GV1" s="595"/>
      <c r="GW1" s="595"/>
      <c r="GX1" s="595"/>
      <c r="GY1" s="595"/>
      <c r="GZ1" s="595"/>
      <c r="HA1" s="595"/>
      <c r="HB1" s="595" t="str">
        <f>C1</f>
        <v>RESULTS OF SECONDARY EXAMINATION- 2018</v>
      </c>
      <c r="HC1" s="595"/>
      <c r="HD1" s="595"/>
      <c r="HE1" s="595"/>
      <c r="HF1" s="595"/>
      <c r="HG1" s="595"/>
      <c r="HH1" s="595"/>
      <c r="HI1" s="595"/>
      <c r="HJ1" s="595"/>
    </row>
    <row r="2" spans="1:218" ht="38.25" customHeight="1">
      <c r="A2" s="121"/>
      <c r="B2" s="125"/>
      <c r="C2" s="598" t="s">
        <v>436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87" t="s">
        <v>180</v>
      </c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98" t="s">
        <v>181</v>
      </c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 t="s">
        <v>439</v>
      </c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 t="s">
        <v>440</v>
      </c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 t="s">
        <v>441</v>
      </c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 t="s">
        <v>442</v>
      </c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609" t="s">
        <v>186</v>
      </c>
      <c r="DE2" s="609"/>
      <c r="DF2" s="609"/>
      <c r="DG2" s="609"/>
      <c r="DH2" s="609"/>
      <c r="DI2" s="609"/>
      <c r="DJ2" s="609"/>
      <c r="DK2" s="609"/>
      <c r="DL2" s="609"/>
      <c r="DM2" s="609"/>
      <c r="DN2" s="609"/>
      <c r="DO2" s="609"/>
      <c r="DP2" s="609"/>
      <c r="DQ2" s="609"/>
      <c r="DR2" s="609"/>
      <c r="DS2" s="598" t="s">
        <v>443</v>
      </c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598" t="s">
        <v>364</v>
      </c>
      <c r="EI2" s="598"/>
      <c r="EJ2" s="598"/>
      <c r="EK2" s="598"/>
      <c r="EL2" s="598"/>
      <c r="EM2" s="598"/>
      <c r="EN2" s="598"/>
      <c r="EO2" s="598"/>
      <c r="EP2" s="598"/>
      <c r="EQ2" s="598"/>
      <c r="ER2" s="598"/>
      <c r="ES2" s="598"/>
      <c r="ET2" s="598"/>
      <c r="EU2" s="598"/>
      <c r="EV2" s="598"/>
      <c r="EW2" s="598" t="s">
        <v>366</v>
      </c>
      <c r="EX2" s="598"/>
      <c r="EY2" s="598"/>
      <c r="EZ2" s="598"/>
      <c r="FA2" s="598"/>
      <c r="FB2" s="598"/>
      <c r="FC2" s="598"/>
      <c r="FD2" s="598"/>
      <c r="FE2" s="598"/>
      <c r="FF2" s="598"/>
      <c r="FG2" s="598"/>
      <c r="FH2" s="598"/>
      <c r="FI2" s="598"/>
      <c r="FJ2" s="598"/>
      <c r="FK2" s="598"/>
      <c r="FL2" s="598" t="s">
        <v>387</v>
      </c>
      <c r="FM2" s="598"/>
      <c r="FN2" s="598"/>
      <c r="FO2" s="598"/>
      <c r="FP2" s="598"/>
      <c r="FQ2" s="598"/>
      <c r="FR2" s="598"/>
      <c r="FS2" s="598"/>
      <c r="FT2" s="598"/>
      <c r="FU2" s="598"/>
      <c r="FV2" s="598"/>
      <c r="FW2" s="598"/>
      <c r="FX2" s="598"/>
      <c r="FY2" s="598"/>
      <c r="FZ2" s="598"/>
      <c r="GA2" s="587" t="s">
        <v>444</v>
      </c>
      <c r="GB2" s="587"/>
      <c r="GC2" s="587"/>
      <c r="GD2" s="587"/>
      <c r="GE2" s="587"/>
      <c r="GF2" s="587"/>
      <c r="GG2" s="587"/>
      <c r="GH2" s="587"/>
      <c r="GI2" s="587"/>
      <c r="GJ2" s="598" t="s">
        <v>445</v>
      </c>
      <c r="GK2" s="598"/>
      <c r="GL2" s="598"/>
      <c r="GM2" s="598"/>
      <c r="GN2" s="598"/>
      <c r="GO2" s="598"/>
      <c r="GP2" s="598"/>
      <c r="GQ2" s="598"/>
      <c r="GR2" s="598"/>
      <c r="GS2" s="598" t="s">
        <v>446</v>
      </c>
      <c r="GT2" s="598"/>
      <c r="GU2" s="598"/>
      <c r="GV2" s="598"/>
      <c r="GW2" s="598"/>
      <c r="GX2" s="598"/>
      <c r="GY2" s="598"/>
      <c r="GZ2" s="598"/>
      <c r="HA2" s="598"/>
      <c r="HB2" s="598" t="s">
        <v>365</v>
      </c>
      <c r="HC2" s="598"/>
      <c r="HD2" s="598"/>
      <c r="HE2" s="598"/>
      <c r="HF2" s="598"/>
      <c r="HG2" s="598"/>
      <c r="HH2" s="598"/>
      <c r="HI2" s="598"/>
      <c r="HJ2" s="598"/>
    </row>
    <row r="3" spans="1:218">
      <c r="A3" s="604" t="s">
        <v>192</v>
      </c>
      <c r="B3" s="605" t="s">
        <v>42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1" t="s">
        <v>189</v>
      </c>
      <c r="P3" s="601"/>
      <c r="Q3" s="601"/>
      <c r="R3" s="600" t="s">
        <v>188</v>
      </c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1" t="s">
        <v>189</v>
      </c>
      <c r="AE3" s="601"/>
      <c r="AF3" s="601"/>
      <c r="AG3" s="600" t="s">
        <v>188</v>
      </c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1" t="s">
        <v>189</v>
      </c>
      <c r="AT3" s="601"/>
      <c r="AU3" s="601"/>
      <c r="AV3" s="600" t="s">
        <v>188</v>
      </c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1" t="s">
        <v>189</v>
      </c>
      <c r="BI3" s="601"/>
      <c r="BJ3" s="601"/>
      <c r="BK3" s="600" t="s">
        <v>188</v>
      </c>
      <c r="BL3" s="600"/>
      <c r="BM3" s="600"/>
      <c r="BN3" s="600"/>
      <c r="BO3" s="600"/>
      <c r="BP3" s="600"/>
      <c r="BQ3" s="600"/>
      <c r="BR3" s="600"/>
      <c r="BS3" s="600"/>
      <c r="BT3" s="600"/>
      <c r="BU3" s="600"/>
      <c r="BV3" s="600"/>
      <c r="BW3" s="601" t="s">
        <v>189</v>
      </c>
      <c r="BX3" s="601"/>
      <c r="BY3" s="601"/>
      <c r="BZ3" s="600" t="s">
        <v>188</v>
      </c>
      <c r="CA3" s="600"/>
      <c r="CB3" s="600"/>
      <c r="CC3" s="600"/>
      <c r="CD3" s="600"/>
      <c r="CE3" s="600"/>
      <c r="CF3" s="600"/>
      <c r="CG3" s="600"/>
      <c r="CH3" s="600"/>
      <c r="CI3" s="600"/>
      <c r="CJ3" s="600"/>
      <c r="CK3" s="600"/>
      <c r="CL3" s="601" t="s">
        <v>189</v>
      </c>
      <c r="CM3" s="601"/>
      <c r="CN3" s="601"/>
      <c r="CO3" s="600" t="s">
        <v>188</v>
      </c>
      <c r="CP3" s="600"/>
      <c r="CQ3" s="600"/>
      <c r="CR3" s="600"/>
      <c r="CS3" s="600"/>
      <c r="CT3" s="600"/>
      <c r="CU3" s="600"/>
      <c r="CV3" s="600"/>
      <c r="CW3" s="600"/>
      <c r="CX3" s="600"/>
      <c r="CY3" s="600"/>
      <c r="CZ3" s="600"/>
      <c r="DA3" s="601" t="s">
        <v>189</v>
      </c>
      <c r="DB3" s="601"/>
      <c r="DC3" s="601"/>
      <c r="DD3" s="600" t="s">
        <v>188</v>
      </c>
      <c r="DE3" s="600"/>
      <c r="DF3" s="600"/>
      <c r="DG3" s="600"/>
      <c r="DH3" s="600"/>
      <c r="DI3" s="600"/>
      <c r="DJ3" s="600"/>
      <c r="DK3" s="600"/>
      <c r="DL3" s="600"/>
      <c r="DM3" s="600"/>
      <c r="DN3" s="600"/>
      <c r="DO3" s="600"/>
      <c r="DP3" s="601" t="s">
        <v>189</v>
      </c>
      <c r="DQ3" s="601"/>
      <c r="DR3" s="601"/>
      <c r="DS3" s="600" t="s">
        <v>188</v>
      </c>
      <c r="DT3" s="600"/>
      <c r="DU3" s="600"/>
      <c r="DV3" s="600"/>
      <c r="DW3" s="600"/>
      <c r="DX3" s="600"/>
      <c r="DY3" s="600"/>
      <c r="DZ3" s="600"/>
      <c r="EA3" s="600"/>
      <c r="EB3" s="600"/>
      <c r="EC3" s="600"/>
      <c r="ED3" s="600"/>
      <c r="EE3" s="601" t="s">
        <v>189</v>
      </c>
      <c r="EF3" s="601"/>
      <c r="EG3" s="601"/>
      <c r="EH3" s="600" t="s">
        <v>188</v>
      </c>
      <c r="EI3" s="600"/>
      <c r="EJ3" s="600"/>
      <c r="EK3" s="600"/>
      <c r="EL3" s="600"/>
      <c r="EM3" s="600"/>
      <c r="EN3" s="600"/>
      <c r="EO3" s="600"/>
      <c r="EP3" s="600"/>
      <c r="EQ3" s="600"/>
      <c r="ER3" s="600"/>
      <c r="ES3" s="600"/>
      <c r="ET3" s="601" t="s">
        <v>189</v>
      </c>
      <c r="EU3" s="601"/>
      <c r="EV3" s="601"/>
      <c r="EW3" s="600" t="s">
        <v>188</v>
      </c>
      <c r="EX3" s="600"/>
      <c r="EY3" s="600"/>
      <c r="EZ3" s="600"/>
      <c r="FA3" s="600"/>
      <c r="FB3" s="600"/>
      <c r="FC3" s="600"/>
      <c r="FD3" s="600"/>
      <c r="FE3" s="600"/>
      <c r="FF3" s="600"/>
      <c r="FG3" s="600"/>
      <c r="FH3" s="600"/>
      <c r="FI3" s="601" t="s">
        <v>189</v>
      </c>
      <c r="FJ3" s="601"/>
      <c r="FK3" s="601"/>
      <c r="FL3" s="600" t="s">
        <v>188</v>
      </c>
      <c r="FM3" s="600"/>
      <c r="FN3" s="600"/>
      <c r="FO3" s="600"/>
      <c r="FP3" s="600"/>
      <c r="FQ3" s="600"/>
      <c r="FR3" s="600"/>
      <c r="FS3" s="600"/>
      <c r="FT3" s="600"/>
      <c r="FU3" s="600"/>
      <c r="FV3" s="600"/>
      <c r="FW3" s="600"/>
      <c r="FX3" s="601" t="s">
        <v>189</v>
      </c>
      <c r="FY3" s="601"/>
      <c r="FZ3" s="601"/>
      <c r="GA3" s="599" t="s">
        <v>193</v>
      </c>
      <c r="GB3" s="599"/>
      <c r="GC3" s="599"/>
      <c r="GD3" s="599" t="s">
        <v>194</v>
      </c>
      <c r="GE3" s="599"/>
      <c r="GF3" s="599"/>
      <c r="GG3" s="599" t="s">
        <v>195</v>
      </c>
      <c r="GH3" s="599"/>
      <c r="GI3" s="599"/>
      <c r="GJ3" s="599" t="s">
        <v>193</v>
      </c>
      <c r="GK3" s="599"/>
      <c r="GL3" s="599"/>
      <c r="GM3" s="599" t="s">
        <v>194</v>
      </c>
      <c r="GN3" s="599"/>
      <c r="GO3" s="599"/>
      <c r="GP3" s="599" t="s">
        <v>195</v>
      </c>
      <c r="GQ3" s="599"/>
      <c r="GR3" s="599"/>
      <c r="GS3" s="599" t="s">
        <v>193</v>
      </c>
      <c r="GT3" s="599"/>
      <c r="GU3" s="599"/>
      <c r="GV3" s="599" t="s">
        <v>194</v>
      </c>
      <c r="GW3" s="599"/>
      <c r="GX3" s="599"/>
      <c r="GY3" s="599" t="s">
        <v>195</v>
      </c>
      <c r="GZ3" s="599"/>
      <c r="HA3" s="599"/>
      <c r="HB3" s="599" t="s">
        <v>193</v>
      </c>
      <c r="HC3" s="599"/>
      <c r="HD3" s="599"/>
      <c r="HE3" s="599" t="s">
        <v>194</v>
      </c>
      <c r="HF3" s="599"/>
      <c r="HG3" s="599"/>
      <c r="HH3" s="599" t="s">
        <v>195</v>
      </c>
      <c r="HI3" s="599"/>
      <c r="HJ3" s="599"/>
    </row>
    <row r="4" spans="1:218">
      <c r="A4" s="604"/>
      <c r="B4" s="605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1"/>
      <c r="P4" s="601"/>
      <c r="Q4" s="601"/>
      <c r="R4" s="600" t="s">
        <v>5</v>
      </c>
      <c r="S4" s="600"/>
      <c r="T4" s="600"/>
      <c r="U4" s="600" t="s">
        <v>6</v>
      </c>
      <c r="V4" s="600"/>
      <c r="W4" s="600"/>
      <c r="X4" s="600"/>
      <c r="Y4" s="600"/>
      <c r="Z4" s="600"/>
      <c r="AA4" s="600"/>
      <c r="AB4" s="600"/>
      <c r="AC4" s="600"/>
      <c r="AD4" s="601"/>
      <c r="AE4" s="601"/>
      <c r="AF4" s="601"/>
      <c r="AG4" s="600" t="s">
        <v>5</v>
      </c>
      <c r="AH4" s="600"/>
      <c r="AI4" s="600"/>
      <c r="AJ4" s="600" t="s">
        <v>6</v>
      </c>
      <c r="AK4" s="600"/>
      <c r="AL4" s="600"/>
      <c r="AM4" s="600"/>
      <c r="AN4" s="600"/>
      <c r="AO4" s="600"/>
      <c r="AP4" s="600"/>
      <c r="AQ4" s="600"/>
      <c r="AR4" s="600"/>
      <c r="AS4" s="601"/>
      <c r="AT4" s="601"/>
      <c r="AU4" s="601"/>
      <c r="AV4" s="600" t="s">
        <v>5</v>
      </c>
      <c r="AW4" s="600"/>
      <c r="AX4" s="600"/>
      <c r="AY4" s="600" t="s">
        <v>6</v>
      </c>
      <c r="AZ4" s="600"/>
      <c r="BA4" s="600"/>
      <c r="BB4" s="600"/>
      <c r="BC4" s="600"/>
      <c r="BD4" s="600"/>
      <c r="BE4" s="600"/>
      <c r="BF4" s="600"/>
      <c r="BG4" s="600"/>
      <c r="BH4" s="601"/>
      <c r="BI4" s="601"/>
      <c r="BJ4" s="601"/>
      <c r="BK4" s="600" t="s">
        <v>5</v>
      </c>
      <c r="BL4" s="600"/>
      <c r="BM4" s="600"/>
      <c r="BN4" s="600" t="s">
        <v>6</v>
      </c>
      <c r="BO4" s="600"/>
      <c r="BP4" s="600"/>
      <c r="BQ4" s="600"/>
      <c r="BR4" s="600"/>
      <c r="BS4" s="600"/>
      <c r="BT4" s="600"/>
      <c r="BU4" s="600"/>
      <c r="BV4" s="600"/>
      <c r="BW4" s="601"/>
      <c r="BX4" s="601"/>
      <c r="BY4" s="601"/>
      <c r="BZ4" s="600" t="s">
        <v>5</v>
      </c>
      <c r="CA4" s="600"/>
      <c r="CB4" s="600"/>
      <c r="CC4" s="600" t="s">
        <v>6</v>
      </c>
      <c r="CD4" s="600"/>
      <c r="CE4" s="600"/>
      <c r="CF4" s="600"/>
      <c r="CG4" s="600"/>
      <c r="CH4" s="600"/>
      <c r="CI4" s="600"/>
      <c r="CJ4" s="600"/>
      <c r="CK4" s="600"/>
      <c r="CL4" s="601"/>
      <c r="CM4" s="601"/>
      <c r="CN4" s="601"/>
      <c r="CO4" s="600" t="s">
        <v>5</v>
      </c>
      <c r="CP4" s="600"/>
      <c r="CQ4" s="600"/>
      <c r="CR4" s="600" t="s">
        <v>6</v>
      </c>
      <c r="CS4" s="600"/>
      <c r="CT4" s="600"/>
      <c r="CU4" s="600"/>
      <c r="CV4" s="600"/>
      <c r="CW4" s="600"/>
      <c r="CX4" s="600"/>
      <c r="CY4" s="600"/>
      <c r="CZ4" s="600"/>
      <c r="DA4" s="601"/>
      <c r="DB4" s="601"/>
      <c r="DC4" s="601"/>
      <c r="DD4" s="600" t="s">
        <v>5</v>
      </c>
      <c r="DE4" s="600"/>
      <c r="DF4" s="600"/>
      <c r="DG4" s="600" t="s">
        <v>6</v>
      </c>
      <c r="DH4" s="600"/>
      <c r="DI4" s="600"/>
      <c r="DJ4" s="600"/>
      <c r="DK4" s="600"/>
      <c r="DL4" s="600"/>
      <c r="DM4" s="600"/>
      <c r="DN4" s="600"/>
      <c r="DO4" s="600"/>
      <c r="DP4" s="601"/>
      <c r="DQ4" s="601"/>
      <c r="DR4" s="601"/>
      <c r="DS4" s="600" t="s">
        <v>5</v>
      </c>
      <c r="DT4" s="600"/>
      <c r="DU4" s="600"/>
      <c r="DV4" s="600" t="s">
        <v>6</v>
      </c>
      <c r="DW4" s="600"/>
      <c r="DX4" s="600"/>
      <c r="DY4" s="600"/>
      <c r="DZ4" s="600"/>
      <c r="EA4" s="600"/>
      <c r="EB4" s="600"/>
      <c r="EC4" s="600"/>
      <c r="ED4" s="600"/>
      <c r="EE4" s="601"/>
      <c r="EF4" s="601"/>
      <c r="EG4" s="601"/>
      <c r="EH4" s="600" t="s">
        <v>5</v>
      </c>
      <c r="EI4" s="600"/>
      <c r="EJ4" s="600"/>
      <c r="EK4" s="600" t="s">
        <v>6</v>
      </c>
      <c r="EL4" s="600"/>
      <c r="EM4" s="600"/>
      <c r="EN4" s="600"/>
      <c r="EO4" s="600"/>
      <c r="EP4" s="600"/>
      <c r="EQ4" s="600"/>
      <c r="ER4" s="600"/>
      <c r="ES4" s="600"/>
      <c r="ET4" s="601"/>
      <c r="EU4" s="601"/>
      <c r="EV4" s="601"/>
      <c r="EW4" s="600" t="s">
        <v>5</v>
      </c>
      <c r="EX4" s="600"/>
      <c r="EY4" s="600"/>
      <c r="EZ4" s="600" t="s">
        <v>6</v>
      </c>
      <c r="FA4" s="600"/>
      <c r="FB4" s="600"/>
      <c r="FC4" s="600"/>
      <c r="FD4" s="600"/>
      <c r="FE4" s="600"/>
      <c r="FF4" s="600"/>
      <c r="FG4" s="600"/>
      <c r="FH4" s="600"/>
      <c r="FI4" s="601"/>
      <c r="FJ4" s="601"/>
      <c r="FK4" s="601"/>
      <c r="FL4" s="600" t="s">
        <v>5</v>
      </c>
      <c r="FM4" s="600"/>
      <c r="FN4" s="600"/>
      <c r="FO4" s="600" t="s">
        <v>6</v>
      </c>
      <c r="FP4" s="600"/>
      <c r="FQ4" s="600"/>
      <c r="FR4" s="600"/>
      <c r="FS4" s="600"/>
      <c r="FT4" s="600"/>
      <c r="FU4" s="600"/>
      <c r="FV4" s="600"/>
      <c r="FW4" s="600"/>
      <c r="FX4" s="601"/>
      <c r="FY4" s="601"/>
      <c r="FZ4" s="601"/>
      <c r="GA4" s="599"/>
      <c r="GB4" s="599"/>
      <c r="GC4" s="599"/>
      <c r="GD4" s="599"/>
      <c r="GE4" s="599"/>
      <c r="GF4" s="599"/>
      <c r="GG4" s="599"/>
      <c r="GH4" s="599"/>
      <c r="GI4" s="599"/>
      <c r="GJ4" s="599"/>
      <c r="GK4" s="599"/>
      <c r="GL4" s="599"/>
      <c r="GM4" s="599"/>
      <c r="GN4" s="599"/>
      <c r="GO4" s="599"/>
      <c r="GP4" s="599"/>
      <c r="GQ4" s="599"/>
      <c r="GR4" s="599"/>
      <c r="GS4" s="599"/>
      <c r="GT4" s="599"/>
      <c r="GU4" s="599"/>
      <c r="GV4" s="599"/>
      <c r="GW4" s="599"/>
      <c r="GX4" s="599"/>
      <c r="GY4" s="599"/>
      <c r="GZ4" s="599"/>
      <c r="HA4" s="599"/>
      <c r="HB4" s="599"/>
      <c r="HC4" s="599"/>
      <c r="HD4" s="599"/>
      <c r="HE4" s="599"/>
      <c r="HF4" s="599"/>
      <c r="HG4" s="599"/>
      <c r="HH4" s="599"/>
      <c r="HI4" s="599"/>
      <c r="HJ4" s="599"/>
    </row>
    <row r="5" spans="1:218">
      <c r="A5" s="604"/>
      <c r="B5" s="605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191</v>
      </c>
      <c r="M5" s="600"/>
      <c r="N5" s="600"/>
      <c r="O5" s="601"/>
      <c r="P5" s="601"/>
      <c r="Q5" s="601"/>
      <c r="R5" s="600"/>
      <c r="S5" s="600"/>
      <c r="T5" s="600"/>
      <c r="U5" s="600" t="s">
        <v>51</v>
      </c>
      <c r="V5" s="600"/>
      <c r="W5" s="600"/>
      <c r="X5" s="600" t="s">
        <v>190</v>
      </c>
      <c r="Y5" s="600"/>
      <c r="Z5" s="600"/>
      <c r="AA5" s="600" t="s">
        <v>191</v>
      </c>
      <c r="AB5" s="600"/>
      <c r="AC5" s="600"/>
      <c r="AD5" s="601"/>
      <c r="AE5" s="601"/>
      <c r="AF5" s="601"/>
      <c r="AG5" s="600"/>
      <c r="AH5" s="600"/>
      <c r="AI5" s="600"/>
      <c r="AJ5" s="600" t="s">
        <v>51</v>
      </c>
      <c r="AK5" s="600"/>
      <c r="AL5" s="600"/>
      <c r="AM5" s="600" t="s">
        <v>190</v>
      </c>
      <c r="AN5" s="600"/>
      <c r="AO5" s="600"/>
      <c r="AP5" s="600" t="s">
        <v>191</v>
      </c>
      <c r="AQ5" s="600"/>
      <c r="AR5" s="600"/>
      <c r="AS5" s="601"/>
      <c r="AT5" s="601"/>
      <c r="AU5" s="601"/>
      <c r="AV5" s="600"/>
      <c r="AW5" s="600"/>
      <c r="AX5" s="600"/>
      <c r="AY5" s="600" t="s">
        <v>51</v>
      </c>
      <c r="AZ5" s="600"/>
      <c r="BA5" s="600"/>
      <c r="BB5" s="600" t="s">
        <v>190</v>
      </c>
      <c r="BC5" s="600"/>
      <c r="BD5" s="600"/>
      <c r="BE5" s="600" t="s">
        <v>191</v>
      </c>
      <c r="BF5" s="600"/>
      <c r="BG5" s="600"/>
      <c r="BH5" s="601"/>
      <c r="BI5" s="601"/>
      <c r="BJ5" s="601"/>
      <c r="BK5" s="600"/>
      <c r="BL5" s="600"/>
      <c r="BM5" s="600"/>
      <c r="BN5" s="600" t="s">
        <v>51</v>
      </c>
      <c r="BO5" s="600"/>
      <c r="BP5" s="600"/>
      <c r="BQ5" s="600" t="s">
        <v>190</v>
      </c>
      <c r="BR5" s="600"/>
      <c r="BS5" s="600"/>
      <c r="BT5" s="600" t="s">
        <v>191</v>
      </c>
      <c r="BU5" s="600"/>
      <c r="BV5" s="600"/>
      <c r="BW5" s="601"/>
      <c r="BX5" s="601"/>
      <c r="BY5" s="601"/>
      <c r="BZ5" s="600"/>
      <c r="CA5" s="600"/>
      <c r="CB5" s="600"/>
      <c r="CC5" s="600" t="s">
        <v>51</v>
      </c>
      <c r="CD5" s="600"/>
      <c r="CE5" s="600"/>
      <c r="CF5" s="600" t="s">
        <v>190</v>
      </c>
      <c r="CG5" s="600"/>
      <c r="CH5" s="600"/>
      <c r="CI5" s="600" t="s">
        <v>191</v>
      </c>
      <c r="CJ5" s="600"/>
      <c r="CK5" s="600"/>
      <c r="CL5" s="601"/>
      <c r="CM5" s="601"/>
      <c r="CN5" s="601"/>
      <c r="CO5" s="600"/>
      <c r="CP5" s="600"/>
      <c r="CQ5" s="600"/>
      <c r="CR5" s="600" t="s">
        <v>51</v>
      </c>
      <c r="CS5" s="600"/>
      <c r="CT5" s="600"/>
      <c r="CU5" s="600" t="s">
        <v>190</v>
      </c>
      <c r="CV5" s="600"/>
      <c r="CW5" s="600"/>
      <c r="CX5" s="600" t="s">
        <v>191</v>
      </c>
      <c r="CY5" s="600"/>
      <c r="CZ5" s="600"/>
      <c r="DA5" s="601"/>
      <c r="DB5" s="601"/>
      <c r="DC5" s="601"/>
      <c r="DD5" s="600"/>
      <c r="DE5" s="600"/>
      <c r="DF5" s="600"/>
      <c r="DG5" s="600" t="s">
        <v>51</v>
      </c>
      <c r="DH5" s="600"/>
      <c r="DI5" s="600"/>
      <c r="DJ5" s="600" t="s">
        <v>190</v>
      </c>
      <c r="DK5" s="600"/>
      <c r="DL5" s="600"/>
      <c r="DM5" s="600" t="s">
        <v>191</v>
      </c>
      <c r="DN5" s="600"/>
      <c r="DO5" s="600"/>
      <c r="DP5" s="601"/>
      <c r="DQ5" s="601"/>
      <c r="DR5" s="601"/>
      <c r="DS5" s="600"/>
      <c r="DT5" s="600"/>
      <c r="DU5" s="600"/>
      <c r="DV5" s="600" t="s">
        <v>51</v>
      </c>
      <c r="DW5" s="600"/>
      <c r="DX5" s="600"/>
      <c r="DY5" s="600" t="s">
        <v>190</v>
      </c>
      <c r="DZ5" s="600"/>
      <c r="EA5" s="600"/>
      <c r="EB5" s="600" t="s">
        <v>191</v>
      </c>
      <c r="EC5" s="600"/>
      <c r="ED5" s="600"/>
      <c r="EE5" s="601"/>
      <c r="EF5" s="601"/>
      <c r="EG5" s="601"/>
      <c r="EH5" s="600"/>
      <c r="EI5" s="600"/>
      <c r="EJ5" s="600"/>
      <c r="EK5" s="600" t="s">
        <v>51</v>
      </c>
      <c r="EL5" s="600"/>
      <c r="EM5" s="600"/>
      <c r="EN5" s="600" t="s">
        <v>190</v>
      </c>
      <c r="EO5" s="600"/>
      <c r="EP5" s="600"/>
      <c r="EQ5" s="600" t="s">
        <v>191</v>
      </c>
      <c r="ER5" s="600"/>
      <c r="ES5" s="600"/>
      <c r="ET5" s="601"/>
      <c r="EU5" s="601"/>
      <c r="EV5" s="601"/>
      <c r="EW5" s="600"/>
      <c r="EX5" s="600"/>
      <c r="EY5" s="600"/>
      <c r="EZ5" s="600" t="s">
        <v>51</v>
      </c>
      <c r="FA5" s="600"/>
      <c r="FB5" s="600"/>
      <c r="FC5" s="600" t="s">
        <v>190</v>
      </c>
      <c r="FD5" s="600"/>
      <c r="FE5" s="600"/>
      <c r="FF5" s="600" t="s">
        <v>191</v>
      </c>
      <c r="FG5" s="600"/>
      <c r="FH5" s="600"/>
      <c r="FI5" s="601"/>
      <c r="FJ5" s="601"/>
      <c r="FK5" s="601"/>
      <c r="FL5" s="600"/>
      <c r="FM5" s="600"/>
      <c r="FN5" s="600"/>
      <c r="FO5" s="600" t="s">
        <v>51</v>
      </c>
      <c r="FP5" s="600"/>
      <c r="FQ5" s="600"/>
      <c r="FR5" s="600" t="s">
        <v>190</v>
      </c>
      <c r="FS5" s="600"/>
      <c r="FT5" s="600"/>
      <c r="FU5" s="600" t="s">
        <v>191</v>
      </c>
      <c r="FV5" s="600"/>
      <c r="FW5" s="600"/>
      <c r="FX5" s="601"/>
      <c r="FY5" s="601"/>
      <c r="FZ5" s="601"/>
      <c r="GA5" s="599"/>
      <c r="GB5" s="599"/>
      <c r="GC5" s="599"/>
      <c r="GD5" s="599" t="s">
        <v>196</v>
      </c>
      <c r="GE5" s="599"/>
      <c r="GF5" s="599"/>
      <c r="GG5" s="599" t="s">
        <v>196</v>
      </c>
      <c r="GH5" s="599"/>
      <c r="GI5" s="599"/>
      <c r="GJ5" s="599"/>
      <c r="GK5" s="599"/>
      <c r="GL5" s="599"/>
      <c r="GM5" s="599" t="s">
        <v>196</v>
      </c>
      <c r="GN5" s="599"/>
      <c r="GO5" s="599"/>
      <c r="GP5" s="599" t="s">
        <v>196</v>
      </c>
      <c r="GQ5" s="599"/>
      <c r="GR5" s="599"/>
      <c r="GS5" s="599"/>
      <c r="GT5" s="599"/>
      <c r="GU5" s="599"/>
      <c r="GV5" s="599" t="s">
        <v>196</v>
      </c>
      <c r="GW5" s="599"/>
      <c r="GX5" s="599"/>
      <c r="GY5" s="599" t="s">
        <v>196</v>
      </c>
      <c r="GZ5" s="599"/>
      <c r="HA5" s="599"/>
      <c r="HB5" s="599"/>
      <c r="HC5" s="599"/>
      <c r="HD5" s="599"/>
      <c r="HE5" s="599" t="s">
        <v>196</v>
      </c>
      <c r="HF5" s="599"/>
      <c r="HG5" s="599"/>
      <c r="HH5" s="599" t="s">
        <v>196</v>
      </c>
      <c r="HI5" s="599"/>
      <c r="HJ5" s="599"/>
    </row>
    <row r="6" spans="1:218">
      <c r="A6" s="604"/>
      <c r="B6" s="605"/>
      <c r="C6" s="374" t="s">
        <v>43</v>
      </c>
      <c r="D6" s="374" t="s">
        <v>44</v>
      </c>
      <c r="E6" s="374" t="s">
        <v>3</v>
      </c>
      <c r="F6" s="374" t="s">
        <v>43</v>
      </c>
      <c r="G6" s="374" t="s">
        <v>44</v>
      </c>
      <c r="H6" s="374" t="s">
        <v>3</v>
      </c>
      <c r="I6" s="374" t="s">
        <v>43</v>
      </c>
      <c r="J6" s="374" t="s">
        <v>44</v>
      </c>
      <c r="K6" s="374" t="s">
        <v>3</v>
      </c>
      <c r="L6" s="374" t="s">
        <v>43</v>
      </c>
      <c r="M6" s="374" t="s">
        <v>44</v>
      </c>
      <c r="N6" s="374" t="s">
        <v>3</v>
      </c>
      <c r="O6" s="375" t="s">
        <v>43</v>
      </c>
      <c r="P6" s="375" t="s">
        <v>44</v>
      </c>
      <c r="Q6" s="375" t="s">
        <v>3</v>
      </c>
      <c r="R6" s="374" t="s">
        <v>43</v>
      </c>
      <c r="S6" s="374" t="s">
        <v>44</v>
      </c>
      <c r="T6" s="374" t="s">
        <v>3</v>
      </c>
      <c r="U6" s="374" t="s">
        <v>43</v>
      </c>
      <c r="V6" s="374" t="s">
        <v>44</v>
      </c>
      <c r="W6" s="374" t="s">
        <v>3</v>
      </c>
      <c r="X6" s="374" t="s">
        <v>43</v>
      </c>
      <c r="Y6" s="374" t="s">
        <v>44</v>
      </c>
      <c r="Z6" s="374" t="s">
        <v>3</v>
      </c>
      <c r="AA6" s="374" t="s">
        <v>43</v>
      </c>
      <c r="AB6" s="374" t="s">
        <v>44</v>
      </c>
      <c r="AC6" s="374" t="s">
        <v>3</v>
      </c>
      <c r="AD6" s="375" t="s">
        <v>43</v>
      </c>
      <c r="AE6" s="375" t="s">
        <v>44</v>
      </c>
      <c r="AF6" s="375" t="s">
        <v>3</v>
      </c>
      <c r="AG6" s="374" t="s">
        <v>43</v>
      </c>
      <c r="AH6" s="374" t="s">
        <v>44</v>
      </c>
      <c r="AI6" s="374" t="s">
        <v>3</v>
      </c>
      <c r="AJ6" s="374" t="s">
        <v>43</v>
      </c>
      <c r="AK6" s="374" t="s">
        <v>44</v>
      </c>
      <c r="AL6" s="374" t="s">
        <v>3</v>
      </c>
      <c r="AM6" s="374" t="s">
        <v>43</v>
      </c>
      <c r="AN6" s="374" t="s">
        <v>44</v>
      </c>
      <c r="AO6" s="374" t="s">
        <v>3</v>
      </c>
      <c r="AP6" s="374" t="s">
        <v>43</v>
      </c>
      <c r="AQ6" s="374" t="s">
        <v>44</v>
      </c>
      <c r="AR6" s="374" t="s">
        <v>3</v>
      </c>
      <c r="AS6" s="375" t="s">
        <v>43</v>
      </c>
      <c r="AT6" s="375" t="s">
        <v>44</v>
      </c>
      <c r="AU6" s="375" t="s">
        <v>3</v>
      </c>
      <c r="AV6" s="374" t="s">
        <v>43</v>
      </c>
      <c r="AW6" s="374" t="s">
        <v>44</v>
      </c>
      <c r="AX6" s="374" t="s">
        <v>3</v>
      </c>
      <c r="AY6" s="374" t="s">
        <v>43</v>
      </c>
      <c r="AZ6" s="374" t="s">
        <v>44</v>
      </c>
      <c r="BA6" s="374" t="s">
        <v>3</v>
      </c>
      <c r="BB6" s="374" t="s">
        <v>43</v>
      </c>
      <c r="BC6" s="374" t="s">
        <v>44</v>
      </c>
      <c r="BD6" s="374" t="s">
        <v>3</v>
      </c>
      <c r="BE6" s="374" t="s">
        <v>43</v>
      </c>
      <c r="BF6" s="374" t="s">
        <v>44</v>
      </c>
      <c r="BG6" s="374" t="s">
        <v>3</v>
      </c>
      <c r="BH6" s="375" t="s">
        <v>43</v>
      </c>
      <c r="BI6" s="375" t="s">
        <v>44</v>
      </c>
      <c r="BJ6" s="375" t="s">
        <v>3</v>
      </c>
      <c r="BK6" s="374" t="s">
        <v>43</v>
      </c>
      <c r="BL6" s="374" t="s">
        <v>44</v>
      </c>
      <c r="BM6" s="374" t="s">
        <v>3</v>
      </c>
      <c r="BN6" s="374" t="s">
        <v>43</v>
      </c>
      <c r="BO6" s="374" t="s">
        <v>44</v>
      </c>
      <c r="BP6" s="374" t="s">
        <v>3</v>
      </c>
      <c r="BQ6" s="374" t="s">
        <v>43</v>
      </c>
      <c r="BR6" s="374" t="s">
        <v>44</v>
      </c>
      <c r="BS6" s="374" t="s">
        <v>3</v>
      </c>
      <c r="BT6" s="374" t="s">
        <v>43</v>
      </c>
      <c r="BU6" s="374" t="s">
        <v>44</v>
      </c>
      <c r="BV6" s="374" t="s">
        <v>3</v>
      </c>
      <c r="BW6" s="375" t="s">
        <v>43</v>
      </c>
      <c r="BX6" s="375" t="s">
        <v>44</v>
      </c>
      <c r="BY6" s="375" t="s">
        <v>3</v>
      </c>
      <c r="BZ6" s="374" t="s">
        <v>43</v>
      </c>
      <c r="CA6" s="374" t="s">
        <v>44</v>
      </c>
      <c r="CB6" s="374" t="s">
        <v>3</v>
      </c>
      <c r="CC6" s="374" t="s">
        <v>43</v>
      </c>
      <c r="CD6" s="374" t="s">
        <v>44</v>
      </c>
      <c r="CE6" s="374" t="s">
        <v>3</v>
      </c>
      <c r="CF6" s="374" t="s">
        <v>43</v>
      </c>
      <c r="CG6" s="374" t="s">
        <v>44</v>
      </c>
      <c r="CH6" s="374" t="s">
        <v>3</v>
      </c>
      <c r="CI6" s="374" t="s">
        <v>43</v>
      </c>
      <c r="CJ6" s="374" t="s">
        <v>44</v>
      </c>
      <c r="CK6" s="374" t="s">
        <v>3</v>
      </c>
      <c r="CL6" s="375" t="s">
        <v>43</v>
      </c>
      <c r="CM6" s="375" t="s">
        <v>44</v>
      </c>
      <c r="CN6" s="375" t="s">
        <v>3</v>
      </c>
      <c r="CO6" s="374" t="s">
        <v>43</v>
      </c>
      <c r="CP6" s="374" t="s">
        <v>44</v>
      </c>
      <c r="CQ6" s="374" t="s">
        <v>3</v>
      </c>
      <c r="CR6" s="374" t="s">
        <v>43</v>
      </c>
      <c r="CS6" s="374" t="s">
        <v>44</v>
      </c>
      <c r="CT6" s="374" t="s">
        <v>3</v>
      </c>
      <c r="CU6" s="374" t="s">
        <v>43</v>
      </c>
      <c r="CV6" s="374" t="s">
        <v>44</v>
      </c>
      <c r="CW6" s="374" t="s">
        <v>3</v>
      </c>
      <c r="CX6" s="374" t="s">
        <v>43</v>
      </c>
      <c r="CY6" s="374" t="s">
        <v>44</v>
      </c>
      <c r="CZ6" s="374" t="s">
        <v>3</v>
      </c>
      <c r="DA6" s="375" t="s">
        <v>43</v>
      </c>
      <c r="DB6" s="375" t="s">
        <v>44</v>
      </c>
      <c r="DC6" s="375" t="s">
        <v>3</v>
      </c>
      <c r="DD6" s="374" t="s">
        <v>43</v>
      </c>
      <c r="DE6" s="374" t="s">
        <v>44</v>
      </c>
      <c r="DF6" s="374" t="s">
        <v>3</v>
      </c>
      <c r="DG6" s="374" t="s">
        <v>43</v>
      </c>
      <c r="DH6" s="374" t="s">
        <v>44</v>
      </c>
      <c r="DI6" s="374" t="s">
        <v>3</v>
      </c>
      <c r="DJ6" s="374" t="s">
        <v>43</v>
      </c>
      <c r="DK6" s="374" t="s">
        <v>44</v>
      </c>
      <c r="DL6" s="374" t="s">
        <v>3</v>
      </c>
      <c r="DM6" s="374" t="s">
        <v>43</v>
      </c>
      <c r="DN6" s="374" t="s">
        <v>44</v>
      </c>
      <c r="DO6" s="374" t="s">
        <v>3</v>
      </c>
      <c r="DP6" s="375" t="s">
        <v>43</v>
      </c>
      <c r="DQ6" s="375" t="s">
        <v>44</v>
      </c>
      <c r="DR6" s="375" t="s">
        <v>3</v>
      </c>
      <c r="DS6" s="374" t="s">
        <v>43</v>
      </c>
      <c r="DT6" s="374" t="s">
        <v>44</v>
      </c>
      <c r="DU6" s="374" t="s">
        <v>3</v>
      </c>
      <c r="DV6" s="374" t="s">
        <v>43</v>
      </c>
      <c r="DW6" s="374" t="s">
        <v>44</v>
      </c>
      <c r="DX6" s="374" t="s">
        <v>3</v>
      </c>
      <c r="DY6" s="374" t="s">
        <v>43</v>
      </c>
      <c r="DZ6" s="374" t="s">
        <v>44</v>
      </c>
      <c r="EA6" s="374" t="s">
        <v>3</v>
      </c>
      <c r="EB6" s="374" t="s">
        <v>43</v>
      </c>
      <c r="EC6" s="374" t="s">
        <v>44</v>
      </c>
      <c r="ED6" s="374" t="s">
        <v>3</v>
      </c>
      <c r="EE6" s="375" t="s">
        <v>43</v>
      </c>
      <c r="EF6" s="375" t="s">
        <v>44</v>
      </c>
      <c r="EG6" s="375" t="s">
        <v>3</v>
      </c>
      <c r="EH6" s="374" t="s">
        <v>43</v>
      </c>
      <c r="EI6" s="374" t="s">
        <v>44</v>
      </c>
      <c r="EJ6" s="374" t="s">
        <v>3</v>
      </c>
      <c r="EK6" s="374" t="s">
        <v>43</v>
      </c>
      <c r="EL6" s="374" t="s">
        <v>44</v>
      </c>
      <c r="EM6" s="374" t="s">
        <v>3</v>
      </c>
      <c r="EN6" s="374" t="s">
        <v>43</v>
      </c>
      <c r="EO6" s="374" t="s">
        <v>44</v>
      </c>
      <c r="EP6" s="374" t="s">
        <v>3</v>
      </c>
      <c r="EQ6" s="374" t="s">
        <v>43</v>
      </c>
      <c r="ER6" s="374" t="s">
        <v>44</v>
      </c>
      <c r="ES6" s="374" t="s">
        <v>3</v>
      </c>
      <c r="ET6" s="375" t="s">
        <v>43</v>
      </c>
      <c r="EU6" s="375" t="s">
        <v>44</v>
      </c>
      <c r="EV6" s="375" t="s">
        <v>3</v>
      </c>
      <c r="EW6" s="374" t="s">
        <v>43</v>
      </c>
      <c r="EX6" s="374" t="s">
        <v>44</v>
      </c>
      <c r="EY6" s="374" t="s">
        <v>3</v>
      </c>
      <c r="EZ6" s="374" t="s">
        <v>43</v>
      </c>
      <c r="FA6" s="374" t="s">
        <v>44</v>
      </c>
      <c r="FB6" s="374" t="s">
        <v>3</v>
      </c>
      <c r="FC6" s="374" t="s">
        <v>43</v>
      </c>
      <c r="FD6" s="374" t="s">
        <v>44</v>
      </c>
      <c r="FE6" s="374" t="s">
        <v>3</v>
      </c>
      <c r="FF6" s="374" t="s">
        <v>43</v>
      </c>
      <c r="FG6" s="374" t="s">
        <v>44</v>
      </c>
      <c r="FH6" s="374" t="s">
        <v>3</v>
      </c>
      <c r="FI6" s="375" t="s">
        <v>43</v>
      </c>
      <c r="FJ6" s="375" t="s">
        <v>44</v>
      </c>
      <c r="FK6" s="375" t="s">
        <v>3</v>
      </c>
      <c r="FL6" s="374" t="s">
        <v>43</v>
      </c>
      <c r="FM6" s="374" t="s">
        <v>44</v>
      </c>
      <c r="FN6" s="374" t="s">
        <v>3</v>
      </c>
      <c r="FO6" s="374" t="s">
        <v>43</v>
      </c>
      <c r="FP6" s="374" t="s">
        <v>44</v>
      </c>
      <c r="FQ6" s="374" t="s">
        <v>3</v>
      </c>
      <c r="FR6" s="374" t="s">
        <v>43</v>
      </c>
      <c r="FS6" s="374" t="s">
        <v>44</v>
      </c>
      <c r="FT6" s="374" t="s">
        <v>3</v>
      </c>
      <c r="FU6" s="374" t="s">
        <v>43</v>
      </c>
      <c r="FV6" s="374" t="s">
        <v>44</v>
      </c>
      <c r="FW6" s="374" t="s">
        <v>3</v>
      </c>
      <c r="FX6" s="375" t="s">
        <v>43</v>
      </c>
      <c r="FY6" s="375" t="s">
        <v>44</v>
      </c>
      <c r="FZ6" s="375" t="s">
        <v>3</v>
      </c>
      <c r="GA6" s="374" t="s">
        <v>43</v>
      </c>
      <c r="GB6" s="374" t="s">
        <v>44</v>
      </c>
      <c r="GC6" s="374" t="s">
        <v>3</v>
      </c>
      <c r="GD6" s="374" t="s">
        <v>43</v>
      </c>
      <c r="GE6" s="374" t="s">
        <v>44</v>
      </c>
      <c r="GF6" s="374" t="s">
        <v>3</v>
      </c>
      <c r="GG6" s="374" t="s">
        <v>43</v>
      </c>
      <c r="GH6" s="374" t="s">
        <v>44</v>
      </c>
      <c r="GI6" s="374" t="s">
        <v>3</v>
      </c>
      <c r="GJ6" s="374" t="s">
        <v>43</v>
      </c>
      <c r="GK6" s="374" t="s">
        <v>44</v>
      </c>
      <c r="GL6" s="374" t="s">
        <v>3</v>
      </c>
      <c r="GM6" s="374" t="s">
        <v>43</v>
      </c>
      <c r="GN6" s="374" t="s">
        <v>44</v>
      </c>
      <c r="GO6" s="374" t="s">
        <v>3</v>
      </c>
      <c r="GP6" s="374" t="s">
        <v>43</v>
      </c>
      <c r="GQ6" s="374" t="s">
        <v>44</v>
      </c>
      <c r="GR6" s="374" t="s">
        <v>3</v>
      </c>
      <c r="GS6" s="374" t="s">
        <v>43</v>
      </c>
      <c r="GT6" s="374" t="s">
        <v>44</v>
      </c>
      <c r="GU6" s="374" t="s">
        <v>3</v>
      </c>
      <c r="GV6" s="374" t="s">
        <v>43</v>
      </c>
      <c r="GW6" s="374" t="s">
        <v>44</v>
      </c>
      <c r="GX6" s="374" t="s">
        <v>3</v>
      </c>
      <c r="GY6" s="374" t="s">
        <v>43</v>
      </c>
      <c r="GZ6" s="374" t="s">
        <v>44</v>
      </c>
      <c r="HA6" s="374" t="s">
        <v>3</v>
      </c>
      <c r="HB6" s="374" t="s">
        <v>43</v>
      </c>
      <c r="HC6" s="374" t="s">
        <v>44</v>
      </c>
      <c r="HD6" s="374" t="s">
        <v>3</v>
      </c>
      <c r="HE6" s="374" t="s">
        <v>43</v>
      </c>
      <c r="HF6" s="374" t="s">
        <v>44</v>
      </c>
      <c r="HG6" s="374" t="s">
        <v>3</v>
      </c>
      <c r="HH6" s="374" t="s">
        <v>43</v>
      </c>
      <c r="HI6" s="374" t="s">
        <v>44</v>
      </c>
      <c r="HJ6" s="374" t="s">
        <v>3</v>
      </c>
    </row>
    <row r="7" spans="1:218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7">
        <v>3</v>
      </c>
      <c r="S7" s="77">
        <v>4</v>
      </c>
      <c r="T7" s="77">
        <v>5</v>
      </c>
      <c r="U7" s="77">
        <v>6</v>
      </c>
      <c r="V7" s="77">
        <v>7</v>
      </c>
      <c r="W7" s="77">
        <v>8</v>
      </c>
      <c r="X7" s="77">
        <v>9</v>
      </c>
      <c r="Y7" s="77">
        <v>10</v>
      </c>
      <c r="Z7" s="77">
        <v>11</v>
      </c>
      <c r="AA7" s="77">
        <v>12</v>
      </c>
      <c r="AB7" s="77">
        <v>13</v>
      </c>
      <c r="AC7" s="77">
        <v>14</v>
      </c>
      <c r="AD7" s="115">
        <v>15</v>
      </c>
      <c r="AE7" s="115">
        <v>16</v>
      </c>
      <c r="AF7" s="115">
        <v>17</v>
      </c>
      <c r="AG7" s="77">
        <v>3</v>
      </c>
      <c r="AH7" s="77">
        <v>4</v>
      </c>
      <c r="AI7" s="77">
        <v>5</v>
      </c>
      <c r="AJ7" s="77">
        <v>6</v>
      </c>
      <c r="AK7" s="77">
        <v>7</v>
      </c>
      <c r="AL7" s="77">
        <v>8</v>
      </c>
      <c r="AM7" s="77">
        <v>9</v>
      </c>
      <c r="AN7" s="77">
        <v>10</v>
      </c>
      <c r="AO7" s="77">
        <v>11</v>
      </c>
      <c r="AP7" s="77">
        <v>12</v>
      </c>
      <c r="AQ7" s="77">
        <v>13</v>
      </c>
      <c r="AR7" s="77">
        <v>14</v>
      </c>
      <c r="AS7" s="115">
        <v>15</v>
      </c>
      <c r="AT7" s="115">
        <v>16</v>
      </c>
      <c r="AU7" s="115">
        <v>17</v>
      </c>
      <c r="AV7" s="77">
        <v>3</v>
      </c>
      <c r="AW7" s="77">
        <v>4</v>
      </c>
      <c r="AX7" s="77">
        <v>5</v>
      </c>
      <c r="AY7" s="77">
        <v>6</v>
      </c>
      <c r="AZ7" s="77">
        <v>7</v>
      </c>
      <c r="BA7" s="77">
        <v>8</v>
      </c>
      <c r="BB7" s="77">
        <v>9</v>
      </c>
      <c r="BC7" s="77">
        <v>10</v>
      </c>
      <c r="BD7" s="77">
        <v>11</v>
      </c>
      <c r="BE7" s="77">
        <v>12</v>
      </c>
      <c r="BF7" s="77">
        <v>13</v>
      </c>
      <c r="BG7" s="77">
        <v>14</v>
      </c>
      <c r="BH7" s="115">
        <v>15</v>
      </c>
      <c r="BI7" s="115">
        <v>16</v>
      </c>
      <c r="BJ7" s="115">
        <v>17</v>
      </c>
      <c r="BK7" s="77">
        <v>3</v>
      </c>
      <c r="BL7" s="77">
        <v>4</v>
      </c>
      <c r="BM7" s="77">
        <v>5</v>
      </c>
      <c r="BN7" s="77">
        <v>6</v>
      </c>
      <c r="BO7" s="77">
        <v>7</v>
      </c>
      <c r="BP7" s="77">
        <v>8</v>
      </c>
      <c r="BQ7" s="77">
        <v>9</v>
      </c>
      <c r="BR7" s="77">
        <v>10</v>
      </c>
      <c r="BS7" s="77">
        <v>11</v>
      </c>
      <c r="BT7" s="77">
        <v>12</v>
      </c>
      <c r="BU7" s="77">
        <v>13</v>
      </c>
      <c r="BV7" s="77">
        <v>14</v>
      </c>
      <c r="BW7" s="115">
        <v>15</v>
      </c>
      <c r="BX7" s="115">
        <v>16</v>
      </c>
      <c r="BY7" s="115">
        <v>17</v>
      </c>
      <c r="BZ7" s="77">
        <v>3</v>
      </c>
      <c r="CA7" s="77">
        <v>4</v>
      </c>
      <c r="CB7" s="77">
        <v>5</v>
      </c>
      <c r="CC7" s="77">
        <v>6</v>
      </c>
      <c r="CD7" s="77">
        <v>7</v>
      </c>
      <c r="CE7" s="77">
        <v>8</v>
      </c>
      <c r="CF7" s="77">
        <v>9</v>
      </c>
      <c r="CG7" s="77">
        <v>10</v>
      </c>
      <c r="CH7" s="77">
        <v>11</v>
      </c>
      <c r="CI7" s="77">
        <v>12</v>
      </c>
      <c r="CJ7" s="77">
        <v>13</v>
      </c>
      <c r="CK7" s="77">
        <v>14</v>
      </c>
      <c r="CL7" s="115">
        <v>15</v>
      </c>
      <c r="CM7" s="115">
        <v>16</v>
      </c>
      <c r="CN7" s="115">
        <v>17</v>
      </c>
      <c r="CO7" s="77">
        <v>3</v>
      </c>
      <c r="CP7" s="77">
        <v>4</v>
      </c>
      <c r="CQ7" s="77">
        <v>5</v>
      </c>
      <c r="CR7" s="77">
        <v>6</v>
      </c>
      <c r="CS7" s="77">
        <v>7</v>
      </c>
      <c r="CT7" s="77">
        <v>8</v>
      </c>
      <c r="CU7" s="77">
        <v>9</v>
      </c>
      <c r="CV7" s="77">
        <v>10</v>
      </c>
      <c r="CW7" s="77">
        <v>11</v>
      </c>
      <c r="CX7" s="77">
        <v>12</v>
      </c>
      <c r="CY7" s="77">
        <v>13</v>
      </c>
      <c r="CZ7" s="77">
        <v>14</v>
      </c>
      <c r="DA7" s="115">
        <v>15</v>
      </c>
      <c r="DB7" s="115">
        <v>16</v>
      </c>
      <c r="DC7" s="115">
        <v>17</v>
      </c>
      <c r="DD7" s="77">
        <v>3</v>
      </c>
      <c r="DE7" s="77">
        <v>4</v>
      </c>
      <c r="DF7" s="77">
        <v>5</v>
      </c>
      <c r="DG7" s="77">
        <v>6</v>
      </c>
      <c r="DH7" s="77">
        <v>7</v>
      </c>
      <c r="DI7" s="77">
        <v>8</v>
      </c>
      <c r="DJ7" s="77">
        <v>9</v>
      </c>
      <c r="DK7" s="77">
        <v>10</v>
      </c>
      <c r="DL7" s="77">
        <v>11</v>
      </c>
      <c r="DM7" s="77">
        <v>12</v>
      </c>
      <c r="DN7" s="77">
        <v>13</v>
      </c>
      <c r="DO7" s="77">
        <v>14</v>
      </c>
      <c r="DP7" s="115">
        <v>15</v>
      </c>
      <c r="DQ7" s="115">
        <v>16</v>
      </c>
      <c r="DR7" s="115">
        <v>17</v>
      </c>
      <c r="DS7" s="77">
        <v>3</v>
      </c>
      <c r="DT7" s="77">
        <v>4</v>
      </c>
      <c r="DU7" s="77">
        <v>5</v>
      </c>
      <c r="DV7" s="77">
        <v>6</v>
      </c>
      <c r="DW7" s="77">
        <v>7</v>
      </c>
      <c r="DX7" s="77">
        <v>8</v>
      </c>
      <c r="DY7" s="77">
        <v>9</v>
      </c>
      <c r="DZ7" s="77">
        <v>10</v>
      </c>
      <c r="EA7" s="77">
        <v>11</v>
      </c>
      <c r="EB7" s="77">
        <v>12</v>
      </c>
      <c r="EC7" s="77">
        <v>13</v>
      </c>
      <c r="ED7" s="77">
        <v>14</v>
      </c>
      <c r="EE7" s="115">
        <v>15</v>
      </c>
      <c r="EF7" s="115">
        <v>16</v>
      </c>
      <c r="EG7" s="115">
        <v>17</v>
      </c>
      <c r="EH7" s="77">
        <v>3</v>
      </c>
      <c r="EI7" s="77">
        <v>4</v>
      </c>
      <c r="EJ7" s="77">
        <v>5</v>
      </c>
      <c r="EK7" s="77">
        <v>6</v>
      </c>
      <c r="EL7" s="77">
        <v>7</v>
      </c>
      <c r="EM7" s="77">
        <v>8</v>
      </c>
      <c r="EN7" s="77">
        <v>9</v>
      </c>
      <c r="EO7" s="77">
        <v>10</v>
      </c>
      <c r="EP7" s="77">
        <v>11</v>
      </c>
      <c r="EQ7" s="77">
        <v>12</v>
      </c>
      <c r="ER7" s="77">
        <v>13</v>
      </c>
      <c r="ES7" s="77">
        <v>14</v>
      </c>
      <c r="ET7" s="115">
        <v>15</v>
      </c>
      <c r="EU7" s="115">
        <v>16</v>
      </c>
      <c r="EV7" s="115">
        <v>17</v>
      </c>
      <c r="EW7" s="77">
        <v>3</v>
      </c>
      <c r="EX7" s="77">
        <v>4</v>
      </c>
      <c r="EY7" s="77">
        <v>5</v>
      </c>
      <c r="EZ7" s="77">
        <v>6</v>
      </c>
      <c r="FA7" s="77">
        <v>7</v>
      </c>
      <c r="FB7" s="77">
        <v>8</v>
      </c>
      <c r="FC7" s="77">
        <v>9</v>
      </c>
      <c r="FD7" s="77">
        <v>10</v>
      </c>
      <c r="FE7" s="77">
        <v>11</v>
      </c>
      <c r="FF7" s="77">
        <v>12</v>
      </c>
      <c r="FG7" s="77">
        <v>13</v>
      </c>
      <c r="FH7" s="77">
        <v>14</v>
      </c>
      <c r="FI7" s="115">
        <v>15</v>
      </c>
      <c r="FJ7" s="115">
        <v>16</v>
      </c>
      <c r="FK7" s="115">
        <v>17</v>
      </c>
      <c r="FL7" s="77">
        <v>3</v>
      </c>
      <c r="FM7" s="77">
        <v>4</v>
      </c>
      <c r="FN7" s="77">
        <v>5</v>
      </c>
      <c r="FO7" s="77">
        <v>6</v>
      </c>
      <c r="FP7" s="77">
        <v>7</v>
      </c>
      <c r="FQ7" s="77">
        <v>8</v>
      </c>
      <c r="FR7" s="77">
        <v>9</v>
      </c>
      <c r="FS7" s="77">
        <v>10</v>
      </c>
      <c r="FT7" s="77">
        <v>11</v>
      </c>
      <c r="FU7" s="77">
        <v>12</v>
      </c>
      <c r="FV7" s="77">
        <v>13</v>
      </c>
      <c r="FW7" s="77">
        <v>14</v>
      </c>
      <c r="FX7" s="115">
        <v>15</v>
      </c>
      <c r="FY7" s="115">
        <v>16</v>
      </c>
      <c r="FZ7" s="115">
        <v>17</v>
      </c>
      <c r="GA7" s="78">
        <v>3</v>
      </c>
      <c r="GB7" s="78">
        <v>4</v>
      </c>
      <c r="GC7" s="78">
        <v>5</v>
      </c>
      <c r="GD7" s="78">
        <v>6</v>
      </c>
      <c r="GE7" s="78">
        <v>7</v>
      </c>
      <c r="GF7" s="78">
        <v>8</v>
      </c>
      <c r="GG7" s="78">
        <v>12</v>
      </c>
      <c r="GH7" s="78">
        <v>13</v>
      </c>
      <c r="GI7" s="78">
        <v>14</v>
      </c>
      <c r="GJ7" s="78">
        <v>3</v>
      </c>
      <c r="GK7" s="78">
        <v>4</v>
      </c>
      <c r="GL7" s="78">
        <v>5</v>
      </c>
      <c r="GM7" s="78">
        <v>6</v>
      </c>
      <c r="GN7" s="78">
        <v>7</v>
      </c>
      <c r="GO7" s="78">
        <v>8</v>
      </c>
      <c r="GP7" s="78">
        <v>12</v>
      </c>
      <c r="GQ7" s="78">
        <v>13</v>
      </c>
      <c r="GR7" s="78">
        <v>14</v>
      </c>
      <c r="GS7" s="78">
        <v>3</v>
      </c>
      <c r="GT7" s="78">
        <v>4</v>
      </c>
      <c r="GU7" s="78">
        <v>5</v>
      </c>
      <c r="GV7" s="78">
        <v>6</v>
      </c>
      <c r="GW7" s="78">
        <v>7</v>
      </c>
      <c r="GX7" s="78">
        <v>8</v>
      </c>
      <c r="GY7" s="78">
        <v>12</v>
      </c>
      <c r="GZ7" s="78">
        <v>13</v>
      </c>
      <c r="HA7" s="78">
        <v>14</v>
      </c>
      <c r="HB7" s="78">
        <v>3</v>
      </c>
      <c r="HC7" s="78">
        <v>4</v>
      </c>
      <c r="HD7" s="78">
        <v>5</v>
      </c>
      <c r="HE7" s="78">
        <v>6</v>
      </c>
      <c r="HF7" s="78">
        <v>7</v>
      </c>
      <c r="HG7" s="78">
        <v>8</v>
      </c>
      <c r="HH7" s="78">
        <v>12</v>
      </c>
      <c r="HI7" s="78">
        <v>13</v>
      </c>
      <c r="HJ7" s="78">
        <v>14</v>
      </c>
    </row>
    <row r="8" spans="1:218">
      <c r="A8" s="603" t="s">
        <v>216</v>
      </c>
      <c r="B8" s="60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</row>
    <row r="9" spans="1:218" ht="28.5">
      <c r="A9" s="420">
        <v>1</v>
      </c>
      <c r="B9" s="118" t="s">
        <v>143</v>
      </c>
      <c r="C9" s="96">
        <v>941909</v>
      </c>
      <c r="D9" s="96">
        <v>652171</v>
      </c>
      <c r="E9" s="96">
        <f t="shared" ref="E9:E10" si="0">C9+D9</f>
        <v>1594080</v>
      </c>
      <c r="F9" s="99">
        <v>805063</v>
      </c>
      <c r="G9" s="96">
        <v>579341</v>
      </c>
      <c r="H9" s="96">
        <f t="shared" ref="H9:H10" si="1">F9+G9</f>
        <v>1384404</v>
      </c>
      <c r="I9" s="96">
        <v>39839</v>
      </c>
      <c r="J9" s="96">
        <v>23577</v>
      </c>
      <c r="K9" s="96">
        <f t="shared" ref="K9" si="2">I9+J9</f>
        <v>63416</v>
      </c>
      <c r="L9" s="97">
        <f t="shared" ref="L9:N10" si="3">F9+I9</f>
        <v>844902</v>
      </c>
      <c r="M9" s="98">
        <f t="shared" si="3"/>
        <v>602918</v>
      </c>
      <c r="N9" s="98">
        <f t="shared" si="3"/>
        <v>1447820</v>
      </c>
      <c r="O9" s="116">
        <f t="shared" ref="O9:Q10" si="4">L9/C9</f>
        <v>0.89701022073257608</v>
      </c>
      <c r="P9" s="116">
        <f t="shared" si="4"/>
        <v>0.92447839600350212</v>
      </c>
      <c r="Q9" s="116">
        <f t="shared" si="4"/>
        <v>0.90824801766536178</v>
      </c>
      <c r="R9" s="96">
        <v>4043</v>
      </c>
      <c r="S9" s="96">
        <v>2873</v>
      </c>
      <c r="T9" s="96">
        <f t="shared" ref="T9:T10" si="5">R9+S9</f>
        <v>6916</v>
      </c>
      <c r="U9" s="99">
        <v>537</v>
      </c>
      <c r="V9" s="96">
        <v>277</v>
      </c>
      <c r="W9" s="96">
        <f t="shared" ref="W9:W10" si="6">U9+V9</f>
        <v>814</v>
      </c>
      <c r="X9" s="96">
        <v>260</v>
      </c>
      <c r="Y9" s="96">
        <v>187</v>
      </c>
      <c r="Z9" s="96">
        <f t="shared" ref="Z9" si="7">X9+Y9</f>
        <v>447</v>
      </c>
      <c r="AA9" s="97">
        <f t="shared" ref="AA9:AA10" si="8">U9+X9</f>
        <v>797</v>
      </c>
      <c r="AB9" s="98">
        <f t="shared" ref="AB9:AB10" si="9">V9+Y9</f>
        <v>464</v>
      </c>
      <c r="AC9" s="98">
        <f t="shared" ref="AC9:AC10" si="10">W9+Z9</f>
        <v>1261</v>
      </c>
      <c r="AD9" s="116">
        <f t="shared" ref="AD9:AD10" si="11">AA9/R9</f>
        <v>0.19713084343309423</v>
      </c>
      <c r="AE9" s="116">
        <f t="shared" ref="AE9:AE10" si="12">AB9/S9</f>
        <v>0.16150365471632441</v>
      </c>
      <c r="AF9" s="116">
        <f t="shared" ref="AF9:AF10" si="13">AC9/T9</f>
        <v>0.18233082706766918</v>
      </c>
      <c r="AG9" s="98">
        <f t="shared" ref="AG9:AR10" si="14">C9+R9</f>
        <v>945952</v>
      </c>
      <c r="AH9" s="98">
        <f t="shared" si="14"/>
        <v>655044</v>
      </c>
      <c r="AI9" s="98">
        <f t="shared" si="14"/>
        <v>1600996</v>
      </c>
      <c r="AJ9" s="98">
        <f t="shared" si="14"/>
        <v>805600</v>
      </c>
      <c r="AK9" s="98">
        <f t="shared" si="14"/>
        <v>579618</v>
      </c>
      <c r="AL9" s="98">
        <f t="shared" si="14"/>
        <v>1385218</v>
      </c>
      <c r="AM9" s="98">
        <f t="shared" si="14"/>
        <v>40099</v>
      </c>
      <c r="AN9" s="98">
        <f t="shared" si="14"/>
        <v>23764</v>
      </c>
      <c r="AO9" s="98">
        <f t="shared" si="14"/>
        <v>63863</v>
      </c>
      <c r="AP9" s="98">
        <f t="shared" si="14"/>
        <v>845699</v>
      </c>
      <c r="AQ9" s="98">
        <f t="shared" si="14"/>
        <v>603382</v>
      </c>
      <c r="AR9" s="98">
        <f>N9+AC9</f>
        <v>1449081</v>
      </c>
      <c r="AS9" s="116">
        <f t="shared" ref="AS9:AU10" si="15">AP9/AG9</f>
        <v>0.89401893542167044</v>
      </c>
      <c r="AT9" s="116">
        <f t="shared" si="15"/>
        <v>0.92113201555926016</v>
      </c>
      <c r="AU9" s="116">
        <f t="shared" si="15"/>
        <v>0.90511219266006915</v>
      </c>
      <c r="AV9" s="96">
        <v>72102</v>
      </c>
      <c r="AW9" s="96">
        <v>52510</v>
      </c>
      <c r="AX9" s="96">
        <f t="shared" ref="AX9:AX10" si="16">AV9+AW9</f>
        <v>124612</v>
      </c>
      <c r="AY9" s="99">
        <v>58788</v>
      </c>
      <c r="AZ9" s="96">
        <v>43787</v>
      </c>
      <c r="BA9" s="96">
        <f t="shared" ref="BA9:BA10" si="17">AY9+AZ9</f>
        <v>102575</v>
      </c>
      <c r="BB9" s="96">
        <v>3766</v>
      </c>
      <c r="BC9" s="96">
        <v>2758</v>
      </c>
      <c r="BD9" s="96">
        <f t="shared" ref="BD9" si="18">BB9+BC9</f>
        <v>6524</v>
      </c>
      <c r="BE9" s="97">
        <f t="shared" ref="BE9:BE10" si="19">AY9+BB9</f>
        <v>62554</v>
      </c>
      <c r="BF9" s="98">
        <f t="shared" ref="BF9:BF10" si="20">AZ9+BC9</f>
        <v>46545</v>
      </c>
      <c r="BG9" s="98">
        <f t="shared" ref="BG9:BG10" si="21">BA9+BD9</f>
        <v>109099</v>
      </c>
      <c r="BH9" s="116">
        <f t="shared" ref="BH9:BH10" si="22">BE9/AV9</f>
        <v>0.86757648886299965</v>
      </c>
      <c r="BI9" s="116">
        <f t="shared" ref="BI9:BI10" si="23">BF9/AW9</f>
        <v>0.88640258998286037</v>
      </c>
      <c r="BJ9" s="116">
        <f t="shared" ref="BJ9:BJ10" si="24">BG9/AX9</f>
        <v>0.87550958174172633</v>
      </c>
      <c r="BK9" s="96">
        <v>336</v>
      </c>
      <c r="BL9" s="96">
        <v>236</v>
      </c>
      <c r="BM9" s="96">
        <f t="shared" ref="BM9:BM10" si="25">BK9+BL9</f>
        <v>572</v>
      </c>
      <c r="BN9" s="99">
        <v>33</v>
      </c>
      <c r="BO9" s="96">
        <v>20</v>
      </c>
      <c r="BP9" s="96">
        <f t="shared" ref="BP9:BP10" si="26">BN9+BO9</f>
        <v>53</v>
      </c>
      <c r="BQ9" s="96">
        <v>17</v>
      </c>
      <c r="BR9" s="96">
        <v>20</v>
      </c>
      <c r="BS9" s="96">
        <f t="shared" ref="BS9" si="27">BQ9+BR9</f>
        <v>37</v>
      </c>
      <c r="BT9" s="97">
        <f t="shared" ref="BT9:BT10" si="28">BN9+BQ9</f>
        <v>50</v>
      </c>
      <c r="BU9" s="98">
        <f t="shared" ref="BU9:BU10" si="29">BO9+BR9</f>
        <v>40</v>
      </c>
      <c r="BV9" s="98">
        <f t="shared" ref="BV9:BV10" si="30">BP9+BS9</f>
        <v>90</v>
      </c>
      <c r="BW9" s="116">
        <f t="shared" ref="BW9:BW10" si="31">BT9/BK9</f>
        <v>0.14880952380952381</v>
      </c>
      <c r="BX9" s="116">
        <f t="shared" ref="BX9:BX10" si="32">BU9/BL9</f>
        <v>0.16949152542372881</v>
      </c>
      <c r="BY9" s="116">
        <f t="shared" ref="BY9:BY10" si="33">BV9/BM9</f>
        <v>0.15734265734265734</v>
      </c>
      <c r="BZ9" s="98">
        <f t="shared" ref="BZ9:CK10" si="34">AV9+BK9</f>
        <v>72438</v>
      </c>
      <c r="CA9" s="98">
        <f t="shared" si="34"/>
        <v>52746</v>
      </c>
      <c r="CB9" s="98">
        <f t="shared" si="34"/>
        <v>125184</v>
      </c>
      <c r="CC9" s="98">
        <f t="shared" si="34"/>
        <v>58821</v>
      </c>
      <c r="CD9" s="98">
        <f t="shared" si="34"/>
        <v>43807</v>
      </c>
      <c r="CE9" s="98">
        <f t="shared" si="34"/>
        <v>102628</v>
      </c>
      <c r="CF9" s="98">
        <f t="shared" si="34"/>
        <v>3783</v>
      </c>
      <c r="CG9" s="98">
        <f t="shared" si="34"/>
        <v>2778</v>
      </c>
      <c r="CH9" s="98">
        <f t="shared" si="34"/>
        <v>6561</v>
      </c>
      <c r="CI9" s="98">
        <f t="shared" si="34"/>
        <v>62604</v>
      </c>
      <c r="CJ9" s="98">
        <f t="shared" si="34"/>
        <v>46585</v>
      </c>
      <c r="CK9" s="98">
        <f t="shared" si="34"/>
        <v>109189</v>
      </c>
      <c r="CL9" s="116">
        <f t="shared" ref="CL9:CN10" si="35">CI9/BZ9</f>
        <v>0.86424252464176265</v>
      </c>
      <c r="CM9" s="116">
        <f t="shared" si="35"/>
        <v>0.88319493421302087</v>
      </c>
      <c r="CN9" s="116">
        <f t="shared" si="35"/>
        <v>0.87222808026584864</v>
      </c>
      <c r="CO9" s="96">
        <v>32148</v>
      </c>
      <c r="CP9" s="96">
        <v>26643</v>
      </c>
      <c r="CQ9" s="96">
        <f t="shared" ref="CQ9:CQ10" si="36">CO9+CP9</f>
        <v>58791</v>
      </c>
      <c r="CR9" s="99">
        <v>22426</v>
      </c>
      <c r="CS9" s="96">
        <v>18348</v>
      </c>
      <c r="CT9" s="96">
        <f t="shared" ref="CT9:CT10" si="37">CR9+CS9</f>
        <v>40774</v>
      </c>
      <c r="CU9" s="96">
        <v>1958</v>
      </c>
      <c r="CV9" s="96">
        <v>1751</v>
      </c>
      <c r="CW9" s="96">
        <f t="shared" ref="CW9" si="38">CU9+CV9</f>
        <v>3709</v>
      </c>
      <c r="CX9" s="97">
        <f t="shared" ref="CX9:CX10" si="39">CR9+CU9</f>
        <v>24384</v>
      </c>
      <c r="CY9" s="98">
        <f t="shared" ref="CY9:CY10" si="40">CS9+CV9</f>
        <v>20099</v>
      </c>
      <c r="CZ9" s="98">
        <f t="shared" ref="CZ9:CZ10" si="41">CT9+CW9</f>
        <v>44483</v>
      </c>
      <c r="DA9" s="116">
        <f t="shared" ref="DA9:DA10" si="42">CX9/CO9</f>
        <v>0.75849197461739459</v>
      </c>
      <c r="DB9" s="116">
        <f t="shared" ref="DB9:DB10" si="43">CY9/CP9</f>
        <v>0.75438201403745819</v>
      </c>
      <c r="DC9" s="116">
        <f t="shared" ref="DC9:DC10" si="44">CZ9/CQ9</f>
        <v>0.75662941606708511</v>
      </c>
      <c r="DD9" s="96">
        <v>384</v>
      </c>
      <c r="DE9" s="96">
        <v>350</v>
      </c>
      <c r="DF9" s="96">
        <f t="shared" ref="DF9:DF10" si="45">DD9+DE9</f>
        <v>734</v>
      </c>
      <c r="DG9" s="99">
        <v>13</v>
      </c>
      <c r="DH9" s="96">
        <v>6</v>
      </c>
      <c r="DI9" s="96">
        <f t="shared" ref="DI9:DI10" si="46">DG9+DH9</f>
        <v>19</v>
      </c>
      <c r="DJ9" s="96">
        <v>11</v>
      </c>
      <c r="DK9" s="96">
        <v>7</v>
      </c>
      <c r="DL9" s="96">
        <f t="shared" ref="DL9" si="47">DJ9+DK9</f>
        <v>18</v>
      </c>
      <c r="DM9" s="97">
        <f t="shared" ref="DM9:DM10" si="48">DG9+DJ9</f>
        <v>24</v>
      </c>
      <c r="DN9" s="98">
        <f t="shared" ref="DN9:DN10" si="49">DH9+DK9</f>
        <v>13</v>
      </c>
      <c r="DO9" s="98">
        <f t="shared" ref="DO9:DO10" si="50">DI9+DL9</f>
        <v>37</v>
      </c>
      <c r="DP9" s="116">
        <f t="shared" ref="DP9:DP10" si="51">DM9/DD9</f>
        <v>6.25E-2</v>
      </c>
      <c r="DQ9" s="116">
        <f t="shared" ref="DQ9:DQ10" si="52">DN9/DE9</f>
        <v>3.7142857142857144E-2</v>
      </c>
      <c r="DR9" s="116">
        <f t="shared" ref="DR9:DR10" si="53">DO9/DF9</f>
        <v>5.0408719346049048E-2</v>
      </c>
      <c r="DS9" s="98">
        <f t="shared" ref="DS9:ED10" si="54">CO9+DD9</f>
        <v>32532</v>
      </c>
      <c r="DT9" s="98">
        <f t="shared" si="54"/>
        <v>26993</v>
      </c>
      <c r="DU9" s="98">
        <f t="shared" si="54"/>
        <v>59525</v>
      </c>
      <c r="DV9" s="98">
        <f t="shared" si="54"/>
        <v>22439</v>
      </c>
      <c r="DW9" s="98">
        <f t="shared" si="54"/>
        <v>18354</v>
      </c>
      <c r="DX9" s="98">
        <f t="shared" si="54"/>
        <v>40793</v>
      </c>
      <c r="DY9" s="98">
        <f t="shared" si="54"/>
        <v>1969</v>
      </c>
      <c r="DZ9" s="98">
        <f t="shared" si="54"/>
        <v>1758</v>
      </c>
      <c r="EA9" s="98">
        <f t="shared" si="54"/>
        <v>3727</v>
      </c>
      <c r="EB9" s="98">
        <f t="shared" si="54"/>
        <v>24408</v>
      </c>
      <c r="EC9" s="98">
        <f t="shared" si="54"/>
        <v>20112</v>
      </c>
      <c r="ED9" s="98">
        <f t="shared" si="54"/>
        <v>44520</v>
      </c>
      <c r="EE9" s="116">
        <f t="shared" ref="EE9:EG10" si="55">EB9/DS9</f>
        <v>0.75027665068240501</v>
      </c>
      <c r="EF9" s="116">
        <f t="shared" si="55"/>
        <v>0.74508205831141405</v>
      </c>
      <c r="EG9" s="116">
        <f t="shared" si="55"/>
        <v>0.74792104157916839</v>
      </c>
      <c r="EH9" s="96">
        <v>273762</v>
      </c>
      <c r="EI9" s="96">
        <v>166099</v>
      </c>
      <c r="EJ9" s="96">
        <f t="shared" ref="EJ9:EJ10" si="56">EH9+EI9</f>
        <v>439861</v>
      </c>
      <c r="EK9" s="99">
        <v>237840</v>
      </c>
      <c r="EL9" s="96">
        <v>152900</v>
      </c>
      <c r="EM9" s="96">
        <f t="shared" ref="EM9:EM10" si="57">EK9+EL9</f>
        <v>390740</v>
      </c>
      <c r="EN9" s="96">
        <v>11082</v>
      </c>
      <c r="EO9" s="96">
        <v>5216</v>
      </c>
      <c r="EP9" s="96">
        <f t="shared" ref="EP9" si="58">EN9+EO9</f>
        <v>16298</v>
      </c>
      <c r="EQ9" s="97">
        <f t="shared" ref="EQ9:EQ10" si="59">EK9+EN9</f>
        <v>248922</v>
      </c>
      <c r="ER9" s="98">
        <f t="shared" ref="ER9:ER10" si="60">EL9+EO9</f>
        <v>158116</v>
      </c>
      <c r="ES9" s="98">
        <f t="shared" ref="ES9:ES10" si="61">EM9+EP9</f>
        <v>407038</v>
      </c>
      <c r="ET9" s="116">
        <f t="shared" ref="ET9:ET10" si="62">EQ9/EH9</f>
        <v>0.90926425143007428</v>
      </c>
      <c r="EU9" s="116">
        <f t="shared" ref="EU9:EU10" si="63">ER9/EI9</f>
        <v>0.95193830185612194</v>
      </c>
      <c r="EV9" s="116">
        <f t="shared" ref="EV9:EV10" si="64">ES9/EJ9</f>
        <v>0.92537869917996818</v>
      </c>
      <c r="EW9" s="96">
        <v>231</v>
      </c>
      <c r="EX9" s="96">
        <v>132</v>
      </c>
      <c r="EY9" s="96">
        <f t="shared" ref="EY9:EY10" si="65">EW9+EX9</f>
        <v>363</v>
      </c>
      <c r="EZ9" s="99">
        <v>64</v>
      </c>
      <c r="FA9" s="96">
        <v>27</v>
      </c>
      <c r="FB9" s="96">
        <f t="shared" ref="FB9:FB10" si="66">EZ9+FA9</f>
        <v>91</v>
      </c>
      <c r="FC9" s="96">
        <v>14</v>
      </c>
      <c r="FD9" s="96">
        <v>14</v>
      </c>
      <c r="FE9" s="96">
        <f t="shared" ref="FE9" si="67">FC9+FD9</f>
        <v>28</v>
      </c>
      <c r="FF9" s="97">
        <f t="shared" ref="FF9:FF10" si="68">EZ9+FC9</f>
        <v>78</v>
      </c>
      <c r="FG9" s="98">
        <f t="shared" ref="FG9:FG10" si="69">FA9+FD9</f>
        <v>41</v>
      </c>
      <c r="FH9" s="98">
        <f t="shared" ref="FH9:FH10" si="70">FB9+FE9</f>
        <v>119</v>
      </c>
      <c r="FI9" s="116">
        <f t="shared" ref="FI9:FI10" si="71">FF9/EW9</f>
        <v>0.33766233766233766</v>
      </c>
      <c r="FJ9" s="116">
        <f t="shared" ref="FJ9:FJ10" si="72">FG9/EX9</f>
        <v>0.31060606060606061</v>
      </c>
      <c r="FK9" s="116">
        <f t="shared" ref="FK9:FK10" si="73">FH9/EY9</f>
        <v>0.32782369146005508</v>
      </c>
      <c r="FL9" s="98">
        <f t="shared" ref="FL9:FL10" si="74">EH9+EW9</f>
        <v>273993</v>
      </c>
      <c r="FM9" s="98">
        <f t="shared" ref="FM9:FM10" si="75">EI9+EX9</f>
        <v>166231</v>
      </c>
      <c r="FN9" s="98">
        <f t="shared" ref="FN9:FN10" si="76">EJ9+EY9</f>
        <v>440224</v>
      </c>
      <c r="FO9" s="98">
        <f t="shared" ref="FO9:FO10" si="77">EK9+EZ9</f>
        <v>237904</v>
      </c>
      <c r="FP9" s="98">
        <f t="shared" ref="FP9:FP10" si="78">EL9+FA9</f>
        <v>152927</v>
      </c>
      <c r="FQ9" s="98">
        <f t="shared" ref="FQ9:FQ10" si="79">EM9+FB9</f>
        <v>390831</v>
      </c>
      <c r="FR9" s="98">
        <f t="shared" ref="FR9" si="80">EN9+FC9</f>
        <v>11096</v>
      </c>
      <c r="FS9" s="98">
        <f t="shared" ref="FS9" si="81">EO9+FD9</f>
        <v>5230</v>
      </c>
      <c r="FT9" s="98">
        <f t="shared" ref="FT9" si="82">EP9+FE9</f>
        <v>16326</v>
      </c>
      <c r="FU9" s="98">
        <f t="shared" ref="FU9:FU10" si="83">EQ9+FF9</f>
        <v>249000</v>
      </c>
      <c r="FV9" s="98">
        <f t="shared" ref="FV9:FV10" si="84">ER9+FG9</f>
        <v>158157</v>
      </c>
      <c r="FW9" s="98">
        <f t="shared" ref="FW9:FW10" si="85">ES9+FH9</f>
        <v>407157</v>
      </c>
      <c r="FX9" s="116">
        <f t="shared" ref="FX9:FX10" si="86">FU9/FL9</f>
        <v>0.90878234115470102</v>
      </c>
      <c r="FY9" s="116">
        <f t="shared" ref="FY9:FY10" si="87">FV9/FM9</f>
        <v>0.95142903549879387</v>
      </c>
      <c r="FZ9" s="116">
        <f t="shared" ref="FZ9:FZ10" si="88">FW9/FN9</f>
        <v>0.9248859671439994</v>
      </c>
      <c r="GA9" s="98">
        <f t="shared" ref="GA9:GC10" si="89">+AP9</f>
        <v>845699</v>
      </c>
      <c r="GB9" s="98">
        <f t="shared" si="89"/>
        <v>603382</v>
      </c>
      <c r="GC9" s="98">
        <f t="shared" si="89"/>
        <v>1449081</v>
      </c>
      <c r="GD9" s="98">
        <v>516080</v>
      </c>
      <c r="GE9" s="98">
        <v>418369</v>
      </c>
      <c r="GF9" s="98">
        <f t="shared" ref="GF9:GF11" si="90">GD9+GE9</f>
        <v>934449</v>
      </c>
      <c r="GG9" s="100">
        <f t="shared" ref="GG9:GI10" si="91">+GD9*100/GA9</f>
        <v>61.024075941913139</v>
      </c>
      <c r="GH9" s="100">
        <f t="shared" si="91"/>
        <v>69.337335220473932</v>
      </c>
      <c r="GI9" s="100">
        <f>+GF9*100/GC9</f>
        <v>64.48562916772768</v>
      </c>
      <c r="GJ9" s="98">
        <f t="shared" ref="GJ9:GL10" si="92">+CI9</f>
        <v>62604</v>
      </c>
      <c r="GK9" s="98">
        <f t="shared" si="92"/>
        <v>46585</v>
      </c>
      <c r="GL9" s="98">
        <f t="shared" si="92"/>
        <v>109189</v>
      </c>
      <c r="GM9" s="98">
        <v>32852</v>
      </c>
      <c r="GN9" s="98">
        <v>26224</v>
      </c>
      <c r="GO9" s="98">
        <f t="shared" ref="GO9:GO10" si="93">GM9+GN9</f>
        <v>59076</v>
      </c>
      <c r="GP9" s="100">
        <f t="shared" ref="GP9:GR10" si="94">+GM9*100/GJ9</f>
        <v>52.475880135454602</v>
      </c>
      <c r="GQ9" s="100">
        <f t="shared" si="94"/>
        <v>56.29279811097993</v>
      </c>
      <c r="GR9" s="100">
        <f t="shared" si="94"/>
        <v>54.104351170905495</v>
      </c>
      <c r="GS9" s="98">
        <f t="shared" ref="GS9:GU10" si="95">+EB9</f>
        <v>24408</v>
      </c>
      <c r="GT9" s="98">
        <f t="shared" si="95"/>
        <v>20112</v>
      </c>
      <c r="GU9" s="98">
        <f t="shared" si="95"/>
        <v>44520</v>
      </c>
      <c r="GV9" s="98">
        <v>11820</v>
      </c>
      <c r="GW9" s="98">
        <v>10239</v>
      </c>
      <c r="GX9" s="98">
        <f t="shared" ref="GX9:GX10" si="96">GV9+GW9</f>
        <v>22059</v>
      </c>
      <c r="GY9" s="100">
        <f t="shared" ref="GY9:HA10" si="97">+GV9*100/GS9</f>
        <v>48.426745329400198</v>
      </c>
      <c r="GZ9" s="100">
        <f t="shared" si="97"/>
        <v>50.909904534606206</v>
      </c>
      <c r="HA9" s="100">
        <f t="shared" si="97"/>
        <v>49.548517520215633</v>
      </c>
      <c r="HB9" s="98">
        <f>+FU9</f>
        <v>249000</v>
      </c>
      <c r="HC9" s="98">
        <f t="shared" ref="HC9:HD9" si="98">+FV9</f>
        <v>158157</v>
      </c>
      <c r="HD9" s="98">
        <f t="shared" si="98"/>
        <v>407157</v>
      </c>
      <c r="HE9" s="98">
        <v>152157</v>
      </c>
      <c r="HF9" s="98">
        <v>113341</v>
      </c>
      <c r="HG9" s="98">
        <f t="shared" ref="HG9:HG10" si="99">HE9+HF9</f>
        <v>265498</v>
      </c>
      <c r="HH9" s="100">
        <f t="shared" ref="HH9:HH10" si="100">+HE9*100/HB9</f>
        <v>61.107228915662652</v>
      </c>
      <c r="HI9" s="100">
        <f t="shared" ref="HI9:HI10" si="101">+HF9*100/HC9</f>
        <v>71.663600093577898</v>
      </c>
      <c r="HJ9" s="100">
        <f t="shared" ref="HJ9:HJ10" si="102">+HG9*100/HD9</f>
        <v>65.20776997570961</v>
      </c>
    </row>
    <row r="10" spans="1:218" ht="28.5">
      <c r="A10" s="420">
        <v>2</v>
      </c>
      <c r="B10" s="118" t="s">
        <v>215</v>
      </c>
      <c r="C10" s="96">
        <v>100122</v>
      </c>
      <c r="D10" s="96">
        <v>82915</v>
      </c>
      <c r="E10" s="96">
        <f t="shared" si="0"/>
        <v>183037</v>
      </c>
      <c r="F10" s="96">
        <v>98390</v>
      </c>
      <c r="G10" s="96">
        <v>82091</v>
      </c>
      <c r="H10" s="96">
        <f t="shared" si="1"/>
        <v>180481</v>
      </c>
      <c r="I10" s="104"/>
      <c r="J10" s="104"/>
      <c r="K10" s="104"/>
      <c r="L10" s="97">
        <f t="shared" si="3"/>
        <v>98390</v>
      </c>
      <c r="M10" s="98">
        <f t="shared" si="3"/>
        <v>82091</v>
      </c>
      <c r="N10" s="98">
        <f t="shared" si="3"/>
        <v>180481</v>
      </c>
      <c r="O10" s="116">
        <f t="shared" si="4"/>
        <v>0.98270110465232419</v>
      </c>
      <c r="P10" s="116">
        <f t="shared" si="4"/>
        <v>0.99006211180124226</v>
      </c>
      <c r="Q10" s="116">
        <f t="shared" si="4"/>
        <v>0.98603561028644482</v>
      </c>
      <c r="R10" s="96">
        <v>241</v>
      </c>
      <c r="S10" s="96">
        <v>109</v>
      </c>
      <c r="T10" s="96">
        <f t="shared" si="5"/>
        <v>350</v>
      </c>
      <c r="U10" s="96">
        <v>133</v>
      </c>
      <c r="V10" s="96">
        <v>65</v>
      </c>
      <c r="W10" s="96">
        <f t="shared" si="6"/>
        <v>198</v>
      </c>
      <c r="X10" s="104"/>
      <c r="Y10" s="104"/>
      <c r="Z10" s="104"/>
      <c r="AA10" s="97">
        <f t="shared" si="8"/>
        <v>133</v>
      </c>
      <c r="AB10" s="98">
        <f t="shared" si="9"/>
        <v>65</v>
      </c>
      <c r="AC10" s="98">
        <f t="shared" si="10"/>
        <v>198</v>
      </c>
      <c r="AD10" s="116">
        <f t="shared" si="11"/>
        <v>0.55186721991701249</v>
      </c>
      <c r="AE10" s="116">
        <f t="shared" si="12"/>
        <v>0.59633027522935778</v>
      </c>
      <c r="AF10" s="116">
        <f t="shared" si="13"/>
        <v>0.56571428571428573</v>
      </c>
      <c r="AG10" s="98">
        <f t="shared" si="14"/>
        <v>100363</v>
      </c>
      <c r="AH10" s="98">
        <f t="shared" si="14"/>
        <v>83024</v>
      </c>
      <c r="AI10" s="98">
        <f t="shared" si="14"/>
        <v>183387</v>
      </c>
      <c r="AJ10" s="98">
        <f t="shared" si="14"/>
        <v>98523</v>
      </c>
      <c r="AK10" s="98">
        <f t="shared" si="14"/>
        <v>82156</v>
      </c>
      <c r="AL10" s="98">
        <f t="shared" si="14"/>
        <v>180679</v>
      </c>
      <c r="AM10" s="103"/>
      <c r="AN10" s="103"/>
      <c r="AO10" s="103"/>
      <c r="AP10" s="98">
        <f t="shared" si="14"/>
        <v>98523</v>
      </c>
      <c r="AQ10" s="98">
        <f t="shared" si="14"/>
        <v>82156</v>
      </c>
      <c r="AR10" s="98">
        <f t="shared" si="14"/>
        <v>180679</v>
      </c>
      <c r="AS10" s="116">
        <f t="shared" si="15"/>
        <v>0.98166655042196826</v>
      </c>
      <c r="AT10" s="116">
        <f t="shared" si="15"/>
        <v>0.98954519175178257</v>
      </c>
      <c r="AU10" s="116">
        <f t="shared" si="15"/>
        <v>0.98523341349168703</v>
      </c>
      <c r="AV10" s="96">
        <v>4959</v>
      </c>
      <c r="AW10" s="96">
        <v>3909</v>
      </c>
      <c r="AX10" s="96">
        <f t="shared" si="16"/>
        <v>8868</v>
      </c>
      <c r="AY10" s="96">
        <v>4811</v>
      </c>
      <c r="AZ10" s="96">
        <v>3846</v>
      </c>
      <c r="BA10" s="96">
        <f t="shared" si="17"/>
        <v>8657</v>
      </c>
      <c r="BB10" s="104"/>
      <c r="BC10" s="104"/>
      <c r="BD10" s="104"/>
      <c r="BE10" s="97">
        <f t="shared" si="19"/>
        <v>4811</v>
      </c>
      <c r="BF10" s="98">
        <f t="shared" si="20"/>
        <v>3846</v>
      </c>
      <c r="BG10" s="98">
        <f t="shared" si="21"/>
        <v>8657</v>
      </c>
      <c r="BH10" s="116">
        <f t="shared" si="22"/>
        <v>0.97015527324057271</v>
      </c>
      <c r="BI10" s="116">
        <f t="shared" si="23"/>
        <v>0.98388334612432848</v>
      </c>
      <c r="BJ10" s="116">
        <f t="shared" si="24"/>
        <v>0.97620658547586825</v>
      </c>
      <c r="BK10" s="96">
        <v>12</v>
      </c>
      <c r="BL10" s="96">
        <v>7</v>
      </c>
      <c r="BM10" s="96">
        <f t="shared" si="25"/>
        <v>19</v>
      </c>
      <c r="BN10" s="96">
        <v>6</v>
      </c>
      <c r="BO10" s="96">
        <v>5</v>
      </c>
      <c r="BP10" s="96">
        <f t="shared" si="26"/>
        <v>11</v>
      </c>
      <c r="BQ10" s="104"/>
      <c r="BR10" s="104"/>
      <c r="BS10" s="104"/>
      <c r="BT10" s="97">
        <f t="shared" si="28"/>
        <v>6</v>
      </c>
      <c r="BU10" s="98">
        <f t="shared" si="29"/>
        <v>5</v>
      </c>
      <c r="BV10" s="98">
        <f t="shared" si="30"/>
        <v>11</v>
      </c>
      <c r="BW10" s="116">
        <f t="shared" si="31"/>
        <v>0.5</v>
      </c>
      <c r="BX10" s="116">
        <f t="shared" si="32"/>
        <v>0.7142857142857143</v>
      </c>
      <c r="BY10" s="116">
        <f t="shared" si="33"/>
        <v>0.57894736842105265</v>
      </c>
      <c r="BZ10" s="98">
        <f t="shared" si="34"/>
        <v>4971</v>
      </c>
      <c r="CA10" s="98">
        <f t="shared" si="34"/>
        <v>3916</v>
      </c>
      <c r="CB10" s="98">
        <f t="shared" si="34"/>
        <v>8887</v>
      </c>
      <c r="CC10" s="98">
        <f t="shared" si="34"/>
        <v>4817</v>
      </c>
      <c r="CD10" s="98">
        <f t="shared" si="34"/>
        <v>3851</v>
      </c>
      <c r="CE10" s="98">
        <f t="shared" si="34"/>
        <v>8668</v>
      </c>
      <c r="CF10" s="103"/>
      <c r="CG10" s="103"/>
      <c r="CH10" s="103"/>
      <c r="CI10" s="98">
        <f t="shared" si="34"/>
        <v>4817</v>
      </c>
      <c r="CJ10" s="98">
        <f t="shared" si="34"/>
        <v>3851</v>
      </c>
      <c r="CK10" s="98">
        <f t="shared" si="34"/>
        <v>8668</v>
      </c>
      <c r="CL10" s="116">
        <f t="shared" si="35"/>
        <v>0.9690203178434923</v>
      </c>
      <c r="CM10" s="116">
        <f t="shared" si="35"/>
        <v>0.98340143003064351</v>
      </c>
      <c r="CN10" s="116">
        <f t="shared" si="35"/>
        <v>0.97535726341847639</v>
      </c>
      <c r="CO10" s="96">
        <v>3034</v>
      </c>
      <c r="CP10" s="96">
        <v>2877</v>
      </c>
      <c r="CQ10" s="96">
        <f t="shared" si="36"/>
        <v>5911</v>
      </c>
      <c r="CR10" s="96">
        <v>2946</v>
      </c>
      <c r="CS10" s="96">
        <v>2814</v>
      </c>
      <c r="CT10" s="96">
        <f t="shared" si="37"/>
        <v>5760</v>
      </c>
      <c r="CU10" s="104"/>
      <c r="CV10" s="104"/>
      <c r="CW10" s="104"/>
      <c r="CX10" s="97">
        <f t="shared" si="39"/>
        <v>2946</v>
      </c>
      <c r="CY10" s="98">
        <f t="shared" si="40"/>
        <v>2814</v>
      </c>
      <c r="CZ10" s="98">
        <f t="shared" si="41"/>
        <v>5760</v>
      </c>
      <c r="DA10" s="116">
        <f t="shared" si="42"/>
        <v>0.97099538562953203</v>
      </c>
      <c r="DB10" s="116">
        <f t="shared" si="43"/>
        <v>0.97810218978102192</v>
      </c>
      <c r="DC10" s="116">
        <f t="shared" si="44"/>
        <v>0.97445440703772623</v>
      </c>
      <c r="DD10" s="96">
        <v>16</v>
      </c>
      <c r="DE10" s="96">
        <v>13</v>
      </c>
      <c r="DF10" s="96">
        <f t="shared" si="45"/>
        <v>29</v>
      </c>
      <c r="DG10" s="96">
        <v>11</v>
      </c>
      <c r="DH10" s="96">
        <v>7</v>
      </c>
      <c r="DI10" s="96">
        <f t="shared" si="46"/>
        <v>18</v>
      </c>
      <c r="DJ10" s="104"/>
      <c r="DK10" s="104"/>
      <c r="DL10" s="104"/>
      <c r="DM10" s="97">
        <f t="shared" si="48"/>
        <v>11</v>
      </c>
      <c r="DN10" s="98">
        <f t="shared" si="49"/>
        <v>7</v>
      </c>
      <c r="DO10" s="98">
        <f t="shared" si="50"/>
        <v>18</v>
      </c>
      <c r="DP10" s="116">
        <f t="shared" si="51"/>
        <v>0.6875</v>
      </c>
      <c r="DQ10" s="116">
        <f t="shared" si="52"/>
        <v>0.53846153846153844</v>
      </c>
      <c r="DR10" s="116">
        <f t="shared" si="53"/>
        <v>0.62068965517241381</v>
      </c>
      <c r="DS10" s="98">
        <f t="shared" si="54"/>
        <v>3050</v>
      </c>
      <c r="DT10" s="98">
        <f t="shared" si="54"/>
        <v>2890</v>
      </c>
      <c r="DU10" s="98">
        <f t="shared" si="54"/>
        <v>5940</v>
      </c>
      <c r="DV10" s="98">
        <f t="shared" si="54"/>
        <v>2957</v>
      </c>
      <c r="DW10" s="98">
        <f t="shared" si="54"/>
        <v>2821</v>
      </c>
      <c r="DX10" s="98">
        <f t="shared" si="54"/>
        <v>5778</v>
      </c>
      <c r="DY10" s="103"/>
      <c r="DZ10" s="103"/>
      <c r="EA10" s="103"/>
      <c r="EB10" s="98">
        <f t="shared" si="54"/>
        <v>2957</v>
      </c>
      <c r="EC10" s="98">
        <f t="shared" si="54"/>
        <v>2821</v>
      </c>
      <c r="ED10" s="98">
        <f t="shared" si="54"/>
        <v>5778</v>
      </c>
      <c r="EE10" s="116">
        <f t="shared" si="55"/>
        <v>0.9695081967213115</v>
      </c>
      <c r="EF10" s="116">
        <f t="shared" si="55"/>
        <v>0.97612456747404841</v>
      </c>
      <c r="EG10" s="116">
        <f t="shared" si="55"/>
        <v>0.97272727272727277</v>
      </c>
      <c r="EH10" s="96">
        <v>20105</v>
      </c>
      <c r="EI10" s="96">
        <v>15445</v>
      </c>
      <c r="EJ10" s="96">
        <f t="shared" si="56"/>
        <v>35550</v>
      </c>
      <c r="EK10" s="96">
        <v>19767</v>
      </c>
      <c r="EL10" s="96">
        <v>15306</v>
      </c>
      <c r="EM10" s="96">
        <f t="shared" si="57"/>
        <v>35073</v>
      </c>
      <c r="EN10" s="104"/>
      <c r="EO10" s="104"/>
      <c r="EP10" s="104"/>
      <c r="EQ10" s="97">
        <f t="shared" si="59"/>
        <v>19767</v>
      </c>
      <c r="ER10" s="98">
        <f t="shared" si="60"/>
        <v>15306</v>
      </c>
      <c r="ES10" s="98">
        <f t="shared" si="61"/>
        <v>35073</v>
      </c>
      <c r="ET10" s="116">
        <f t="shared" si="62"/>
        <v>0.98318826162646111</v>
      </c>
      <c r="EU10" s="116">
        <f t="shared" si="63"/>
        <v>0.9910003237293622</v>
      </c>
      <c r="EV10" s="116">
        <f t="shared" si="64"/>
        <v>0.98658227848101265</v>
      </c>
      <c r="EW10" s="96">
        <v>30</v>
      </c>
      <c r="EX10" s="96">
        <v>13</v>
      </c>
      <c r="EY10" s="96">
        <f t="shared" si="65"/>
        <v>43</v>
      </c>
      <c r="EZ10" s="96">
        <v>12</v>
      </c>
      <c r="FA10" s="96">
        <v>10</v>
      </c>
      <c r="FB10" s="96">
        <f t="shared" si="66"/>
        <v>22</v>
      </c>
      <c r="FC10" s="104"/>
      <c r="FD10" s="104"/>
      <c r="FE10" s="104"/>
      <c r="FF10" s="97">
        <f t="shared" si="68"/>
        <v>12</v>
      </c>
      <c r="FG10" s="98">
        <f t="shared" si="69"/>
        <v>10</v>
      </c>
      <c r="FH10" s="98">
        <f t="shared" si="70"/>
        <v>22</v>
      </c>
      <c r="FI10" s="116">
        <f t="shared" si="71"/>
        <v>0.4</v>
      </c>
      <c r="FJ10" s="116">
        <f t="shared" si="72"/>
        <v>0.76923076923076927</v>
      </c>
      <c r="FK10" s="116">
        <f t="shared" si="73"/>
        <v>0.51162790697674421</v>
      </c>
      <c r="FL10" s="98">
        <f t="shared" si="74"/>
        <v>20135</v>
      </c>
      <c r="FM10" s="98">
        <f t="shared" si="75"/>
        <v>15458</v>
      </c>
      <c r="FN10" s="98">
        <f t="shared" si="76"/>
        <v>35593</v>
      </c>
      <c r="FO10" s="98">
        <f t="shared" si="77"/>
        <v>19779</v>
      </c>
      <c r="FP10" s="98">
        <f t="shared" si="78"/>
        <v>15316</v>
      </c>
      <c r="FQ10" s="98">
        <f t="shared" si="79"/>
        <v>35095</v>
      </c>
      <c r="FR10" s="103"/>
      <c r="FS10" s="103"/>
      <c r="FT10" s="103"/>
      <c r="FU10" s="98">
        <f t="shared" si="83"/>
        <v>19779</v>
      </c>
      <c r="FV10" s="98">
        <f t="shared" si="84"/>
        <v>15316</v>
      </c>
      <c r="FW10" s="98">
        <f t="shared" si="85"/>
        <v>35095</v>
      </c>
      <c r="FX10" s="116">
        <f t="shared" si="86"/>
        <v>0.98231934442513036</v>
      </c>
      <c r="FY10" s="116">
        <f t="shared" si="87"/>
        <v>0.99081381808772162</v>
      </c>
      <c r="FZ10" s="116">
        <f t="shared" si="88"/>
        <v>0.98600848481442982</v>
      </c>
      <c r="GA10" s="98">
        <f t="shared" si="89"/>
        <v>98523</v>
      </c>
      <c r="GB10" s="98">
        <f t="shared" si="89"/>
        <v>82156</v>
      </c>
      <c r="GC10" s="98">
        <f t="shared" si="89"/>
        <v>180679</v>
      </c>
      <c r="GD10" s="98">
        <v>87474</v>
      </c>
      <c r="GE10" s="98">
        <v>76294</v>
      </c>
      <c r="GF10" s="98">
        <f t="shared" si="90"/>
        <v>163768</v>
      </c>
      <c r="GG10" s="100">
        <f t="shared" si="91"/>
        <v>88.785359763709991</v>
      </c>
      <c r="GH10" s="100">
        <f t="shared" si="91"/>
        <v>92.864793806903933</v>
      </c>
      <c r="GI10" s="100">
        <f t="shared" si="91"/>
        <v>90.640306842521824</v>
      </c>
      <c r="GJ10" s="98">
        <f t="shared" si="92"/>
        <v>4817</v>
      </c>
      <c r="GK10" s="98">
        <f t="shared" si="92"/>
        <v>3851</v>
      </c>
      <c r="GL10" s="98">
        <f t="shared" si="92"/>
        <v>8668</v>
      </c>
      <c r="GM10" s="98">
        <v>3991</v>
      </c>
      <c r="GN10" s="98">
        <v>3321</v>
      </c>
      <c r="GO10" s="98">
        <f t="shared" si="93"/>
        <v>7312</v>
      </c>
      <c r="GP10" s="100">
        <f t="shared" si="94"/>
        <v>82.852397757940622</v>
      </c>
      <c r="GQ10" s="100">
        <f t="shared" si="94"/>
        <v>86.237340950402498</v>
      </c>
      <c r="GR10" s="100">
        <f t="shared" si="94"/>
        <v>84.356252884171667</v>
      </c>
      <c r="GS10" s="98">
        <f t="shared" si="95"/>
        <v>2957</v>
      </c>
      <c r="GT10" s="98">
        <f t="shared" si="95"/>
        <v>2821</v>
      </c>
      <c r="GU10" s="98">
        <f t="shared" si="95"/>
        <v>5778</v>
      </c>
      <c r="GV10" s="98">
        <v>2174</v>
      </c>
      <c r="GW10" s="98">
        <v>2296</v>
      </c>
      <c r="GX10" s="98">
        <f t="shared" si="96"/>
        <v>4470</v>
      </c>
      <c r="GY10" s="100">
        <f t="shared" si="97"/>
        <v>73.520459925600264</v>
      </c>
      <c r="GZ10" s="100">
        <f t="shared" si="97"/>
        <v>81.389578163771716</v>
      </c>
      <c r="HA10" s="100">
        <f t="shared" si="97"/>
        <v>77.362409138110067</v>
      </c>
      <c r="HB10" s="98">
        <f>+FU10</f>
        <v>19779</v>
      </c>
      <c r="HC10" s="98">
        <f t="shared" ref="HC10" si="103">+FV10</f>
        <v>15316</v>
      </c>
      <c r="HD10" s="98">
        <f t="shared" ref="HD10" si="104">+FW10</f>
        <v>35095</v>
      </c>
      <c r="HE10" s="98">
        <v>17225</v>
      </c>
      <c r="HF10" s="98">
        <v>14083</v>
      </c>
      <c r="HG10" s="98">
        <f t="shared" si="99"/>
        <v>31308</v>
      </c>
      <c r="HH10" s="100">
        <f t="shared" si="100"/>
        <v>87.087314828858894</v>
      </c>
      <c r="HI10" s="100">
        <f t="shared" si="101"/>
        <v>91.949595194567777</v>
      </c>
      <c r="HJ10" s="100">
        <f t="shared" si="102"/>
        <v>89.20928907251745</v>
      </c>
    </row>
    <row r="11" spans="1:218" ht="28.5">
      <c r="A11" s="420">
        <v>3</v>
      </c>
      <c r="B11" s="372" t="s">
        <v>424</v>
      </c>
      <c r="C11" s="96">
        <v>310054</v>
      </c>
      <c r="D11" s="96">
        <v>294473</v>
      </c>
      <c r="E11" s="96">
        <f>C11+D11</f>
        <v>604527</v>
      </c>
      <c r="F11" s="96">
        <v>293167</v>
      </c>
      <c r="G11" s="96">
        <v>278783</v>
      </c>
      <c r="H11" s="96">
        <f>F11+G11</f>
        <v>571950</v>
      </c>
      <c r="I11" s="104"/>
      <c r="J11" s="104"/>
      <c r="K11" s="104"/>
      <c r="L11" s="97">
        <f t="shared" ref="L11:N15" si="105">F11+I11</f>
        <v>293167</v>
      </c>
      <c r="M11" s="98">
        <f t="shared" si="105"/>
        <v>278783</v>
      </c>
      <c r="N11" s="98">
        <f t="shared" si="105"/>
        <v>571950</v>
      </c>
      <c r="O11" s="116">
        <f>L11/C11</f>
        <v>0.94553529385203872</v>
      </c>
      <c r="P11" s="116">
        <f>M11/D11</f>
        <v>0.94671837485949473</v>
      </c>
      <c r="Q11" s="116">
        <f>N11/E11</f>
        <v>0.94611158806802675</v>
      </c>
      <c r="R11" s="96">
        <v>19283</v>
      </c>
      <c r="S11" s="96">
        <v>17598</v>
      </c>
      <c r="T11" s="96">
        <f>R11+S11</f>
        <v>36881</v>
      </c>
      <c r="U11" s="96">
        <v>9679</v>
      </c>
      <c r="V11" s="96">
        <v>8745</v>
      </c>
      <c r="W11" s="96">
        <f>U11+V11</f>
        <v>18424</v>
      </c>
      <c r="X11" s="104"/>
      <c r="Y11" s="104"/>
      <c r="Z11" s="104"/>
      <c r="AA11" s="97">
        <f t="shared" ref="AA11:AA15" si="106">U11+X11</f>
        <v>9679</v>
      </c>
      <c r="AB11" s="98">
        <f t="shared" ref="AB11:AB15" si="107">V11+Y11</f>
        <v>8745</v>
      </c>
      <c r="AC11" s="98">
        <f t="shared" ref="AC11:AC15" si="108">W11+Z11</f>
        <v>18424</v>
      </c>
      <c r="AD11" s="116">
        <f>AA11/R11</f>
        <v>0.50194471814551678</v>
      </c>
      <c r="AE11" s="116">
        <f>AB11/S11</f>
        <v>0.49693146948516875</v>
      </c>
      <c r="AF11" s="116">
        <f>AC11/T11</f>
        <v>0.49955261516770155</v>
      </c>
      <c r="AG11" s="98">
        <f>C11+R11</f>
        <v>329337</v>
      </c>
      <c r="AH11" s="98">
        <f t="shared" ref="AG11:AR27" si="109">D11+S11</f>
        <v>312071</v>
      </c>
      <c r="AI11" s="98">
        <f t="shared" si="109"/>
        <v>641408</v>
      </c>
      <c r="AJ11" s="98">
        <f t="shared" si="109"/>
        <v>302846</v>
      </c>
      <c r="AK11" s="98">
        <f t="shared" si="109"/>
        <v>287528</v>
      </c>
      <c r="AL11" s="98">
        <f t="shared" si="109"/>
        <v>590374</v>
      </c>
      <c r="AM11" s="103"/>
      <c r="AN11" s="103"/>
      <c r="AO11" s="103"/>
      <c r="AP11" s="98">
        <f t="shared" ref="AP11:AR27" si="110">L11+AA11</f>
        <v>302846</v>
      </c>
      <c r="AQ11" s="98">
        <f t="shared" si="110"/>
        <v>287528</v>
      </c>
      <c r="AR11" s="98">
        <f t="shared" si="110"/>
        <v>590374</v>
      </c>
      <c r="AS11" s="116">
        <f>AP11/AG11</f>
        <v>0.91956263644837966</v>
      </c>
      <c r="AT11" s="116">
        <f>AQ11/AH11</f>
        <v>0.9213544353688744</v>
      </c>
      <c r="AU11" s="116">
        <f>AR11/AI11</f>
        <v>0.92043441927758929</v>
      </c>
      <c r="AV11" s="96">
        <v>57571</v>
      </c>
      <c r="AW11" s="96">
        <v>57358</v>
      </c>
      <c r="AX11" s="96">
        <f>AV11+AW11</f>
        <v>114929</v>
      </c>
      <c r="AY11" s="96">
        <v>52339</v>
      </c>
      <c r="AZ11" s="96">
        <v>52494</v>
      </c>
      <c r="BA11" s="96">
        <f>AY11+AZ11</f>
        <v>104833</v>
      </c>
      <c r="BB11" s="104"/>
      <c r="BC11" s="104"/>
      <c r="BD11" s="104"/>
      <c r="BE11" s="97">
        <f t="shared" ref="BE11:BE15" si="111">AY11+BB11</f>
        <v>52339</v>
      </c>
      <c r="BF11" s="98">
        <f t="shared" ref="BF11:BF15" si="112">AZ11+BC11</f>
        <v>52494</v>
      </c>
      <c r="BG11" s="98">
        <f t="shared" ref="BG11:BG15" si="113">BA11+BD11</f>
        <v>104833</v>
      </c>
      <c r="BH11" s="116">
        <f>BE11/AV11</f>
        <v>0.90912091157006136</v>
      </c>
      <c r="BI11" s="116">
        <f>BF11/AW11</f>
        <v>0.91519927473063911</v>
      </c>
      <c r="BJ11" s="116">
        <f>BG11/AX11</f>
        <v>0.91215446058001026</v>
      </c>
      <c r="BK11" s="96">
        <v>5909</v>
      </c>
      <c r="BL11" s="96">
        <v>5421</v>
      </c>
      <c r="BM11" s="96">
        <f>BK11+BL11</f>
        <v>11330</v>
      </c>
      <c r="BN11" s="96">
        <v>2880</v>
      </c>
      <c r="BO11" s="96">
        <v>2636</v>
      </c>
      <c r="BP11" s="96">
        <f>BN11+BO11</f>
        <v>5516</v>
      </c>
      <c r="BQ11" s="104"/>
      <c r="BR11" s="104"/>
      <c r="BS11" s="104"/>
      <c r="BT11" s="97">
        <f t="shared" ref="BT11:BT15" si="114">BN11+BQ11</f>
        <v>2880</v>
      </c>
      <c r="BU11" s="98">
        <f t="shared" ref="BU11:BU15" si="115">BO11+BR11</f>
        <v>2636</v>
      </c>
      <c r="BV11" s="98">
        <f t="shared" ref="BV11:BV15" si="116">BP11+BS11</f>
        <v>5516</v>
      </c>
      <c r="BW11" s="116">
        <f>BT11/BK11</f>
        <v>0.48739211372482655</v>
      </c>
      <c r="BX11" s="116">
        <f>BU11/BL11</f>
        <v>0.48625714812765175</v>
      </c>
      <c r="BY11" s="116">
        <f>BV11/BM11</f>
        <v>0.48684907325684024</v>
      </c>
      <c r="BZ11" s="98">
        <f t="shared" ref="BZ11:CE12" si="117">AV11+BK11</f>
        <v>63480</v>
      </c>
      <c r="CA11" s="98">
        <f t="shared" si="117"/>
        <v>62779</v>
      </c>
      <c r="CB11" s="98">
        <f t="shared" si="117"/>
        <v>126259</v>
      </c>
      <c r="CC11" s="98">
        <f t="shared" si="117"/>
        <v>55219</v>
      </c>
      <c r="CD11" s="98">
        <f t="shared" si="117"/>
        <v>55130</v>
      </c>
      <c r="CE11" s="98">
        <f t="shared" si="117"/>
        <v>110349</v>
      </c>
      <c r="CF11" s="103"/>
      <c r="CG11" s="103"/>
      <c r="CH11" s="103"/>
      <c r="CI11" s="98">
        <f t="shared" ref="CI11:CK15" si="118">BE11+BT11</f>
        <v>55219</v>
      </c>
      <c r="CJ11" s="98">
        <f t="shared" si="118"/>
        <v>55130</v>
      </c>
      <c r="CK11" s="98">
        <f t="shared" si="118"/>
        <v>110349</v>
      </c>
      <c r="CL11" s="116">
        <f>CI11/BZ11</f>
        <v>0.86986452425960936</v>
      </c>
      <c r="CM11" s="116">
        <f>CJ11/CA11</f>
        <v>0.87815989423214769</v>
      </c>
      <c r="CN11" s="116">
        <f>CK11/CB11</f>
        <v>0.87398918096927747</v>
      </c>
      <c r="CO11" s="96">
        <v>14539</v>
      </c>
      <c r="CP11" s="96">
        <v>15012</v>
      </c>
      <c r="CQ11" s="96">
        <f>CO11+CP11</f>
        <v>29551</v>
      </c>
      <c r="CR11" s="96">
        <v>13364</v>
      </c>
      <c r="CS11" s="96">
        <v>13677</v>
      </c>
      <c r="CT11" s="96">
        <f>CR11+CS11</f>
        <v>27041</v>
      </c>
      <c r="CU11" s="403"/>
      <c r="CV11" s="403"/>
      <c r="CW11" s="403"/>
      <c r="CX11" s="97">
        <f t="shared" ref="CX11:CX15" si="119">CR11+CU11</f>
        <v>13364</v>
      </c>
      <c r="CY11" s="98">
        <f t="shared" ref="CY11:CY15" si="120">CS11+CV11</f>
        <v>13677</v>
      </c>
      <c r="CZ11" s="98">
        <f t="shared" ref="CZ11:CZ15" si="121">CT11+CW11</f>
        <v>27041</v>
      </c>
      <c r="DA11" s="116">
        <f>CX11/CO11</f>
        <v>0.91918288740628651</v>
      </c>
      <c r="DB11" s="116">
        <f>CY11/CP11</f>
        <v>0.91107114308553161</v>
      </c>
      <c r="DC11" s="116">
        <f>CZ11/CQ11</f>
        <v>0.91506209603735911</v>
      </c>
      <c r="DD11" s="96">
        <v>1414</v>
      </c>
      <c r="DE11" s="96">
        <v>1487</v>
      </c>
      <c r="DF11" s="96">
        <f>DD11+DE11</f>
        <v>2901</v>
      </c>
      <c r="DG11" s="96">
        <v>767</v>
      </c>
      <c r="DH11" s="96">
        <v>882</v>
      </c>
      <c r="DI11" s="96">
        <f>DG11+DH11</f>
        <v>1649</v>
      </c>
      <c r="DJ11" s="403"/>
      <c r="DK11" s="403"/>
      <c r="DL11" s="403"/>
      <c r="DM11" s="97">
        <f t="shared" ref="DM11:DM15" si="122">DG11+DJ11</f>
        <v>767</v>
      </c>
      <c r="DN11" s="98">
        <f t="shared" ref="DN11:DN15" si="123">DH11+DK11</f>
        <v>882</v>
      </c>
      <c r="DO11" s="98">
        <f t="shared" ref="DO11:DO15" si="124">DI11+DL11</f>
        <v>1649</v>
      </c>
      <c r="DP11" s="116">
        <f>DM11/DD11</f>
        <v>0.54243281471004245</v>
      </c>
      <c r="DQ11" s="116">
        <f>DN11/DE11</f>
        <v>0.59314055144586419</v>
      </c>
      <c r="DR11" s="116">
        <f>DO11/DF11</f>
        <v>0.56842468114443301</v>
      </c>
      <c r="DS11" s="98">
        <f t="shared" ref="DS11:DX27" si="125">CO11+DD11</f>
        <v>15953</v>
      </c>
      <c r="DT11" s="98">
        <f t="shared" si="125"/>
        <v>16499</v>
      </c>
      <c r="DU11" s="98">
        <f t="shared" si="125"/>
        <v>32452</v>
      </c>
      <c r="DV11" s="98">
        <f t="shared" si="125"/>
        <v>14131</v>
      </c>
      <c r="DW11" s="98">
        <f t="shared" si="125"/>
        <v>14559</v>
      </c>
      <c r="DX11" s="98">
        <f t="shared" si="125"/>
        <v>28690</v>
      </c>
      <c r="DY11" s="103"/>
      <c r="DZ11" s="103"/>
      <c r="EA11" s="103"/>
      <c r="EB11" s="98">
        <f>CX11+DM11</f>
        <v>14131</v>
      </c>
      <c r="EC11" s="98">
        <f>CY11+DN11</f>
        <v>14559</v>
      </c>
      <c r="ED11" s="98">
        <f>CZ11+DO11</f>
        <v>28690</v>
      </c>
      <c r="EE11" s="116">
        <f>EB11/DS11</f>
        <v>0.88578950667586032</v>
      </c>
      <c r="EF11" s="116">
        <f>EC11/DT11</f>
        <v>0.88241711618885998</v>
      </c>
      <c r="EG11" s="116">
        <f>ED11/DU11</f>
        <v>0.88407494145199061</v>
      </c>
      <c r="EH11" s="96">
        <v>237944</v>
      </c>
      <c r="EI11" s="96">
        <v>222103</v>
      </c>
      <c r="EJ11" s="96">
        <f>EH11+EI11</f>
        <v>460047</v>
      </c>
      <c r="EK11" s="96">
        <v>227464</v>
      </c>
      <c r="EL11" s="96">
        <v>212612</v>
      </c>
      <c r="EM11" s="96">
        <f>EK11+EL11</f>
        <v>440076</v>
      </c>
      <c r="EN11" s="403"/>
      <c r="EO11" s="403"/>
      <c r="EP11" s="404"/>
      <c r="EQ11" s="97">
        <f t="shared" ref="EQ11:EQ15" si="126">EK11+EN11</f>
        <v>227464</v>
      </c>
      <c r="ER11" s="98">
        <f t="shared" ref="EQ11:ER15" si="127">EL11+EO11</f>
        <v>212612</v>
      </c>
      <c r="ES11" s="98">
        <f t="shared" ref="ES11:ES15" si="128">EM11+EP11</f>
        <v>440076</v>
      </c>
      <c r="ET11" s="116">
        <f>EQ11/EH11</f>
        <v>0.95595602326597851</v>
      </c>
      <c r="EU11" s="116">
        <f>ER11/EI11</f>
        <v>0.95726757405347973</v>
      </c>
      <c r="EV11" s="116">
        <f>ES11/EJ11</f>
        <v>0.95658921805815489</v>
      </c>
      <c r="EW11" s="96">
        <v>11960</v>
      </c>
      <c r="EX11" s="96">
        <v>10690</v>
      </c>
      <c r="EY11" s="96">
        <f>EW11+EX11</f>
        <v>22650</v>
      </c>
      <c r="EZ11" s="96">
        <v>6032</v>
      </c>
      <c r="FA11" s="96">
        <v>5227</v>
      </c>
      <c r="FB11" s="96">
        <f>EZ11+FA11</f>
        <v>11259</v>
      </c>
      <c r="FC11" s="403"/>
      <c r="FD11" s="403"/>
      <c r="FE11" s="404"/>
      <c r="FF11" s="97">
        <f t="shared" ref="FF11:FF15" si="129">EZ11+FC11</f>
        <v>6032</v>
      </c>
      <c r="FG11" s="98">
        <f t="shared" ref="FG11:FG15" si="130">FA11+FD11</f>
        <v>5227</v>
      </c>
      <c r="FH11" s="98">
        <f t="shared" ref="FH11:FH15" si="131">FB11+FE11</f>
        <v>11259</v>
      </c>
      <c r="FI11" s="116">
        <f>FF11/EW11</f>
        <v>0.5043478260869565</v>
      </c>
      <c r="FJ11" s="116">
        <f>FG11/EX11</f>
        <v>0.48896164639850326</v>
      </c>
      <c r="FK11" s="116">
        <f>FH11/EY11</f>
        <v>0.4970860927152318</v>
      </c>
      <c r="FL11" s="98">
        <f t="shared" ref="FL11:FL16" si="132">EH11+EW11</f>
        <v>249904</v>
      </c>
      <c r="FM11" s="98">
        <f t="shared" ref="FM11:FM16" si="133">EI11+EX11</f>
        <v>232793</v>
      </c>
      <c r="FN11" s="98">
        <f t="shared" ref="FN11:FN16" si="134">EJ11+EY11</f>
        <v>482697</v>
      </c>
      <c r="FO11" s="98">
        <f t="shared" ref="FO11:FO12" si="135">EK11+EZ11</f>
        <v>233496</v>
      </c>
      <c r="FP11" s="98">
        <f t="shared" ref="FP11:FP12" si="136">EL11+FA11</f>
        <v>217839</v>
      </c>
      <c r="FQ11" s="98">
        <f t="shared" ref="FQ11" si="137">EM11+FB11</f>
        <v>451335</v>
      </c>
      <c r="FR11" s="103"/>
      <c r="FS11" s="103"/>
      <c r="FT11" s="103"/>
      <c r="FU11" s="98">
        <f>EQ11+FF11</f>
        <v>233496</v>
      </c>
      <c r="FV11" s="98">
        <f>ER11+FG11</f>
        <v>217839</v>
      </c>
      <c r="FW11" s="98">
        <f>ES11+FH11</f>
        <v>451335</v>
      </c>
      <c r="FX11" s="116">
        <f>FU11/FL11</f>
        <v>0.93434278763045009</v>
      </c>
      <c r="FY11" s="116">
        <f>FV11/FM11</f>
        <v>0.93576267327625828</v>
      </c>
      <c r="FZ11" s="116">
        <f>FW11/FN11</f>
        <v>0.9350275638754747</v>
      </c>
      <c r="GA11" s="98">
        <f t="shared" ref="GA11:GC13" si="138">+AP11</f>
        <v>302846</v>
      </c>
      <c r="GB11" s="98">
        <f t="shared" si="138"/>
        <v>287528</v>
      </c>
      <c r="GC11" s="98">
        <f t="shared" si="138"/>
        <v>590374</v>
      </c>
      <c r="GD11" s="98">
        <v>287987</v>
      </c>
      <c r="GE11" s="98">
        <v>275551</v>
      </c>
      <c r="GF11" s="98">
        <f t="shared" si="90"/>
        <v>563538</v>
      </c>
      <c r="GG11" s="379">
        <f t="shared" ref="GG11:GI11" si="139">+GD11*100/GA11</f>
        <v>95.093545894613101</v>
      </c>
      <c r="GH11" s="379">
        <f t="shared" si="139"/>
        <v>95.834492640716732</v>
      </c>
      <c r="GI11" s="379">
        <f t="shared" si="139"/>
        <v>95.454406867511096</v>
      </c>
      <c r="GJ11" s="98">
        <f t="shared" ref="GJ11:GL13" si="140">+CI11</f>
        <v>55219</v>
      </c>
      <c r="GK11" s="98">
        <f t="shared" si="140"/>
        <v>55130</v>
      </c>
      <c r="GL11" s="98">
        <f t="shared" si="140"/>
        <v>110349</v>
      </c>
      <c r="GM11" s="380">
        <v>50734</v>
      </c>
      <c r="GN11" s="380">
        <v>51471</v>
      </c>
      <c r="GO11" s="380">
        <f t="shared" ref="GO11" si="141">GM11+GN11</f>
        <v>102205</v>
      </c>
      <c r="GP11" s="381">
        <f t="shared" ref="GP11:GR11" si="142">+GM11*100/GJ11</f>
        <v>91.877795686267405</v>
      </c>
      <c r="GQ11" s="381">
        <f t="shared" si="142"/>
        <v>93.362960275711956</v>
      </c>
      <c r="GR11" s="381">
        <f t="shared" si="142"/>
        <v>92.619779064604117</v>
      </c>
      <c r="GS11" s="98">
        <f>+EB11</f>
        <v>14131</v>
      </c>
      <c r="GT11" s="98">
        <f>+EC11</f>
        <v>14559</v>
      </c>
      <c r="GU11" s="98">
        <f>+ED11</f>
        <v>28690</v>
      </c>
      <c r="GV11" s="380">
        <v>12968</v>
      </c>
      <c r="GW11" s="380">
        <v>13376</v>
      </c>
      <c r="GX11" s="380">
        <f t="shared" ref="GX11" si="143">GV11+GW11</f>
        <v>26344</v>
      </c>
      <c r="GY11" s="381">
        <f t="shared" ref="GY11:HA11" si="144">+GV11*100/GS11</f>
        <v>91.769867666831786</v>
      </c>
      <c r="GZ11" s="381">
        <f t="shared" si="144"/>
        <v>91.874441925956447</v>
      </c>
      <c r="HA11" s="381">
        <f t="shared" si="144"/>
        <v>91.82293482049495</v>
      </c>
      <c r="HB11" s="98">
        <f>+FU11</f>
        <v>233496</v>
      </c>
      <c r="HC11" s="98">
        <f t="shared" ref="HC11" si="145">+FV11</f>
        <v>217839</v>
      </c>
      <c r="HD11" s="98">
        <f t="shared" ref="HD11" si="146">+FW11</f>
        <v>451335</v>
      </c>
      <c r="HE11" s="380">
        <v>224285</v>
      </c>
      <c r="HF11" s="380">
        <v>210704</v>
      </c>
      <c r="HG11" s="380">
        <f t="shared" ref="HG11" si="147">HE11+HF11</f>
        <v>434989</v>
      </c>
      <c r="HH11" s="381">
        <f t="shared" ref="HH11" si="148">+HE11*100/HB11</f>
        <v>96.055178675437702</v>
      </c>
      <c r="HI11" s="381">
        <f t="shared" ref="HI11" si="149">+HF11*100/HC11</f>
        <v>96.724645265540147</v>
      </c>
      <c r="HJ11" s="381">
        <f t="shared" ref="HJ11" si="150">+HG11*100/HD11</f>
        <v>96.378299932422706</v>
      </c>
    </row>
    <row r="12" spans="1:218" s="427" customFormat="1" ht="28.5">
      <c r="A12" s="420">
        <v>4</v>
      </c>
      <c r="B12" s="118" t="s">
        <v>388</v>
      </c>
      <c r="C12" s="96">
        <v>253792</v>
      </c>
      <c r="D12" s="96">
        <v>247940</v>
      </c>
      <c r="E12" s="96">
        <f>C12+D12</f>
        <v>501732</v>
      </c>
      <c r="F12" s="96">
        <v>209226</v>
      </c>
      <c r="G12" s="96">
        <v>211081</v>
      </c>
      <c r="H12" s="96">
        <f>F12+G12</f>
        <v>420307</v>
      </c>
      <c r="I12" s="403"/>
      <c r="J12" s="403"/>
      <c r="K12" s="403"/>
      <c r="L12" s="97">
        <f t="shared" si="105"/>
        <v>209226</v>
      </c>
      <c r="M12" s="98">
        <f t="shared" si="105"/>
        <v>211081</v>
      </c>
      <c r="N12" s="98">
        <f t="shared" si="105"/>
        <v>420307</v>
      </c>
      <c r="O12" s="116">
        <f t="shared" ref="O12" si="151">L12/C12</f>
        <v>0.82439950825873154</v>
      </c>
      <c r="P12" s="116">
        <f>M12/D12</f>
        <v>0.85133903363717023</v>
      </c>
      <c r="Q12" s="116">
        <f>N12/E12</f>
        <v>0.83771216506023138</v>
      </c>
      <c r="R12" s="96">
        <v>20659</v>
      </c>
      <c r="S12" s="96">
        <v>12335</v>
      </c>
      <c r="T12" s="96">
        <f>R12+S12</f>
        <v>32994</v>
      </c>
      <c r="U12" s="96">
        <v>6325</v>
      </c>
      <c r="V12" s="96">
        <v>4508</v>
      </c>
      <c r="W12" s="96">
        <f>U12+V12</f>
        <v>10833</v>
      </c>
      <c r="X12" s="403"/>
      <c r="Y12" s="403"/>
      <c r="Z12" s="403"/>
      <c r="AA12" s="97">
        <f t="shared" si="106"/>
        <v>6325</v>
      </c>
      <c r="AB12" s="98">
        <f t="shared" si="107"/>
        <v>4508</v>
      </c>
      <c r="AC12" s="98">
        <f t="shared" si="108"/>
        <v>10833</v>
      </c>
      <c r="AD12" s="116">
        <f t="shared" ref="AD12" si="152">AA12/R12</f>
        <v>0.30616196330896944</v>
      </c>
      <c r="AE12" s="116">
        <f>AB12/S12</f>
        <v>0.36546412646939602</v>
      </c>
      <c r="AF12" s="116">
        <f>AC12/T12</f>
        <v>0.32833242407710495</v>
      </c>
      <c r="AG12" s="98">
        <f t="shared" si="109"/>
        <v>274451</v>
      </c>
      <c r="AH12" s="98">
        <f t="shared" si="109"/>
        <v>260275</v>
      </c>
      <c r="AI12" s="98">
        <f t="shared" si="109"/>
        <v>534726</v>
      </c>
      <c r="AJ12" s="98">
        <f t="shared" si="109"/>
        <v>215551</v>
      </c>
      <c r="AK12" s="98">
        <f t="shared" si="109"/>
        <v>215589</v>
      </c>
      <c r="AL12" s="98">
        <f t="shared" si="109"/>
        <v>431140</v>
      </c>
      <c r="AM12" s="98">
        <v>26505</v>
      </c>
      <c r="AN12" s="98">
        <v>22158</v>
      </c>
      <c r="AO12" s="98">
        <f>AM12+AN12</f>
        <v>48663</v>
      </c>
      <c r="AP12" s="98">
        <f t="shared" ref="AP12" si="153">L12+AA12</f>
        <v>215551</v>
      </c>
      <c r="AQ12" s="98">
        <f t="shared" ref="AQ12" si="154">M12+AB12</f>
        <v>215589</v>
      </c>
      <c r="AR12" s="98">
        <f t="shared" si="110"/>
        <v>431140</v>
      </c>
      <c r="AS12" s="116">
        <f t="shared" ref="AS12" si="155">AP12/AG12</f>
        <v>0.78538974170252618</v>
      </c>
      <c r="AT12" s="116">
        <f>AQ12/AH12</f>
        <v>0.82831236192488711</v>
      </c>
      <c r="AU12" s="116">
        <f>AR12/AI12</f>
        <v>0.80628209587714084</v>
      </c>
      <c r="AV12" s="96">
        <v>43715</v>
      </c>
      <c r="AW12" s="96">
        <v>44404</v>
      </c>
      <c r="AX12" s="96">
        <f>AV12+AW12</f>
        <v>88119</v>
      </c>
      <c r="AY12" s="96">
        <v>34591</v>
      </c>
      <c r="AZ12" s="96">
        <v>36675</v>
      </c>
      <c r="BA12" s="96">
        <f>AY12+AZ12</f>
        <v>71266</v>
      </c>
      <c r="BB12" s="403"/>
      <c r="BC12" s="403"/>
      <c r="BD12" s="403"/>
      <c r="BE12" s="97">
        <f t="shared" si="111"/>
        <v>34591</v>
      </c>
      <c r="BF12" s="98">
        <f t="shared" si="112"/>
        <v>36675</v>
      </c>
      <c r="BG12" s="98">
        <f t="shared" si="113"/>
        <v>71266</v>
      </c>
      <c r="BH12" s="116">
        <f t="shared" ref="BH12" si="156">BE12/AV12</f>
        <v>0.79128445613633769</v>
      </c>
      <c r="BI12" s="116">
        <f>BF12/AW12</f>
        <v>0.8259391045851725</v>
      </c>
      <c r="BJ12" s="116">
        <f>BG12/AX12</f>
        <v>0.80874726222494586</v>
      </c>
      <c r="BK12" s="96">
        <v>4442</v>
      </c>
      <c r="BL12" s="96">
        <v>2960</v>
      </c>
      <c r="BM12" s="96">
        <f>BK12+BL12</f>
        <v>7402</v>
      </c>
      <c r="BN12" s="96">
        <v>1309</v>
      </c>
      <c r="BO12" s="96">
        <v>965</v>
      </c>
      <c r="BP12" s="96">
        <f>BN12+BO12</f>
        <v>2274</v>
      </c>
      <c r="BQ12" s="403"/>
      <c r="BR12" s="403"/>
      <c r="BS12" s="403"/>
      <c r="BT12" s="97">
        <f t="shared" si="114"/>
        <v>1309</v>
      </c>
      <c r="BU12" s="98">
        <f t="shared" si="115"/>
        <v>965</v>
      </c>
      <c r="BV12" s="98">
        <f t="shared" si="116"/>
        <v>2274</v>
      </c>
      <c r="BW12" s="116">
        <f t="shared" ref="BW12" si="157">BT12/BK12</f>
        <v>0.29468707789284104</v>
      </c>
      <c r="BX12" s="116">
        <f>BU12/BL12</f>
        <v>0.32601351351351349</v>
      </c>
      <c r="BY12" s="116">
        <f>BV12/BM12</f>
        <v>0.30721426641448257</v>
      </c>
      <c r="BZ12" s="98">
        <f t="shared" si="117"/>
        <v>48157</v>
      </c>
      <c r="CA12" s="98">
        <f t="shared" si="117"/>
        <v>47364</v>
      </c>
      <c r="CB12" s="98">
        <f>AX12+BM12</f>
        <v>95521</v>
      </c>
      <c r="CC12" s="98">
        <f t="shared" si="117"/>
        <v>35900</v>
      </c>
      <c r="CD12" s="98">
        <f t="shared" si="117"/>
        <v>37640</v>
      </c>
      <c r="CE12" s="98">
        <f>BA12+BP12</f>
        <v>73540</v>
      </c>
      <c r="CF12" s="98">
        <v>5648</v>
      </c>
      <c r="CG12" s="98">
        <v>4875</v>
      </c>
      <c r="CH12" s="98">
        <f>CF12+CG12</f>
        <v>10523</v>
      </c>
      <c r="CI12" s="98">
        <f>BE12+BT12+CF12</f>
        <v>41548</v>
      </c>
      <c r="CJ12" s="98">
        <f>BF12+BU12+CG12</f>
        <v>42515</v>
      </c>
      <c r="CK12" s="98">
        <f>BG12+BV12+CH12</f>
        <v>84063</v>
      </c>
      <c r="CL12" s="116">
        <f t="shared" ref="CL12:CN12" si="158">CI12/BZ12</f>
        <v>0.86276138463774732</v>
      </c>
      <c r="CM12" s="116">
        <f t="shared" si="158"/>
        <v>0.89762266700447602</v>
      </c>
      <c r="CN12" s="116">
        <f t="shared" si="158"/>
        <v>0.88004731943761061</v>
      </c>
      <c r="CO12" s="96">
        <v>26129</v>
      </c>
      <c r="CP12" s="96">
        <v>24169</v>
      </c>
      <c r="CQ12" s="96">
        <f>CO12+CP12</f>
        <v>50298</v>
      </c>
      <c r="CR12" s="96">
        <v>20151</v>
      </c>
      <c r="CS12" s="96">
        <v>18466</v>
      </c>
      <c r="CT12" s="96">
        <f>CR12+CS12</f>
        <v>38617</v>
      </c>
      <c r="CU12" s="403"/>
      <c r="CV12" s="403"/>
      <c r="CW12" s="403"/>
      <c r="CX12" s="97">
        <f t="shared" si="119"/>
        <v>20151</v>
      </c>
      <c r="CY12" s="98">
        <f t="shared" si="120"/>
        <v>18466</v>
      </c>
      <c r="CZ12" s="98">
        <f t="shared" si="121"/>
        <v>38617</v>
      </c>
      <c r="DA12" s="116">
        <f t="shared" ref="DA12" si="159">CX12/CO12</f>
        <v>0.77121206322476943</v>
      </c>
      <c r="DB12" s="116">
        <f>CY12/CP12</f>
        <v>0.76403657577889028</v>
      </c>
      <c r="DC12" s="116">
        <f>CZ12/CQ12</f>
        <v>0.76776412581017139</v>
      </c>
      <c r="DD12" s="96">
        <v>2212</v>
      </c>
      <c r="DE12" s="96">
        <v>1777</v>
      </c>
      <c r="DF12" s="96">
        <f>DD12+DE12</f>
        <v>3989</v>
      </c>
      <c r="DG12" s="96">
        <v>597</v>
      </c>
      <c r="DH12" s="96">
        <v>534</v>
      </c>
      <c r="DI12" s="96">
        <f>DG12+DH12</f>
        <v>1131</v>
      </c>
      <c r="DJ12" s="403"/>
      <c r="DK12" s="403"/>
      <c r="DL12" s="403"/>
      <c r="DM12" s="97">
        <f t="shared" si="122"/>
        <v>597</v>
      </c>
      <c r="DN12" s="98">
        <f t="shared" si="123"/>
        <v>534</v>
      </c>
      <c r="DO12" s="98">
        <f t="shared" si="124"/>
        <v>1131</v>
      </c>
      <c r="DP12" s="116">
        <f t="shared" ref="DP12" si="160">DM12/DD12</f>
        <v>0.26989150090415914</v>
      </c>
      <c r="DQ12" s="116">
        <f>DN12/DE12</f>
        <v>0.30050647158131683</v>
      </c>
      <c r="DR12" s="116">
        <f>DO12/DF12</f>
        <v>0.28352970669340688</v>
      </c>
      <c r="DS12" s="98">
        <f t="shared" si="125"/>
        <v>28341</v>
      </c>
      <c r="DT12" s="98">
        <f t="shared" si="125"/>
        <v>25946</v>
      </c>
      <c r="DU12" s="98">
        <f t="shared" si="125"/>
        <v>54287</v>
      </c>
      <c r="DV12" s="98">
        <f t="shared" si="125"/>
        <v>20748</v>
      </c>
      <c r="DW12" s="98">
        <f t="shared" si="125"/>
        <v>19000</v>
      </c>
      <c r="DX12" s="98">
        <f>CT12+DI12</f>
        <v>39748</v>
      </c>
      <c r="DY12" s="98">
        <v>3032</v>
      </c>
      <c r="DZ12" s="98">
        <v>2932</v>
      </c>
      <c r="EA12" s="98">
        <f>DY12+DZ12</f>
        <v>5964</v>
      </c>
      <c r="EB12" s="98">
        <f>CX12+DM12+DY12</f>
        <v>23780</v>
      </c>
      <c r="EC12" s="98">
        <f>CY12+DN12+DZ12</f>
        <v>21932</v>
      </c>
      <c r="ED12" s="98">
        <f>CZ12+DO12+EA12</f>
        <v>45712</v>
      </c>
      <c r="EE12" s="116">
        <f t="shared" ref="EE12:EF12" si="161">EB12/DS12</f>
        <v>0.83906707596767938</v>
      </c>
      <c r="EF12" s="116">
        <f t="shared" si="161"/>
        <v>0.84529407230401599</v>
      </c>
      <c r="EG12" s="116">
        <f>ED12/DU12</f>
        <v>0.84204321476596611</v>
      </c>
      <c r="EH12" s="96">
        <v>140614</v>
      </c>
      <c r="EI12" s="96">
        <v>136291</v>
      </c>
      <c r="EJ12" s="96">
        <f>EH12+EI12</f>
        <v>276905</v>
      </c>
      <c r="EK12" s="96">
        <v>118760</v>
      </c>
      <c r="EL12" s="96">
        <v>118802</v>
      </c>
      <c r="EM12" s="96">
        <f>EK12+EL12</f>
        <v>237562</v>
      </c>
      <c r="EN12" s="403"/>
      <c r="EO12" s="403"/>
      <c r="EP12" s="403"/>
      <c r="EQ12" s="97">
        <f t="shared" si="126"/>
        <v>118760</v>
      </c>
      <c r="ER12" s="98">
        <f t="shared" si="127"/>
        <v>118802</v>
      </c>
      <c r="ES12" s="98">
        <f t="shared" si="128"/>
        <v>237562</v>
      </c>
      <c r="ET12" s="116">
        <f t="shared" ref="ET12" si="162">EQ12/EH12</f>
        <v>0.84458162060676745</v>
      </c>
      <c r="EU12" s="116">
        <f>ER12/EI12</f>
        <v>0.87167898100388141</v>
      </c>
      <c r="EV12" s="116">
        <f>ES12/EJ12</f>
        <v>0.85791878080930284</v>
      </c>
      <c r="EW12" s="96">
        <v>10088</v>
      </c>
      <c r="EX12" s="96">
        <v>5943</v>
      </c>
      <c r="EY12" s="96">
        <f>EW12+EX12</f>
        <v>16031</v>
      </c>
      <c r="EZ12" s="96">
        <v>2840</v>
      </c>
      <c r="FA12" s="96">
        <v>1996</v>
      </c>
      <c r="FB12" s="96">
        <f>EZ12+FA12</f>
        <v>4836</v>
      </c>
      <c r="FC12" s="403"/>
      <c r="FD12" s="403"/>
      <c r="FE12" s="403"/>
      <c r="FF12" s="97">
        <f t="shared" si="129"/>
        <v>2840</v>
      </c>
      <c r="FG12" s="98">
        <f t="shared" si="130"/>
        <v>1996</v>
      </c>
      <c r="FH12" s="98">
        <f t="shared" si="131"/>
        <v>4836</v>
      </c>
      <c r="FI12" s="116">
        <f t="shared" ref="FI12" si="163">FF12/EW12</f>
        <v>0.28152260111022998</v>
      </c>
      <c r="FJ12" s="116">
        <f>FG12/EX12</f>
        <v>0.33585731112232881</v>
      </c>
      <c r="FK12" s="116">
        <f>FH12/EY12</f>
        <v>0.30166552304909239</v>
      </c>
      <c r="FL12" s="98">
        <f t="shared" si="132"/>
        <v>150702</v>
      </c>
      <c r="FM12" s="98">
        <f t="shared" si="133"/>
        <v>142234</v>
      </c>
      <c r="FN12" s="98">
        <f t="shared" si="134"/>
        <v>292936</v>
      </c>
      <c r="FO12" s="98">
        <f t="shared" si="135"/>
        <v>121600</v>
      </c>
      <c r="FP12" s="98">
        <f t="shared" si="136"/>
        <v>120798</v>
      </c>
      <c r="FQ12" s="98">
        <f>EM12+FB12</f>
        <v>242398</v>
      </c>
      <c r="FR12" s="98">
        <v>13546</v>
      </c>
      <c r="FS12" s="98">
        <v>10884</v>
      </c>
      <c r="FT12" s="98">
        <f>FR12+FS12</f>
        <v>24430</v>
      </c>
      <c r="FU12" s="98">
        <f>EQ12+FF12+FR12</f>
        <v>135146</v>
      </c>
      <c r="FV12" s="98">
        <f>ER12+FG12+FS12</f>
        <v>131682</v>
      </c>
      <c r="FW12" s="98">
        <f>ES12+FH12+FT12</f>
        <v>266828</v>
      </c>
      <c r="FX12" s="116">
        <f t="shared" ref="FX12" si="164">FU12/FL12</f>
        <v>0.89677641968918798</v>
      </c>
      <c r="FY12" s="116">
        <f t="shared" ref="FY12" si="165">FV12/FM12</f>
        <v>0.92581239366114998</v>
      </c>
      <c r="FZ12" s="116">
        <f>FW12/FN12</f>
        <v>0.91087473031651967</v>
      </c>
      <c r="GA12" s="98">
        <f t="shared" si="138"/>
        <v>215551</v>
      </c>
      <c r="GB12" s="98">
        <f t="shared" si="138"/>
        <v>215589</v>
      </c>
      <c r="GC12" s="98">
        <f t="shared" si="138"/>
        <v>431140</v>
      </c>
      <c r="GD12" s="404"/>
      <c r="GE12" s="404"/>
      <c r="GF12" s="404"/>
      <c r="GG12" s="407"/>
      <c r="GH12" s="407"/>
      <c r="GI12" s="407"/>
      <c r="GJ12" s="98">
        <f t="shared" si="140"/>
        <v>41548</v>
      </c>
      <c r="GK12" s="98">
        <f t="shared" si="140"/>
        <v>42515</v>
      </c>
      <c r="GL12" s="98">
        <f t="shared" si="140"/>
        <v>84063</v>
      </c>
      <c r="GM12" s="404"/>
      <c r="GN12" s="404"/>
      <c r="GO12" s="404"/>
      <c r="GP12" s="407"/>
      <c r="GQ12" s="407"/>
      <c r="GR12" s="407"/>
      <c r="GS12" s="98">
        <f t="shared" ref="GS12" si="166">+EB12</f>
        <v>23780</v>
      </c>
      <c r="GT12" s="98">
        <f>+EC12</f>
        <v>21932</v>
      </c>
      <c r="GU12" s="98">
        <f>+ED12</f>
        <v>45712</v>
      </c>
      <c r="GV12" s="404"/>
      <c r="GW12" s="404"/>
      <c r="GX12" s="404"/>
      <c r="GY12" s="407"/>
      <c r="GZ12" s="407"/>
      <c r="HA12" s="407"/>
      <c r="HB12" s="98">
        <f t="shared" ref="HB12:HB50" si="167">+FU12</f>
        <v>135146</v>
      </c>
      <c r="HC12" s="98">
        <f t="shared" ref="HC12:HC50" si="168">+FV12</f>
        <v>131682</v>
      </c>
      <c r="HD12" s="98">
        <f t="shared" ref="HD12:HD50" si="169">+FW12</f>
        <v>266828</v>
      </c>
      <c r="HE12" s="404"/>
      <c r="HF12" s="404"/>
      <c r="HG12" s="404"/>
      <c r="HH12" s="407">
        <f t="shared" ref="HH12:HJ14" si="170">+HE12*100/HB12</f>
        <v>0</v>
      </c>
      <c r="HI12" s="407">
        <f t="shared" si="170"/>
        <v>0</v>
      </c>
      <c r="HJ12" s="407">
        <f t="shared" si="170"/>
        <v>0</v>
      </c>
    </row>
    <row r="13" spans="1:218" ht="28.5">
      <c r="A13" s="420">
        <v>5</v>
      </c>
      <c r="B13" s="118" t="s">
        <v>134</v>
      </c>
      <c r="C13" s="96">
        <v>172012</v>
      </c>
      <c r="D13" s="96">
        <v>181546</v>
      </c>
      <c r="E13" s="96">
        <f>C13+D13</f>
        <v>353558</v>
      </c>
      <c r="F13" s="96">
        <v>99282</v>
      </c>
      <c r="G13" s="96">
        <v>94567</v>
      </c>
      <c r="H13" s="96">
        <f>F13+G13</f>
        <v>193849</v>
      </c>
      <c r="I13" s="96">
        <v>9628</v>
      </c>
      <c r="J13" s="96">
        <v>11899</v>
      </c>
      <c r="K13" s="96">
        <f>I13+J13</f>
        <v>21527</v>
      </c>
      <c r="L13" s="97">
        <f t="shared" si="105"/>
        <v>108910</v>
      </c>
      <c r="M13" s="98">
        <f t="shared" si="105"/>
        <v>106466</v>
      </c>
      <c r="N13" s="98">
        <f t="shared" si="105"/>
        <v>215376</v>
      </c>
      <c r="O13" s="116">
        <f>L13/C13</f>
        <v>0.63315350091854061</v>
      </c>
      <c r="P13" s="116">
        <f>M13/D13</f>
        <v>0.58644090203033938</v>
      </c>
      <c r="Q13" s="116">
        <f>N13/E13</f>
        <v>0.6091673784782129</v>
      </c>
      <c r="R13" s="403"/>
      <c r="S13" s="403"/>
      <c r="T13" s="403"/>
      <c r="U13" s="403"/>
      <c r="V13" s="403"/>
      <c r="W13" s="403"/>
      <c r="X13" s="403"/>
      <c r="Y13" s="403"/>
      <c r="Z13" s="403"/>
      <c r="AA13" s="404"/>
      <c r="AB13" s="404"/>
      <c r="AC13" s="404"/>
      <c r="AD13" s="405"/>
      <c r="AE13" s="405"/>
      <c r="AF13" s="405"/>
      <c r="AG13" s="98">
        <f>C13+R13</f>
        <v>172012</v>
      </c>
      <c r="AH13" s="98">
        <f t="shared" si="109"/>
        <v>181546</v>
      </c>
      <c r="AI13" s="98">
        <f t="shared" si="109"/>
        <v>353558</v>
      </c>
      <c r="AJ13" s="98">
        <f t="shared" si="109"/>
        <v>99282</v>
      </c>
      <c r="AK13" s="98">
        <f t="shared" si="109"/>
        <v>94567</v>
      </c>
      <c r="AL13" s="98">
        <f t="shared" si="109"/>
        <v>193849</v>
      </c>
      <c r="AM13" s="98">
        <f t="shared" si="109"/>
        <v>9628</v>
      </c>
      <c r="AN13" s="98">
        <f t="shared" si="109"/>
        <v>11899</v>
      </c>
      <c r="AO13" s="98">
        <f t="shared" si="109"/>
        <v>21527</v>
      </c>
      <c r="AP13" s="98">
        <f t="shared" si="110"/>
        <v>108910</v>
      </c>
      <c r="AQ13" s="98">
        <f t="shared" si="110"/>
        <v>106466</v>
      </c>
      <c r="AR13" s="98">
        <f t="shared" si="110"/>
        <v>215376</v>
      </c>
      <c r="AS13" s="116">
        <f>AP13/AG13</f>
        <v>0.63315350091854061</v>
      </c>
      <c r="AT13" s="116">
        <f>AQ13/AH13</f>
        <v>0.58644090203033938</v>
      </c>
      <c r="AU13" s="116">
        <f>AR13/AI13</f>
        <v>0.6091673784782129</v>
      </c>
      <c r="AV13" s="96">
        <v>16194</v>
      </c>
      <c r="AW13" s="96">
        <v>16599</v>
      </c>
      <c r="AX13" s="96">
        <f>AV13+AW13</f>
        <v>32793</v>
      </c>
      <c r="AY13" s="96">
        <v>8384</v>
      </c>
      <c r="AZ13" s="96">
        <v>7381</v>
      </c>
      <c r="BA13" s="96">
        <f>AY13+AZ13</f>
        <v>15765</v>
      </c>
      <c r="BB13" s="96">
        <v>1007</v>
      </c>
      <c r="BC13" s="96">
        <v>1149</v>
      </c>
      <c r="BD13" s="96">
        <f>BB13+BC13</f>
        <v>2156</v>
      </c>
      <c r="BE13" s="97">
        <f t="shared" si="111"/>
        <v>9391</v>
      </c>
      <c r="BF13" s="98">
        <f t="shared" si="112"/>
        <v>8530</v>
      </c>
      <c r="BG13" s="98">
        <f t="shared" si="113"/>
        <v>17921</v>
      </c>
      <c r="BH13" s="116">
        <f>BE13/AV13</f>
        <v>0.57990613807583058</v>
      </c>
      <c r="BI13" s="116">
        <f>BF13/AW13</f>
        <v>0.51388637869751186</v>
      </c>
      <c r="BJ13" s="116">
        <f>BG13/AX13</f>
        <v>0.54648857987985244</v>
      </c>
      <c r="BK13" s="403"/>
      <c r="BL13" s="403"/>
      <c r="BM13" s="403"/>
      <c r="BN13" s="403"/>
      <c r="BO13" s="403"/>
      <c r="BP13" s="403"/>
      <c r="BQ13" s="403"/>
      <c r="BR13" s="403"/>
      <c r="BS13" s="403"/>
      <c r="BT13" s="404"/>
      <c r="BU13" s="404"/>
      <c r="BV13" s="404"/>
      <c r="BW13" s="405"/>
      <c r="BX13" s="405"/>
      <c r="BY13" s="405"/>
      <c r="BZ13" s="98">
        <f>AV13+BK13</f>
        <v>16194</v>
      </c>
      <c r="CA13" s="98">
        <f>AW13+BL13</f>
        <v>16599</v>
      </c>
      <c r="CB13" s="98">
        <f>AX13+BM13</f>
        <v>32793</v>
      </c>
      <c r="CC13" s="98">
        <f>AY13+BN13</f>
        <v>8384</v>
      </c>
      <c r="CD13" s="98">
        <f>AZ13+BO13</f>
        <v>7381</v>
      </c>
      <c r="CE13" s="98">
        <f>BA13+BP13</f>
        <v>15765</v>
      </c>
      <c r="CF13" s="98">
        <f>BB13+BQ13</f>
        <v>1007</v>
      </c>
      <c r="CG13" s="98">
        <f>BC13+BR13</f>
        <v>1149</v>
      </c>
      <c r="CH13" s="98">
        <f>BD13+BS13</f>
        <v>2156</v>
      </c>
      <c r="CI13" s="98">
        <f t="shared" si="118"/>
        <v>9391</v>
      </c>
      <c r="CJ13" s="98">
        <f t="shared" si="118"/>
        <v>8530</v>
      </c>
      <c r="CK13" s="98">
        <f t="shared" si="118"/>
        <v>17921</v>
      </c>
      <c r="CL13" s="116">
        <f>CI13/BZ13</f>
        <v>0.57990613807583058</v>
      </c>
      <c r="CM13" s="116">
        <f>CJ13/CA13</f>
        <v>0.51388637869751186</v>
      </c>
      <c r="CN13" s="116">
        <f>CK13/CB13</f>
        <v>0.54648857987985244</v>
      </c>
      <c r="CO13" s="96">
        <v>34375</v>
      </c>
      <c r="CP13" s="96">
        <v>35224</v>
      </c>
      <c r="CQ13" s="96">
        <f>CO13+CP13</f>
        <v>69599</v>
      </c>
      <c r="CR13" s="96">
        <v>18747</v>
      </c>
      <c r="CS13" s="96">
        <v>17682</v>
      </c>
      <c r="CT13" s="96">
        <f>CR13+CS13</f>
        <v>36429</v>
      </c>
      <c r="CU13" s="96">
        <v>2215</v>
      </c>
      <c r="CV13" s="96">
        <v>2579</v>
      </c>
      <c r="CW13" s="96">
        <f>CU13+CV13</f>
        <v>4794</v>
      </c>
      <c r="CX13" s="97">
        <f t="shared" si="119"/>
        <v>20962</v>
      </c>
      <c r="CY13" s="98">
        <f t="shared" si="120"/>
        <v>20261</v>
      </c>
      <c r="CZ13" s="98">
        <f t="shared" si="121"/>
        <v>41223</v>
      </c>
      <c r="DA13" s="116">
        <f>CX13/CO13</f>
        <v>0.60980363636363633</v>
      </c>
      <c r="DB13" s="116">
        <f>CY13/CP13</f>
        <v>0.57520440608675905</v>
      </c>
      <c r="DC13" s="116">
        <f>CZ13/CQ13</f>
        <v>0.59229299271541258</v>
      </c>
      <c r="DD13" s="403"/>
      <c r="DE13" s="403"/>
      <c r="DF13" s="403"/>
      <c r="DG13" s="403"/>
      <c r="DH13" s="403"/>
      <c r="DI13" s="403"/>
      <c r="DJ13" s="403"/>
      <c r="DK13" s="403"/>
      <c r="DL13" s="403"/>
      <c r="DM13" s="404"/>
      <c r="DN13" s="404"/>
      <c r="DO13" s="404"/>
      <c r="DP13" s="405"/>
      <c r="DQ13" s="405"/>
      <c r="DR13" s="405"/>
      <c r="DS13" s="98">
        <f t="shared" si="125"/>
        <v>34375</v>
      </c>
      <c r="DT13" s="98">
        <f t="shared" si="125"/>
        <v>35224</v>
      </c>
      <c r="DU13" s="98">
        <f t="shared" si="125"/>
        <v>69599</v>
      </c>
      <c r="DV13" s="98">
        <f>CR13+DG13</f>
        <v>18747</v>
      </c>
      <c r="DW13" s="98">
        <f>CS13+DH13</f>
        <v>17682</v>
      </c>
      <c r="DX13" s="98">
        <f>CT13+DI13</f>
        <v>36429</v>
      </c>
      <c r="DY13" s="98">
        <f t="shared" ref="DY13:ED13" si="171">CU13+DJ13</f>
        <v>2215</v>
      </c>
      <c r="DZ13" s="98">
        <f t="shared" si="171"/>
        <v>2579</v>
      </c>
      <c r="EA13" s="98">
        <f t="shared" si="171"/>
        <v>4794</v>
      </c>
      <c r="EB13" s="98">
        <f t="shared" si="171"/>
        <v>20962</v>
      </c>
      <c r="EC13" s="98">
        <f t="shared" si="171"/>
        <v>20261</v>
      </c>
      <c r="ED13" s="98">
        <f t="shared" si="171"/>
        <v>41223</v>
      </c>
      <c r="EE13" s="116">
        <f>EB13/DS13</f>
        <v>0.60980363636363633</v>
      </c>
      <c r="EF13" s="116">
        <f>EC13/DT13</f>
        <v>0.57520440608675905</v>
      </c>
      <c r="EG13" s="116">
        <f>ED13/DU13</f>
        <v>0.59229299271541258</v>
      </c>
      <c r="EH13" s="96">
        <v>42784</v>
      </c>
      <c r="EI13" s="96">
        <v>43586</v>
      </c>
      <c r="EJ13" s="96">
        <f>EH13+EI13</f>
        <v>86370</v>
      </c>
      <c r="EK13" s="96">
        <v>25508</v>
      </c>
      <c r="EL13" s="96">
        <v>24326</v>
      </c>
      <c r="EM13" s="96">
        <f>EK13+EL13</f>
        <v>49834</v>
      </c>
      <c r="EN13" s="96">
        <v>2522</v>
      </c>
      <c r="EO13" s="96">
        <v>2903</v>
      </c>
      <c r="EP13" s="96">
        <f>EN13+EO13</f>
        <v>5425</v>
      </c>
      <c r="EQ13" s="97">
        <f t="shared" si="126"/>
        <v>28030</v>
      </c>
      <c r="ER13" s="98">
        <f t="shared" si="127"/>
        <v>27229</v>
      </c>
      <c r="ES13" s="98">
        <f t="shared" si="128"/>
        <v>55259</v>
      </c>
      <c r="ET13" s="116">
        <f>EQ13/EH13</f>
        <v>0.65515145848915479</v>
      </c>
      <c r="EU13" s="116">
        <f>ER13/EI13</f>
        <v>0.62471894645069515</v>
      </c>
      <c r="EV13" s="116">
        <f>ES13/EJ13</f>
        <v>0.6397939099224268</v>
      </c>
      <c r="EW13" s="403"/>
      <c r="EX13" s="403"/>
      <c r="EY13" s="403"/>
      <c r="EZ13" s="403"/>
      <c r="FA13" s="403"/>
      <c r="FB13" s="403"/>
      <c r="FC13" s="403"/>
      <c r="FD13" s="403"/>
      <c r="FE13" s="403"/>
      <c r="FF13" s="404"/>
      <c r="FG13" s="404"/>
      <c r="FH13" s="404"/>
      <c r="FI13" s="405"/>
      <c r="FJ13" s="405"/>
      <c r="FK13" s="405"/>
      <c r="FL13" s="98">
        <f t="shared" si="132"/>
        <v>42784</v>
      </c>
      <c r="FM13" s="98">
        <f t="shared" si="133"/>
        <v>43586</v>
      </c>
      <c r="FN13" s="98">
        <f t="shared" si="134"/>
        <v>86370</v>
      </c>
      <c r="FO13" s="98">
        <f>EK13+EZ13</f>
        <v>25508</v>
      </c>
      <c r="FP13" s="98">
        <f>EL13+FA13</f>
        <v>24326</v>
      </c>
      <c r="FQ13" s="98">
        <f>EM13+FB13</f>
        <v>49834</v>
      </c>
      <c r="FR13" s="98">
        <f t="shared" ref="FR13:FW13" si="172">EN13+FC13</f>
        <v>2522</v>
      </c>
      <c r="FS13" s="98">
        <f t="shared" si="172"/>
        <v>2903</v>
      </c>
      <c r="FT13" s="98">
        <f t="shared" si="172"/>
        <v>5425</v>
      </c>
      <c r="FU13" s="98">
        <f t="shared" si="172"/>
        <v>28030</v>
      </c>
      <c r="FV13" s="98">
        <f t="shared" si="172"/>
        <v>27229</v>
      </c>
      <c r="FW13" s="98">
        <f t="shared" si="172"/>
        <v>55259</v>
      </c>
      <c r="FX13" s="116">
        <f>FU13/FL13</f>
        <v>0.65515145848915479</v>
      </c>
      <c r="FY13" s="116">
        <f>FV13/FM13</f>
        <v>0.62471894645069515</v>
      </c>
      <c r="FZ13" s="116">
        <f>FW13/FN13</f>
        <v>0.6397939099224268</v>
      </c>
      <c r="GA13" s="98">
        <f t="shared" si="138"/>
        <v>108910</v>
      </c>
      <c r="GB13" s="98">
        <f t="shared" si="138"/>
        <v>106466</v>
      </c>
      <c r="GC13" s="98">
        <f t="shared" si="138"/>
        <v>215376</v>
      </c>
      <c r="GD13" s="98">
        <v>32442</v>
      </c>
      <c r="GE13" s="98">
        <v>29812</v>
      </c>
      <c r="GF13" s="98">
        <f>GD13+GE13</f>
        <v>62254</v>
      </c>
      <c r="GG13" s="100">
        <f t="shared" ref="GG13:GI13" si="173">+GD13*100/GA13</f>
        <v>29.787898264622164</v>
      </c>
      <c r="GH13" s="100">
        <f t="shared" si="173"/>
        <v>28.001427685833974</v>
      </c>
      <c r="GI13" s="100">
        <f t="shared" si="173"/>
        <v>28.90479904910482</v>
      </c>
      <c r="GJ13" s="98">
        <f t="shared" si="140"/>
        <v>9391</v>
      </c>
      <c r="GK13" s="98">
        <f t="shared" si="140"/>
        <v>8530</v>
      </c>
      <c r="GL13" s="98">
        <f t="shared" si="140"/>
        <v>17921</v>
      </c>
      <c r="GM13" s="98">
        <v>2230</v>
      </c>
      <c r="GN13" s="98">
        <v>1862</v>
      </c>
      <c r="GO13" s="98">
        <f>GM13+GN13</f>
        <v>4092</v>
      </c>
      <c r="GP13" s="100">
        <f t="shared" ref="GP13:GR13" si="174">+GM13*100/GJ13</f>
        <v>23.746139921201149</v>
      </c>
      <c r="GQ13" s="100">
        <f t="shared" si="174"/>
        <v>21.828839390386872</v>
      </c>
      <c r="GR13" s="100">
        <f t="shared" si="174"/>
        <v>22.833547235087327</v>
      </c>
      <c r="GS13" s="98">
        <f>+EB13</f>
        <v>20962</v>
      </c>
      <c r="GT13" s="98">
        <f>+EC13</f>
        <v>20261</v>
      </c>
      <c r="GU13" s="98">
        <f>+ED13</f>
        <v>41223</v>
      </c>
      <c r="GV13" s="98">
        <v>4395</v>
      </c>
      <c r="GW13" s="98">
        <v>3934</v>
      </c>
      <c r="GX13" s="98">
        <f>GV13+GW13</f>
        <v>8329</v>
      </c>
      <c r="GY13" s="100">
        <f t="shared" ref="GY13:HA13" si="175">+GV13*100/GS13</f>
        <v>20.966510829119358</v>
      </c>
      <c r="GZ13" s="100">
        <f t="shared" si="175"/>
        <v>19.416613197769113</v>
      </c>
      <c r="HA13" s="100">
        <f t="shared" si="175"/>
        <v>20.204740072289741</v>
      </c>
      <c r="HB13" s="98">
        <f t="shared" si="167"/>
        <v>28030</v>
      </c>
      <c r="HC13" s="98">
        <f t="shared" si="168"/>
        <v>27229</v>
      </c>
      <c r="HD13" s="98">
        <f t="shared" si="169"/>
        <v>55259</v>
      </c>
      <c r="HE13" s="98">
        <v>9131</v>
      </c>
      <c r="HF13" s="98">
        <v>8749</v>
      </c>
      <c r="HG13" s="98">
        <f>HE13+HF13</f>
        <v>17880</v>
      </c>
      <c r="HH13" s="100">
        <f t="shared" si="170"/>
        <v>32.575811630396004</v>
      </c>
      <c r="HI13" s="100">
        <f t="shared" si="170"/>
        <v>32.131183664475373</v>
      </c>
      <c r="HJ13" s="100">
        <f t="shared" si="170"/>
        <v>32.35672017227963</v>
      </c>
    </row>
    <row r="14" spans="1:218">
      <c r="A14" s="420">
        <v>6</v>
      </c>
      <c r="B14" s="118" t="s">
        <v>136</v>
      </c>
      <c r="C14" s="96">
        <v>20</v>
      </c>
      <c r="D14" s="96">
        <v>295</v>
      </c>
      <c r="E14" s="96">
        <f t="shared" ref="E14:E48" si="176">C14+D14</f>
        <v>315</v>
      </c>
      <c r="F14" s="96">
        <v>20</v>
      </c>
      <c r="G14" s="96">
        <v>290</v>
      </c>
      <c r="H14" s="96">
        <f t="shared" ref="H14:H48" si="177">F14+G14</f>
        <v>310</v>
      </c>
      <c r="I14" s="104"/>
      <c r="J14" s="104"/>
      <c r="K14" s="104"/>
      <c r="L14" s="97">
        <f t="shared" si="105"/>
        <v>20</v>
      </c>
      <c r="M14" s="98">
        <f t="shared" si="105"/>
        <v>290</v>
      </c>
      <c r="N14" s="98">
        <f t="shared" si="105"/>
        <v>310</v>
      </c>
      <c r="O14" s="116">
        <f t="shared" ref="O14:Q40" si="178">L14/C14</f>
        <v>1</v>
      </c>
      <c r="P14" s="116">
        <f t="shared" si="178"/>
        <v>0.98305084745762716</v>
      </c>
      <c r="Q14" s="116">
        <f t="shared" si="178"/>
        <v>0.98412698412698407</v>
      </c>
      <c r="R14" s="403"/>
      <c r="S14" s="403"/>
      <c r="T14" s="403"/>
      <c r="U14" s="403"/>
      <c r="V14" s="403"/>
      <c r="W14" s="403"/>
      <c r="X14" s="403"/>
      <c r="Y14" s="403"/>
      <c r="Z14" s="403"/>
      <c r="AA14" s="404"/>
      <c r="AB14" s="404"/>
      <c r="AC14" s="404"/>
      <c r="AD14" s="405"/>
      <c r="AE14" s="405"/>
      <c r="AF14" s="405"/>
      <c r="AG14" s="98">
        <f t="shared" ref="AG14:AR43" si="179">C14+R14</f>
        <v>20</v>
      </c>
      <c r="AH14" s="98">
        <f t="shared" si="109"/>
        <v>295</v>
      </c>
      <c r="AI14" s="98">
        <f t="shared" si="109"/>
        <v>315</v>
      </c>
      <c r="AJ14" s="98">
        <f t="shared" si="109"/>
        <v>20</v>
      </c>
      <c r="AK14" s="98">
        <f t="shared" si="109"/>
        <v>290</v>
      </c>
      <c r="AL14" s="98">
        <f t="shared" si="109"/>
        <v>310</v>
      </c>
      <c r="AM14" s="103"/>
      <c r="AN14" s="103"/>
      <c r="AO14" s="103"/>
      <c r="AP14" s="98">
        <f t="shared" si="110"/>
        <v>20</v>
      </c>
      <c r="AQ14" s="98">
        <f t="shared" si="110"/>
        <v>290</v>
      </c>
      <c r="AR14" s="98">
        <f t="shared" si="109"/>
        <v>310</v>
      </c>
      <c r="AS14" s="116">
        <f t="shared" ref="AS14:AU43" si="180">AP14/AG14</f>
        <v>1</v>
      </c>
      <c r="AT14" s="116">
        <f t="shared" si="180"/>
        <v>0.98305084745762716</v>
      </c>
      <c r="AU14" s="116">
        <f t="shared" si="180"/>
        <v>0.98412698412698407</v>
      </c>
      <c r="AV14" s="96">
        <v>1</v>
      </c>
      <c r="AW14" s="96">
        <v>8</v>
      </c>
      <c r="AX14" s="96">
        <f t="shared" ref="AX14:AX16" si="181">AV14+AW14</f>
        <v>9</v>
      </c>
      <c r="AY14" s="96">
        <v>1</v>
      </c>
      <c r="AZ14" s="96">
        <v>8</v>
      </c>
      <c r="BA14" s="96">
        <f t="shared" ref="BA14:BA16" si="182">AY14+AZ14</f>
        <v>9</v>
      </c>
      <c r="BB14" s="104"/>
      <c r="BC14" s="104"/>
      <c r="BD14" s="104"/>
      <c r="BE14" s="97">
        <f t="shared" si="111"/>
        <v>1</v>
      </c>
      <c r="BF14" s="98">
        <f t="shared" si="112"/>
        <v>8</v>
      </c>
      <c r="BG14" s="98">
        <f t="shared" si="113"/>
        <v>9</v>
      </c>
      <c r="BH14" s="116">
        <f t="shared" ref="BH14:BH15" si="183">BE14/AV14</f>
        <v>1</v>
      </c>
      <c r="BI14" s="116">
        <f t="shared" ref="BI14:BI15" si="184">BF14/AW14</f>
        <v>1</v>
      </c>
      <c r="BJ14" s="116">
        <f t="shared" ref="BJ14:BJ15" si="185">BG14/AX14</f>
        <v>1</v>
      </c>
      <c r="BK14" s="403"/>
      <c r="BL14" s="403"/>
      <c r="BM14" s="403"/>
      <c r="BN14" s="403"/>
      <c r="BO14" s="403"/>
      <c r="BP14" s="403"/>
      <c r="BQ14" s="403"/>
      <c r="BR14" s="403"/>
      <c r="BS14" s="403"/>
      <c r="BT14" s="404"/>
      <c r="BU14" s="404"/>
      <c r="BV14" s="404"/>
      <c r="BW14" s="405"/>
      <c r="BX14" s="405"/>
      <c r="BY14" s="405"/>
      <c r="BZ14" s="98">
        <f t="shared" ref="BZ14:CK30" si="186">AV14+BK14</f>
        <v>1</v>
      </c>
      <c r="CA14" s="98">
        <f t="shared" si="186"/>
        <v>8</v>
      </c>
      <c r="CB14" s="98">
        <f t="shared" si="186"/>
        <v>9</v>
      </c>
      <c r="CC14" s="98">
        <f t="shared" si="186"/>
        <v>1</v>
      </c>
      <c r="CD14" s="98">
        <f t="shared" si="186"/>
        <v>8</v>
      </c>
      <c r="CE14" s="98">
        <f t="shared" si="186"/>
        <v>9</v>
      </c>
      <c r="CF14" s="103"/>
      <c r="CG14" s="103"/>
      <c r="CH14" s="103"/>
      <c r="CI14" s="98">
        <f t="shared" si="118"/>
        <v>1</v>
      </c>
      <c r="CJ14" s="98">
        <f t="shared" si="118"/>
        <v>8</v>
      </c>
      <c r="CK14" s="98">
        <f t="shared" si="118"/>
        <v>9</v>
      </c>
      <c r="CL14" s="116">
        <f t="shared" ref="CL14:CN30" si="187">CI14/BZ14</f>
        <v>1</v>
      </c>
      <c r="CM14" s="116">
        <f t="shared" si="187"/>
        <v>1</v>
      </c>
      <c r="CN14" s="116">
        <f t="shared" si="187"/>
        <v>1</v>
      </c>
      <c r="CO14" s="403"/>
      <c r="CP14" s="96">
        <v>8</v>
      </c>
      <c r="CQ14" s="96">
        <f t="shared" ref="CQ14:CQ15" si="188">CO14+CP14</f>
        <v>8</v>
      </c>
      <c r="CR14" s="403"/>
      <c r="CS14" s="96">
        <v>8</v>
      </c>
      <c r="CT14" s="96">
        <f t="shared" ref="CT14:CT15" si="189">CR14+CS14</f>
        <v>8</v>
      </c>
      <c r="CU14" s="104"/>
      <c r="CV14" s="104"/>
      <c r="CW14" s="104"/>
      <c r="CX14" s="404"/>
      <c r="CY14" s="98">
        <f t="shared" si="120"/>
        <v>8</v>
      </c>
      <c r="CZ14" s="98">
        <f t="shared" si="121"/>
        <v>8</v>
      </c>
      <c r="DA14" s="405"/>
      <c r="DB14" s="116">
        <f t="shared" ref="DB14:DB15" si="190">CY14/CP14</f>
        <v>1</v>
      </c>
      <c r="DC14" s="116">
        <f t="shared" ref="DC14:DC15" si="191">CZ14/CQ14</f>
        <v>1</v>
      </c>
      <c r="DD14" s="403"/>
      <c r="DE14" s="403"/>
      <c r="DF14" s="403"/>
      <c r="DG14" s="403"/>
      <c r="DH14" s="403"/>
      <c r="DI14" s="403"/>
      <c r="DJ14" s="403"/>
      <c r="DK14" s="403"/>
      <c r="DL14" s="403"/>
      <c r="DM14" s="404"/>
      <c r="DN14" s="404"/>
      <c r="DO14" s="404"/>
      <c r="DP14" s="405"/>
      <c r="DQ14" s="405"/>
      <c r="DR14" s="405"/>
      <c r="DS14" s="404"/>
      <c r="DT14" s="98">
        <f t="shared" si="125"/>
        <v>8</v>
      </c>
      <c r="DU14" s="98">
        <f t="shared" si="125"/>
        <v>8</v>
      </c>
      <c r="DV14" s="404"/>
      <c r="DW14" s="98">
        <f t="shared" si="125"/>
        <v>8</v>
      </c>
      <c r="DX14" s="98">
        <f t="shared" si="125"/>
        <v>8</v>
      </c>
      <c r="DY14" s="103"/>
      <c r="DZ14" s="103"/>
      <c r="EA14" s="404"/>
      <c r="EB14" s="404"/>
      <c r="EC14" s="98">
        <f t="shared" ref="EB14:ED43" si="192">CY14+DN14</f>
        <v>8</v>
      </c>
      <c r="ED14" s="98">
        <f t="shared" si="192"/>
        <v>8</v>
      </c>
      <c r="EE14" s="493" t="s">
        <v>319</v>
      </c>
      <c r="EF14" s="116">
        <f t="shared" ref="EF14:EG43" si="193">EC14/DT14</f>
        <v>1</v>
      </c>
      <c r="EG14" s="116">
        <f t="shared" si="193"/>
        <v>1</v>
      </c>
      <c r="EH14" s="96">
        <v>11</v>
      </c>
      <c r="EI14" s="96">
        <v>102</v>
      </c>
      <c r="EJ14" s="96">
        <f t="shared" ref="EJ14:EJ16" si="194">EH14+EI14</f>
        <v>113</v>
      </c>
      <c r="EK14" s="96">
        <v>11</v>
      </c>
      <c r="EL14" s="96">
        <v>102</v>
      </c>
      <c r="EM14" s="96">
        <f t="shared" ref="EM14:EM16" si="195">EK14+EL14</f>
        <v>113</v>
      </c>
      <c r="EN14" s="104"/>
      <c r="EO14" s="104"/>
      <c r="EP14" s="104"/>
      <c r="EQ14" s="98">
        <f t="shared" si="127"/>
        <v>11</v>
      </c>
      <c r="ER14" s="98">
        <f t="shared" si="127"/>
        <v>102</v>
      </c>
      <c r="ES14" s="98">
        <f t="shared" si="128"/>
        <v>113</v>
      </c>
      <c r="ET14" s="116">
        <f t="shared" ref="ET14:ET15" si="196">EQ14/EH14</f>
        <v>1</v>
      </c>
      <c r="EU14" s="116">
        <f t="shared" ref="EU14:EU15" si="197">ER14/EI14</f>
        <v>1</v>
      </c>
      <c r="EV14" s="116">
        <f t="shared" ref="EV14:EV15" si="198">ES14/EJ14</f>
        <v>1</v>
      </c>
      <c r="EW14" s="403"/>
      <c r="EX14" s="403"/>
      <c r="EY14" s="403"/>
      <c r="EZ14" s="403"/>
      <c r="FA14" s="403"/>
      <c r="FB14" s="403"/>
      <c r="FC14" s="403"/>
      <c r="FD14" s="403"/>
      <c r="FE14" s="403"/>
      <c r="FF14" s="404"/>
      <c r="FG14" s="404"/>
      <c r="FH14" s="404"/>
      <c r="FI14" s="405"/>
      <c r="FJ14" s="405"/>
      <c r="FK14" s="405"/>
      <c r="FL14" s="98">
        <f t="shared" si="132"/>
        <v>11</v>
      </c>
      <c r="FM14" s="98">
        <f t="shared" si="133"/>
        <v>102</v>
      </c>
      <c r="FN14" s="98">
        <f t="shared" si="134"/>
        <v>113</v>
      </c>
      <c r="FO14" s="98">
        <f t="shared" ref="FO14:FO16" si="199">EK14+EZ14</f>
        <v>11</v>
      </c>
      <c r="FP14" s="98">
        <f t="shared" ref="FP14:FP16" si="200">EL14+FA14</f>
        <v>102</v>
      </c>
      <c r="FQ14" s="98">
        <f t="shared" ref="FQ14:FQ16" si="201">EM14+FB14</f>
        <v>113</v>
      </c>
      <c r="FR14" s="103"/>
      <c r="FS14" s="103"/>
      <c r="FT14" s="103"/>
      <c r="FU14" s="98">
        <f t="shared" ref="FU14:FU15" si="202">EQ14+FF14</f>
        <v>11</v>
      </c>
      <c r="FV14" s="98">
        <f t="shared" ref="FV14:FV15" si="203">ER14+FG14</f>
        <v>102</v>
      </c>
      <c r="FW14" s="98">
        <f t="shared" ref="FW14:FW15" si="204">ES14+FH14</f>
        <v>113</v>
      </c>
      <c r="FX14" s="116">
        <v>0</v>
      </c>
      <c r="FY14" s="116">
        <f t="shared" ref="FY14:FY15" si="205">FV14/FM14</f>
        <v>1</v>
      </c>
      <c r="FZ14" s="116">
        <f t="shared" ref="FZ14:FZ15" si="206">FW14/FN14</f>
        <v>1</v>
      </c>
      <c r="GA14" s="98">
        <f t="shared" ref="GA14:GC44" si="207">+AP14</f>
        <v>20</v>
      </c>
      <c r="GB14" s="98">
        <f t="shared" si="207"/>
        <v>290</v>
      </c>
      <c r="GC14" s="98">
        <f t="shared" si="207"/>
        <v>310</v>
      </c>
      <c r="GD14" s="101">
        <v>9</v>
      </c>
      <c r="GE14" s="101">
        <v>246</v>
      </c>
      <c r="GF14" s="98">
        <f t="shared" ref="GF14:GF43" si="208">GD14+GE14</f>
        <v>255</v>
      </c>
      <c r="GG14" s="100">
        <f t="shared" ref="GG14:GI30" si="209">+GD14*100/GA14</f>
        <v>45</v>
      </c>
      <c r="GH14" s="100">
        <f t="shared" si="209"/>
        <v>84.827586206896555</v>
      </c>
      <c r="GI14" s="100">
        <f t="shared" si="209"/>
        <v>82.258064516129039</v>
      </c>
      <c r="GJ14" s="98">
        <f t="shared" ref="GJ14:GL43" si="210">+CI14</f>
        <v>1</v>
      </c>
      <c r="GK14" s="98">
        <f t="shared" si="210"/>
        <v>8</v>
      </c>
      <c r="GL14" s="98">
        <f t="shared" si="210"/>
        <v>9</v>
      </c>
      <c r="GM14" s="101">
        <v>1</v>
      </c>
      <c r="GN14" s="101">
        <v>5</v>
      </c>
      <c r="GO14" s="98">
        <f t="shared" ref="GO14:GO43" si="211">GM14+GN14</f>
        <v>6</v>
      </c>
      <c r="GP14" s="100">
        <f t="shared" ref="GP14:GR30" si="212">+GM14*100/GJ14</f>
        <v>100</v>
      </c>
      <c r="GQ14" s="100">
        <f t="shared" si="212"/>
        <v>62.5</v>
      </c>
      <c r="GR14" s="100">
        <f t="shared" si="212"/>
        <v>66.666666666666671</v>
      </c>
      <c r="GS14" s="404"/>
      <c r="GT14" s="98">
        <f t="shared" ref="GS14:GU43" si="213">+EC14</f>
        <v>8</v>
      </c>
      <c r="GU14" s="98">
        <f t="shared" si="213"/>
        <v>8</v>
      </c>
      <c r="GV14" s="406"/>
      <c r="GW14" s="101">
        <v>5</v>
      </c>
      <c r="GX14" s="98">
        <f t="shared" ref="GX14:GX43" si="214">GV14+GW14</f>
        <v>5</v>
      </c>
      <c r="GY14" s="100">
        <v>0</v>
      </c>
      <c r="GZ14" s="100">
        <f t="shared" ref="GZ14:HA30" si="215">+GW14*100/GT14</f>
        <v>62.5</v>
      </c>
      <c r="HA14" s="100">
        <f t="shared" si="215"/>
        <v>62.5</v>
      </c>
      <c r="HB14" s="98">
        <f t="shared" si="167"/>
        <v>11</v>
      </c>
      <c r="HC14" s="98">
        <f t="shared" si="168"/>
        <v>102</v>
      </c>
      <c r="HD14" s="98">
        <f t="shared" si="169"/>
        <v>113</v>
      </c>
      <c r="HE14" s="101">
        <v>5</v>
      </c>
      <c r="HF14" s="101">
        <v>88</v>
      </c>
      <c r="HG14" s="98">
        <f t="shared" ref="HG14:HG16" si="216">HE14+HF14</f>
        <v>93</v>
      </c>
      <c r="HH14" s="100">
        <f t="shared" si="170"/>
        <v>45.454545454545453</v>
      </c>
      <c r="HI14" s="100">
        <f t="shared" ref="HI14:HI15" si="217">+HF14*100/HC14</f>
        <v>86.274509803921575</v>
      </c>
      <c r="HJ14" s="100">
        <f t="shared" ref="HJ14:HJ15" si="218">+HG14*100/HD14</f>
        <v>82.30088495575221</v>
      </c>
    </row>
    <row r="15" spans="1:218" ht="28.5">
      <c r="A15" s="420">
        <v>7</v>
      </c>
      <c r="B15" s="118" t="s">
        <v>376</v>
      </c>
      <c r="C15" s="96">
        <v>663793</v>
      </c>
      <c r="D15" s="96">
        <v>649336</v>
      </c>
      <c r="E15" s="96">
        <f t="shared" si="176"/>
        <v>1313129</v>
      </c>
      <c r="F15" s="96">
        <v>511572</v>
      </c>
      <c r="G15" s="96">
        <v>419134</v>
      </c>
      <c r="H15" s="96">
        <f t="shared" si="177"/>
        <v>930706</v>
      </c>
      <c r="I15" s="380">
        <v>23193</v>
      </c>
      <c r="J15" s="380">
        <v>34318</v>
      </c>
      <c r="K15" s="391">
        <f>I15+J15</f>
        <v>57511</v>
      </c>
      <c r="L15" s="97">
        <f t="shared" si="105"/>
        <v>534765</v>
      </c>
      <c r="M15" s="98">
        <f t="shared" si="105"/>
        <v>453452</v>
      </c>
      <c r="N15" s="98">
        <f t="shared" si="105"/>
        <v>988217</v>
      </c>
      <c r="O15" s="116">
        <f t="shared" si="178"/>
        <v>0.80562012555118845</v>
      </c>
      <c r="P15" s="116">
        <f t="shared" si="178"/>
        <v>0.69833183436618329</v>
      </c>
      <c r="Q15" s="116">
        <f t="shared" si="178"/>
        <v>0.75256657952112849</v>
      </c>
      <c r="R15" s="96">
        <v>228490</v>
      </c>
      <c r="S15" s="96">
        <v>228206</v>
      </c>
      <c r="T15" s="96">
        <f t="shared" ref="T15:T16" si="219">R15+S15</f>
        <v>456696</v>
      </c>
      <c r="U15" s="96">
        <v>153747</v>
      </c>
      <c r="V15" s="96">
        <v>131141</v>
      </c>
      <c r="W15" s="96">
        <f t="shared" ref="W15:W16" si="220">U15+V15</f>
        <v>284888</v>
      </c>
      <c r="X15" s="392">
        <v>665</v>
      </c>
      <c r="Y15" s="392">
        <v>159</v>
      </c>
      <c r="Z15" s="393">
        <f>X15+Y15</f>
        <v>824</v>
      </c>
      <c r="AA15" s="97">
        <f t="shared" si="106"/>
        <v>154412</v>
      </c>
      <c r="AB15" s="98">
        <f t="shared" si="107"/>
        <v>131300</v>
      </c>
      <c r="AC15" s="98">
        <f t="shared" si="108"/>
        <v>285712</v>
      </c>
      <c r="AD15" s="116">
        <f t="shared" ref="AD15" si="221">AA15/R15</f>
        <v>0.67579325134579193</v>
      </c>
      <c r="AE15" s="116">
        <f t="shared" ref="AE15" si="222">AB15/S15</f>
        <v>0.57535735256741716</v>
      </c>
      <c r="AF15" s="116">
        <f t="shared" ref="AF15" si="223">AC15/T15</f>
        <v>0.62560653038344982</v>
      </c>
      <c r="AG15" s="98">
        <f t="shared" si="179"/>
        <v>892283</v>
      </c>
      <c r="AH15" s="98">
        <f t="shared" si="109"/>
        <v>877542</v>
      </c>
      <c r="AI15" s="98">
        <f t="shared" si="109"/>
        <v>1769825</v>
      </c>
      <c r="AJ15" s="98">
        <f t="shared" si="109"/>
        <v>665319</v>
      </c>
      <c r="AK15" s="98">
        <f t="shared" si="109"/>
        <v>550275</v>
      </c>
      <c r="AL15" s="98">
        <f t="shared" si="109"/>
        <v>1215594</v>
      </c>
      <c r="AM15" s="98">
        <f>I15+X15</f>
        <v>23858</v>
      </c>
      <c r="AN15" s="98">
        <f t="shared" ref="AN15:AR40" si="224">J15+Y15</f>
        <v>34477</v>
      </c>
      <c r="AO15" s="98">
        <f t="shared" si="109"/>
        <v>58335</v>
      </c>
      <c r="AP15" s="98">
        <f t="shared" si="110"/>
        <v>689177</v>
      </c>
      <c r="AQ15" s="98">
        <f t="shared" si="110"/>
        <v>584752</v>
      </c>
      <c r="AR15" s="98">
        <f t="shared" si="109"/>
        <v>1273929</v>
      </c>
      <c r="AS15" s="116">
        <f t="shared" si="180"/>
        <v>0.77237490796081509</v>
      </c>
      <c r="AT15" s="116">
        <f t="shared" si="180"/>
        <v>0.66635215180583951</v>
      </c>
      <c r="AU15" s="116">
        <f t="shared" si="180"/>
        <v>0.71980506547257495</v>
      </c>
      <c r="AV15" s="96">
        <v>115400</v>
      </c>
      <c r="AW15" s="96">
        <v>101145</v>
      </c>
      <c r="AX15" s="96">
        <f t="shared" si="181"/>
        <v>216545</v>
      </c>
      <c r="AY15" s="96">
        <v>82352</v>
      </c>
      <c r="AZ15" s="96">
        <v>53726</v>
      </c>
      <c r="BA15" s="96">
        <f t="shared" si="182"/>
        <v>136078</v>
      </c>
      <c r="BB15" s="392">
        <v>4217</v>
      </c>
      <c r="BC15" s="392">
        <v>5365</v>
      </c>
      <c r="BD15" s="393">
        <f>BB15+BC15</f>
        <v>9582</v>
      </c>
      <c r="BE15" s="97">
        <f t="shared" si="111"/>
        <v>86569</v>
      </c>
      <c r="BF15" s="98">
        <f t="shared" si="112"/>
        <v>59091</v>
      </c>
      <c r="BG15" s="98">
        <f t="shared" si="113"/>
        <v>145660</v>
      </c>
      <c r="BH15" s="116">
        <f t="shared" si="183"/>
        <v>0.7501646447140381</v>
      </c>
      <c r="BI15" s="116">
        <f t="shared" si="184"/>
        <v>0.58422067329082006</v>
      </c>
      <c r="BJ15" s="116">
        <f t="shared" si="185"/>
        <v>0.67265464453115975</v>
      </c>
      <c r="BK15" s="96">
        <v>49887</v>
      </c>
      <c r="BL15" s="96">
        <v>48974</v>
      </c>
      <c r="BM15" s="96">
        <f t="shared" ref="BM15:BM16" si="225">BK15+BL15</f>
        <v>98861</v>
      </c>
      <c r="BN15" s="96">
        <v>32627</v>
      </c>
      <c r="BO15" s="96">
        <v>23640</v>
      </c>
      <c r="BP15" s="96">
        <f t="shared" ref="BP15:BP16" si="226">BN15+BO15</f>
        <v>56267</v>
      </c>
      <c r="BQ15" s="392">
        <v>80</v>
      </c>
      <c r="BR15" s="392">
        <v>21</v>
      </c>
      <c r="BS15" s="393">
        <f>BQ15+BR15</f>
        <v>101</v>
      </c>
      <c r="BT15" s="97">
        <f t="shared" si="114"/>
        <v>32707</v>
      </c>
      <c r="BU15" s="98">
        <f t="shared" si="115"/>
        <v>23661</v>
      </c>
      <c r="BV15" s="98">
        <f t="shared" si="116"/>
        <v>56368</v>
      </c>
      <c r="BW15" s="116">
        <f t="shared" ref="BW15" si="227">BT15/BK15</f>
        <v>0.65562170505342077</v>
      </c>
      <c r="BX15" s="116">
        <f t="shared" ref="BX15" si="228">BU15/BL15</f>
        <v>0.48313390778780579</v>
      </c>
      <c r="BY15" s="116">
        <f t="shared" ref="BY15" si="229">BV15/BM15</f>
        <v>0.570174285107373</v>
      </c>
      <c r="BZ15" s="98">
        <f t="shared" si="186"/>
        <v>165287</v>
      </c>
      <c r="CA15" s="98">
        <f t="shared" si="186"/>
        <v>150119</v>
      </c>
      <c r="CB15" s="98">
        <f t="shared" si="186"/>
        <v>315406</v>
      </c>
      <c r="CC15" s="98">
        <f t="shared" si="186"/>
        <v>114979</v>
      </c>
      <c r="CD15" s="98">
        <f t="shared" si="186"/>
        <v>77366</v>
      </c>
      <c r="CE15" s="98">
        <f t="shared" si="186"/>
        <v>192345</v>
      </c>
      <c r="CF15" s="98">
        <f>BB15+BQ15</f>
        <v>4297</v>
      </c>
      <c r="CG15" s="98">
        <f>BC15+BR15</f>
        <v>5386</v>
      </c>
      <c r="CH15" s="98">
        <f>BD15+BS15</f>
        <v>9683</v>
      </c>
      <c r="CI15" s="98">
        <f t="shared" si="118"/>
        <v>119276</v>
      </c>
      <c r="CJ15" s="98">
        <f t="shared" si="118"/>
        <v>82752</v>
      </c>
      <c r="CK15" s="98">
        <f t="shared" si="118"/>
        <v>202028</v>
      </c>
      <c r="CL15" s="116">
        <f t="shared" si="187"/>
        <v>0.72162965024472581</v>
      </c>
      <c r="CM15" s="116">
        <f t="shared" si="187"/>
        <v>0.55124268080656014</v>
      </c>
      <c r="CN15" s="116">
        <f t="shared" si="187"/>
        <v>0.64053315409345413</v>
      </c>
      <c r="CO15" s="96">
        <v>13983</v>
      </c>
      <c r="CP15" s="96">
        <v>13511</v>
      </c>
      <c r="CQ15" s="96">
        <f t="shared" si="188"/>
        <v>27494</v>
      </c>
      <c r="CR15" s="96">
        <v>10207</v>
      </c>
      <c r="CS15" s="96">
        <v>8344</v>
      </c>
      <c r="CT15" s="96">
        <f t="shared" si="189"/>
        <v>18551</v>
      </c>
      <c r="CU15" s="392">
        <v>332</v>
      </c>
      <c r="CV15" s="392">
        <v>519</v>
      </c>
      <c r="CW15" s="393">
        <f>CV15+CU15</f>
        <v>851</v>
      </c>
      <c r="CX15" s="97">
        <f t="shared" si="119"/>
        <v>10539</v>
      </c>
      <c r="CY15" s="98">
        <f t="shared" si="120"/>
        <v>8863</v>
      </c>
      <c r="CZ15" s="98">
        <f t="shared" si="121"/>
        <v>19402</v>
      </c>
      <c r="DA15" s="116">
        <f t="shared" ref="DA15" si="230">CX15/CO15</f>
        <v>0.75370092254880927</v>
      </c>
      <c r="DB15" s="116">
        <f t="shared" si="190"/>
        <v>0.65598401302642295</v>
      </c>
      <c r="DC15" s="116">
        <f t="shared" si="191"/>
        <v>0.70568123954317308</v>
      </c>
      <c r="DD15" s="96">
        <v>3667</v>
      </c>
      <c r="DE15" s="96">
        <v>3581</v>
      </c>
      <c r="DF15" s="96">
        <f t="shared" ref="DF15" si="231">DD15+DE15</f>
        <v>7248</v>
      </c>
      <c r="DG15" s="96">
        <v>2249</v>
      </c>
      <c r="DH15" s="96">
        <v>1646</v>
      </c>
      <c r="DI15" s="96">
        <f t="shared" ref="DI15" si="232">DG15+DH15</f>
        <v>3895</v>
      </c>
      <c r="DJ15" s="392">
        <v>6</v>
      </c>
      <c r="DK15" s="392">
        <v>3</v>
      </c>
      <c r="DL15" s="393">
        <f>DJ15+DK15</f>
        <v>9</v>
      </c>
      <c r="DM15" s="97">
        <f t="shared" si="122"/>
        <v>2255</v>
      </c>
      <c r="DN15" s="98">
        <f t="shared" si="123"/>
        <v>1649</v>
      </c>
      <c r="DO15" s="98">
        <f t="shared" si="124"/>
        <v>3904</v>
      </c>
      <c r="DP15" s="116">
        <f t="shared" ref="DP15" si="233">DM15/DD15</f>
        <v>0.61494409599127353</v>
      </c>
      <c r="DQ15" s="116">
        <f t="shared" ref="DQ15" si="234">DN15/DE15</f>
        <v>0.4604858977939123</v>
      </c>
      <c r="DR15" s="116">
        <f t="shared" ref="DR15" si="235">DO15/DF15</f>
        <v>0.53863134657836642</v>
      </c>
      <c r="DS15" s="98">
        <f t="shared" si="125"/>
        <v>17650</v>
      </c>
      <c r="DT15" s="98">
        <f t="shared" si="125"/>
        <v>17092</v>
      </c>
      <c r="DU15" s="98">
        <f t="shared" si="125"/>
        <v>34742</v>
      </c>
      <c r="DV15" s="98">
        <f t="shared" si="125"/>
        <v>12456</v>
      </c>
      <c r="DW15" s="98">
        <f t="shared" si="125"/>
        <v>9990</v>
      </c>
      <c r="DX15" s="98">
        <f t="shared" si="125"/>
        <v>22446</v>
      </c>
      <c r="DY15" s="98">
        <f t="shared" ref="DY15:EA15" si="236">CU15+DJ15</f>
        <v>338</v>
      </c>
      <c r="DZ15" s="98">
        <f t="shared" si="236"/>
        <v>522</v>
      </c>
      <c r="EA15" s="98">
        <f t="shared" si="236"/>
        <v>860</v>
      </c>
      <c r="EB15" s="98">
        <f t="shared" si="192"/>
        <v>12794</v>
      </c>
      <c r="EC15" s="98">
        <f t="shared" si="192"/>
        <v>10512</v>
      </c>
      <c r="ED15" s="98">
        <f t="shared" si="192"/>
        <v>23306</v>
      </c>
      <c r="EE15" s="116">
        <f t="shared" ref="EE15" si="237">EB15/DS15</f>
        <v>0.72487252124645896</v>
      </c>
      <c r="EF15" s="116">
        <f t="shared" si="193"/>
        <v>0.61502457289960211</v>
      </c>
      <c r="EG15" s="116">
        <f t="shared" si="193"/>
        <v>0.67083069483622126</v>
      </c>
      <c r="EH15" s="96">
        <v>445084</v>
      </c>
      <c r="EI15" s="96">
        <v>434668</v>
      </c>
      <c r="EJ15" s="96">
        <f t="shared" si="194"/>
        <v>879752</v>
      </c>
      <c r="EK15" s="96">
        <v>349024</v>
      </c>
      <c r="EL15" s="96">
        <v>286760</v>
      </c>
      <c r="EM15" s="96">
        <f t="shared" si="195"/>
        <v>635784</v>
      </c>
      <c r="EN15" s="392">
        <v>15365</v>
      </c>
      <c r="EO15" s="392">
        <v>23083</v>
      </c>
      <c r="EP15" s="393">
        <f>EN15+EO15</f>
        <v>38448</v>
      </c>
      <c r="EQ15" s="97">
        <f t="shared" si="126"/>
        <v>364389</v>
      </c>
      <c r="ER15" s="98">
        <f t="shared" si="127"/>
        <v>309843</v>
      </c>
      <c r="ES15" s="98">
        <f t="shared" si="128"/>
        <v>674232</v>
      </c>
      <c r="ET15" s="116">
        <f t="shared" si="196"/>
        <v>0.81869714480862044</v>
      </c>
      <c r="EU15" s="116">
        <f t="shared" si="197"/>
        <v>0.71282680114478181</v>
      </c>
      <c r="EV15" s="116">
        <f t="shared" si="198"/>
        <v>0.76638870954541738</v>
      </c>
      <c r="EW15" s="96">
        <v>139814</v>
      </c>
      <c r="EX15" s="96">
        <v>144544</v>
      </c>
      <c r="EY15" s="96">
        <f t="shared" ref="EY15:EY16" si="238">EW15+EX15</f>
        <v>284358</v>
      </c>
      <c r="EZ15" s="96">
        <v>98443</v>
      </c>
      <c r="FA15" s="96">
        <v>83447</v>
      </c>
      <c r="FB15" s="96">
        <f t="shared" ref="FB15:FB16" si="239">EZ15+FA15</f>
        <v>181890</v>
      </c>
      <c r="FC15" s="392">
        <v>494</v>
      </c>
      <c r="FD15" s="392">
        <v>107</v>
      </c>
      <c r="FE15" s="393">
        <f>FC15+FD15</f>
        <v>601</v>
      </c>
      <c r="FF15" s="97">
        <f t="shared" si="129"/>
        <v>98937</v>
      </c>
      <c r="FG15" s="98">
        <f t="shared" si="130"/>
        <v>83554</v>
      </c>
      <c r="FH15" s="98">
        <f t="shared" si="131"/>
        <v>182491</v>
      </c>
      <c r="FI15" s="116">
        <f t="shared" ref="FI15" si="240">FF15/EW15</f>
        <v>0.70763299812608182</v>
      </c>
      <c r="FJ15" s="116">
        <f t="shared" ref="FJ15" si="241">FG15/EX15</f>
        <v>0.57805235775957498</v>
      </c>
      <c r="FK15" s="116">
        <f t="shared" ref="FK15" si="242">FH15/EY15</f>
        <v>0.64176495825684521</v>
      </c>
      <c r="FL15" s="98">
        <f t="shared" si="132"/>
        <v>584898</v>
      </c>
      <c r="FM15" s="98">
        <f t="shared" si="133"/>
        <v>579212</v>
      </c>
      <c r="FN15" s="98">
        <f t="shared" si="134"/>
        <v>1164110</v>
      </c>
      <c r="FO15" s="98">
        <f t="shared" si="199"/>
        <v>447467</v>
      </c>
      <c r="FP15" s="98">
        <f t="shared" si="200"/>
        <v>370207</v>
      </c>
      <c r="FQ15" s="98">
        <f t="shared" si="201"/>
        <v>817674</v>
      </c>
      <c r="FR15" s="98">
        <f>EN15+FC15</f>
        <v>15859</v>
      </c>
      <c r="FS15" s="98">
        <f>EO15+FD15</f>
        <v>23190</v>
      </c>
      <c r="FT15" s="98">
        <f>EP15+FE15</f>
        <v>39049</v>
      </c>
      <c r="FU15" s="98">
        <f t="shared" si="202"/>
        <v>463326</v>
      </c>
      <c r="FV15" s="98">
        <f t="shared" si="203"/>
        <v>393397</v>
      </c>
      <c r="FW15" s="98">
        <f t="shared" si="204"/>
        <v>856723</v>
      </c>
      <c r="FX15" s="116">
        <f t="shared" ref="FX15" si="243">FU15/FL15</f>
        <v>0.79214837458838983</v>
      </c>
      <c r="FY15" s="116">
        <f t="shared" si="205"/>
        <v>0.67919345593668634</v>
      </c>
      <c r="FZ15" s="116">
        <f t="shared" si="206"/>
        <v>0.73594677478932402</v>
      </c>
      <c r="GA15" s="98">
        <f t="shared" si="207"/>
        <v>689177</v>
      </c>
      <c r="GB15" s="98">
        <f t="shared" si="207"/>
        <v>584752</v>
      </c>
      <c r="GC15" s="98">
        <f t="shared" si="207"/>
        <v>1273929</v>
      </c>
      <c r="GD15" s="101">
        <v>138986</v>
      </c>
      <c r="GE15" s="101">
        <v>87331</v>
      </c>
      <c r="GF15" s="98">
        <f t="shared" si="208"/>
        <v>226317</v>
      </c>
      <c r="GG15" s="100">
        <f t="shared" si="209"/>
        <v>20.166952756693853</v>
      </c>
      <c r="GH15" s="100">
        <f t="shared" si="209"/>
        <v>14.93470736312146</v>
      </c>
      <c r="GI15" s="100">
        <f t="shared" si="209"/>
        <v>17.765275772825643</v>
      </c>
      <c r="GJ15" s="98">
        <f t="shared" si="210"/>
        <v>119276</v>
      </c>
      <c r="GK15" s="98">
        <f t="shared" si="210"/>
        <v>82752</v>
      </c>
      <c r="GL15" s="98">
        <f t="shared" si="210"/>
        <v>202028</v>
      </c>
      <c r="GM15" s="101">
        <v>15324</v>
      </c>
      <c r="GN15" s="101">
        <v>7254</v>
      </c>
      <c r="GO15" s="98">
        <f t="shared" si="211"/>
        <v>22578</v>
      </c>
      <c r="GP15" s="100">
        <f t="shared" si="212"/>
        <v>12.847513330426908</v>
      </c>
      <c r="GQ15" s="100">
        <f t="shared" si="212"/>
        <v>8.7659512761020881</v>
      </c>
      <c r="GR15" s="100">
        <f t="shared" si="212"/>
        <v>11.175678618805314</v>
      </c>
      <c r="GS15" s="98">
        <f t="shared" si="213"/>
        <v>12794</v>
      </c>
      <c r="GT15" s="98">
        <f t="shared" si="213"/>
        <v>10512</v>
      </c>
      <c r="GU15" s="98">
        <f t="shared" si="213"/>
        <v>23306</v>
      </c>
      <c r="GV15" s="101">
        <v>2126</v>
      </c>
      <c r="GW15" s="101">
        <v>1342</v>
      </c>
      <c r="GX15" s="98">
        <f t="shared" si="214"/>
        <v>3468</v>
      </c>
      <c r="GY15" s="100">
        <f t="shared" ref="GY15:GY30" si="244">+GV15*100/GS15</f>
        <v>16.61716429576364</v>
      </c>
      <c r="GZ15" s="100">
        <f t="shared" si="215"/>
        <v>12.766362252663622</v>
      </c>
      <c r="HA15" s="100">
        <f t="shared" si="215"/>
        <v>14.880288337767098</v>
      </c>
      <c r="HB15" s="98">
        <f t="shared" si="167"/>
        <v>463326</v>
      </c>
      <c r="HC15" s="98">
        <f t="shared" si="168"/>
        <v>393397</v>
      </c>
      <c r="HD15" s="98">
        <f t="shared" si="169"/>
        <v>856723</v>
      </c>
      <c r="HE15" s="101">
        <v>94126</v>
      </c>
      <c r="HF15" s="101">
        <v>53728</v>
      </c>
      <c r="HG15" s="98">
        <f t="shared" si="216"/>
        <v>147854</v>
      </c>
      <c r="HH15" s="100">
        <f t="shared" ref="HH15" si="245">+HE15*100/HB15</f>
        <v>20.315285565670823</v>
      </c>
      <c r="HI15" s="100">
        <f t="shared" si="217"/>
        <v>13.657450361848209</v>
      </c>
      <c r="HJ15" s="100">
        <f t="shared" si="218"/>
        <v>17.258086919576105</v>
      </c>
    </row>
    <row r="16" spans="1:218" s="397" customFormat="1" ht="28.5">
      <c r="A16" s="420">
        <v>8</v>
      </c>
      <c r="B16" s="396" t="s">
        <v>139</v>
      </c>
      <c r="C16" s="99">
        <v>18134</v>
      </c>
      <c r="D16" s="99">
        <v>38144</v>
      </c>
      <c r="E16" s="99">
        <f t="shared" si="176"/>
        <v>56278</v>
      </c>
      <c r="F16" s="99">
        <v>15358</v>
      </c>
      <c r="G16" s="99">
        <v>30219</v>
      </c>
      <c r="H16" s="99">
        <f t="shared" si="177"/>
        <v>45577</v>
      </c>
      <c r="I16" s="403"/>
      <c r="J16" s="403"/>
      <c r="K16" s="403"/>
      <c r="L16" s="97">
        <f t="shared" ref="L16:L17" si="246">F16+I16</f>
        <v>15358</v>
      </c>
      <c r="M16" s="98">
        <f t="shared" ref="M16:M17" si="247">G16+J16</f>
        <v>30219</v>
      </c>
      <c r="N16" s="98">
        <f t="shared" ref="N16:N17" si="248">H16+K16</f>
        <v>45577</v>
      </c>
      <c r="O16" s="116">
        <f t="shared" ref="O16:O17" si="249">L16/C16</f>
        <v>0.84691739274291389</v>
      </c>
      <c r="P16" s="116">
        <f t="shared" ref="P16:P17" si="250">M16/D16</f>
        <v>0.79223468959731547</v>
      </c>
      <c r="Q16" s="116">
        <f t="shared" ref="Q16:Q17" si="251">N16/E16</f>
        <v>0.80985465012971325</v>
      </c>
      <c r="R16" s="99">
        <v>1536</v>
      </c>
      <c r="S16" s="99">
        <v>1887</v>
      </c>
      <c r="T16" s="99">
        <f t="shared" si="219"/>
        <v>3423</v>
      </c>
      <c r="U16" s="99">
        <v>1359</v>
      </c>
      <c r="V16" s="99">
        <v>1531</v>
      </c>
      <c r="W16" s="99">
        <f t="shared" si="220"/>
        <v>2890</v>
      </c>
      <c r="X16" s="403"/>
      <c r="Y16" s="403"/>
      <c r="Z16" s="403"/>
      <c r="AA16" s="97">
        <f t="shared" ref="AA16" si="252">U16+X16</f>
        <v>1359</v>
      </c>
      <c r="AB16" s="98">
        <f t="shared" ref="AB16" si="253">V16+Y16</f>
        <v>1531</v>
      </c>
      <c r="AC16" s="98">
        <f t="shared" ref="AC16" si="254">W16+Z16</f>
        <v>2890</v>
      </c>
      <c r="AD16" s="116">
        <f t="shared" ref="AD16" si="255">AA16/R16</f>
        <v>0.884765625</v>
      </c>
      <c r="AE16" s="116">
        <f t="shared" ref="AE16" si="256">AB16/S16</f>
        <v>0.81134075251722315</v>
      </c>
      <c r="AF16" s="116">
        <f t="shared" ref="AF16" si="257">AC16/T16</f>
        <v>0.8442886356996786</v>
      </c>
      <c r="AG16" s="98">
        <f t="shared" si="179"/>
        <v>19670</v>
      </c>
      <c r="AH16" s="98">
        <f t="shared" si="109"/>
        <v>40031</v>
      </c>
      <c r="AI16" s="98">
        <f t="shared" si="109"/>
        <v>59701</v>
      </c>
      <c r="AJ16" s="98">
        <f t="shared" si="109"/>
        <v>16717</v>
      </c>
      <c r="AK16" s="98">
        <f t="shared" si="109"/>
        <v>31750</v>
      </c>
      <c r="AL16" s="98">
        <f t="shared" si="109"/>
        <v>48467</v>
      </c>
      <c r="AM16" s="404"/>
      <c r="AN16" s="404"/>
      <c r="AO16" s="404"/>
      <c r="AP16" s="98">
        <f t="shared" si="110"/>
        <v>16717</v>
      </c>
      <c r="AQ16" s="98">
        <f t="shared" si="110"/>
        <v>31750</v>
      </c>
      <c r="AR16" s="98">
        <f t="shared" si="109"/>
        <v>48467</v>
      </c>
      <c r="AS16" s="116">
        <f>AP16/AG16</f>
        <v>0.84987290289781392</v>
      </c>
      <c r="AT16" s="116">
        <f t="shared" si="180"/>
        <v>0.79313532012690169</v>
      </c>
      <c r="AU16" s="116">
        <f t="shared" si="180"/>
        <v>0.81182894758881763</v>
      </c>
      <c r="AV16" s="99">
        <v>35</v>
      </c>
      <c r="AW16" s="99">
        <v>49</v>
      </c>
      <c r="AX16" s="99">
        <f t="shared" si="181"/>
        <v>84</v>
      </c>
      <c r="AY16" s="99">
        <v>28</v>
      </c>
      <c r="AZ16" s="99">
        <v>34</v>
      </c>
      <c r="BA16" s="99">
        <f t="shared" si="182"/>
        <v>62</v>
      </c>
      <c r="BB16" s="403"/>
      <c r="BC16" s="403"/>
      <c r="BD16" s="403"/>
      <c r="BE16" s="97">
        <f t="shared" ref="BE16" si="258">AY16+BB16</f>
        <v>28</v>
      </c>
      <c r="BF16" s="98">
        <f t="shared" ref="BF16" si="259">AZ16+BC16</f>
        <v>34</v>
      </c>
      <c r="BG16" s="98">
        <f t="shared" ref="BG16" si="260">BA16+BD16</f>
        <v>62</v>
      </c>
      <c r="BH16" s="116">
        <f t="shared" ref="BH16" si="261">BE16/AV16</f>
        <v>0.8</v>
      </c>
      <c r="BI16" s="116">
        <f t="shared" ref="BI16" si="262">BF16/AW16</f>
        <v>0.69387755102040816</v>
      </c>
      <c r="BJ16" s="116">
        <f t="shared" ref="BJ16" si="263">BG16/AX16</f>
        <v>0.73809523809523814</v>
      </c>
      <c r="BK16" s="99">
        <v>1</v>
      </c>
      <c r="BL16" s="99">
        <v>2</v>
      </c>
      <c r="BM16" s="99">
        <f t="shared" si="225"/>
        <v>3</v>
      </c>
      <c r="BN16" s="403"/>
      <c r="BO16" s="99">
        <v>2</v>
      </c>
      <c r="BP16" s="99">
        <f t="shared" si="226"/>
        <v>2</v>
      </c>
      <c r="BQ16" s="403"/>
      <c r="BR16" s="403"/>
      <c r="BS16" s="403"/>
      <c r="BT16" s="404"/>
      <c r="BU16" s="98">
        <f t="shared" ref="BU16" si="264">BO16+BR16</f>
        <v>2</v>
      </c>
      <c r="BV16" s="98">
        <f t="shared" ref="BV16" si="265">BP16+BS16</f>
        <v>2</v>
      </c>
      <c r="BW16" s="116">
        <f t="shared" ref="BW16" si="266">BT16/BK16</f>
        <v>0</v>
      </c>
      <c r="BX16" s="116">
        <f t="shared" ref="BX16" si="267">BU16/BL16</f>
        <v>1</v>
      </c>
      <c r="BY16" s="116">
        <f t="shared" ref="BY16" si="268">BV16/BM16</f>
        <v>0.66666666666666663</v>
      </c>
      <c r="BZ16" s="98">
        <f t="shared" si="186"/>
        <v>36</v>
      </c>
      <c r="CA16" s="98">
        <f t="shared" si="186"/>
        <v>51</v>
      </c>
      <c r="CB16" s="98">
        <f t="shared" si="186"/>
        <v>87</v>
      </c>
      <c r="CC16" s="98">
        <f t="shared" si="186"/>
        <v>28</v>
      </c>
      <c r="CD16" s="98">
        <f t="shared" si="186"/>
        <v>36</v>
      </c>
      <c r="CE16" s="98">
        <f t="shared" si="186"/>
        <v>64</v>
      </c>
      <c r="CF16" s="404"/>
      <c r="CG16" s="404"/>
      <c r="CH16" s="404"/>
      <c r="CI16" s="98">
        <f t="shared" ref="CI16" si="269">BE16+BT16</f>
        <v>28</v>
      </c>
      <c r="CJ16" s="98">
        <f t="shared" ref="CJ16" si="270">BF16+BU16</f>
        <v>36</v>
      </c>
      <c r="CK16" s="98">
        <f t="shared" ref="CK16" si="271">BG16+BV16</f>
        <v>64</v>
      </c>
      <c r="CL16" s="116">
        <f t="shared" ref="CL16" si="272">CI16/BZ16</f>
        <v>0.77777777777777779</v>
      </c>
      <c r="CM16" s="116">
        <f t="shared" ref="CM16" si="273">CJ16/CA16</f>
        <v>0.70588235294117652</v>
      </c>
      <c r="CN16" s="116">
        <f t="shared" ref="CN16" si="274">CK16/CB16</f>
        <v>0.73563218390804597</v>
      </c>
      <c r="CO16" s="403"/>
      <c r="CP16" s="403"/>
      <c r="CQ16" s="403"/>
      <c r="CR16" s="403"/>
      <c r="CS16" s="403"/>
      <c r="CT16" s="403"/>
      <c r="CU16" s="403"/>
      <c r="CV16" s="403"/>
      <c r="CW16" s="403"/>
      <c r="CX16" s="404"/>
      <c r="CY16" s="404"/>
      <c r="CZ16" s="404"/>
      <c r="DA16" s="405"/>
      <c r="DB16" s="405"/>
      <c r="DC16" s="405"/>
      <c r="DD16" s="403"/>
      <c r="DE16" s="403"/>
      <c r="DF16" s="403"/>
      <c r="DG16" s="403"/>
      <c r="DH16" s="403"/>
      <c r="DI16" s="403"/>
      <c r="DJ16" s="403"/>
      <c r="DK16" s="403"/>
      <c r="DL16" s="403"/>
      <c r="DM16" s="404"/>
      <c r="DN16" s="404"/>
      <c r="DO16" s="404"/>
      <c r="DP16" s="405"/>
      <c r="DQ16" s="405"/>
      <c r="DR16" s="405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5"/>
      <c r="EF16" s="405"/>
      <c r="EG16" s="405"/>
      <c r="EH16" s="99">
        <v>10213</v>
      </c>
      <c r="EI16" s="99">
        <v>21706</v>
      </c>
      <c r="EJ16" s="99">
        <f t="shared" si="194"/>
        <v>31919</v>
      </c>
      <c r="EK16" s="99">
        <v>8541</v>
      </c>
      <c r="EL16" s="99">
        <v>16875</v>
      </c>
      <c r="EM16" s="99">
        <f t="shared" si="195"/>
        <v>25416</v>
      </c>
      <c r="EN16" s="403"/>
      <c r="EO16" s="403"/>
      <c r="EP16" s="403"/>
      <c r="EQ16" s="97">
        <f t="shared" ref="EQ16" si="275">EK16+EN16</f>
        <v>8541</v>
      </c>
      <c r="ER16" s="98">
        <f t="shared" ref="ER16" si="276">EL16+EO16</f>
        <v>16875</v>
      </c>
      <c r="ES16" s="98">
        <f t="shared" ref="ES16" si="277">EM16+EP16</f>
        <v>25416</v>
      </c>
      <c r="ET16" s="116">
        <f t="shared" ref="ET16" si="278">EQ16/EH16</f>
        <v>0.83628708508763339</v>
      </c>
      <c r="EU16" s="116">
        <f t="shared" ref="EU16" si="279">ER16/EI16</f>
        <v>0.77743481065143283</v>
      </c>
      <c r="EV16" s="116">
        <f t="shared" ref="EV16" si="280">ES16/EJ16</f>
        <v>0.79626554716626463</v>
      </c>
      <c r="EW16" s="99">
        <v>790</v>
      </c>
      <c r="EX16" s="99">
        <v>950</v>
      </c>
      <c r="EY16" s="99">
        <f t="shared" si="238"/>
        <v>1740</v>
      </c>
      <c r="EZ16" s="99">
        <v>695</v>
      </c>
      <c r="FA16" s="99">
        <v>759</v>
      </c>
      <c r="FB16" s="99">
        <f t="shared" si="239"/>
        <v>1454</v>
      </c>
      <c r="FC16" s="403"/>
      <c r="FD16" s="403"/>
      <c r="FE16" s="403"/>
      <c r="FF16" s="97">
        <f t="shared" ref="FF16" si="281">EZ16+FC16</f>
        <v>695</v>
      </c>
      <c r="FG16" s="98">
        <f t="shared" ref="FG16" si="282">FA16+FD16</f>
        <v>759</v>
      </c>
      <c r="FH16" s="98">
        <f t="shared" ref="FH16" si="283">FB16+FE16</f>
        <v>1454</v>
      </c>
      <c r="FI16" s="116">
        <f t="shared" ref="FI16" si="284">FF16/EW16</f>
        <v>0.879746835443038</v>
      </c>
      <c r="FJ16" s="116">
        <f t="shared" ref="FJ16" si="285">FG16/EX16</f>
        <v>0.79894736842105263</v>
      </c>
      <c r="FK16" s="116">
        <f t="shared" ref="FK16" si="286">FH16/EY16</f>
        <v>0.83563218390804594</v>
      </c>
      <c r="FL16" s="98">
        <f t="shared" si="132"/>
        <v>11003</v>
      </c>
      <c r="FM16" s="98">
        <f t="shared" si="133"/>
        <v>22656</v>
      </c>
      <c r="FN16" s="98">
        <f t="shared" si="134"/>
        <v>33659</v>
      </c>
      <c r="FO16" s="98">
        <f t="shared" si="199"/>
        <v>9236</v>
      </c>
      <c r="FP16" s="98">
        <f t="shared" si="200"/>
        <v>17634</v>
      </c>
      <c r="FQ16" s="98">
        <f t="shared" si="201"/>
        <v>26870</v>
      </c>
      <c r="FR16" s="404"/>
      <c r="FS16" s="404"/>
      <c r="FT16" s="404"/>
      <c r="FU16" s="98">
        <f t="shared" ref="FU16" si="287">EQ16+FF16</f>
        <v>9236</v>
      </c>
      <c r="FV16" s="98">
        <f t="shared" ref="FV16" si="288">ER16+FG16</f>
        <v>17634</v>
      </c>
      <c r="FW16" s="98">
        <f t="shared" ref="FW16" si="289">ES16+FH16</f>
        <v>26870</v>
      </c>
      <c r="FX16" s="116">
        <f t="shared" ref="FX16" si="290">FU16/FL16</f>
        <v>0.83940743433609011</v>
      </c>
      <c r="FY16" s="116">
        <f t="shared" ref="FY16" si="291">FV16/FM16</f>
        <v>0.77833686440677963</v>
      </c>
      <c r="FZ16" s="116">
        <f t="shared" ref="FZ16" si="292">FW16/FN16</f>
        <v>0.7983006031076384</v>
      </c>
      <c r="GA16" s="98">
        <f t="shared" si="207"/>
        <v>16717</v>
      </c>
      <c r="GB16" s="98">
        <f t="shared" si="207"/>
        <v>31750</v>
      </c>
      <c r="GC16" s="98">
        <f t="shared" si="207"/>
        <v>48467</v>
      </c>
      <c r="GD16" s="98">
        <v>467</v>
      </c>
      <c r="GE16" s="98">
        <v>726</v>
      </c>
      <c r="GF16" s="98">
        <f t="shared" si="208"/>
        <v>1193</v>
      </c>
      <c r="GG16" s="100">
        <f t="shared" si="209"/>
        <v>2.7935634384159838</v>
      </c>
      <c r="GH16" s="100">
        <f t="shared" si="209"/>
        <v>2.2866141732283465</v>
      </c>
      <c r="GI16" s="100">
        <f t="shared" si="209"/>
        <v>2.4614686281387335</v>
      </c>
      <c r="GJ16" s="98">
        <f t="shared" ref="GJ16" si="293">+CI16</f>
        <v>28</v>
      </c>
      <c r="GK16" s="98">
        <f t="shared" ref="GK16" si="294">+CJ16</f>
        <v>36</v>
      </c>
      <c r="GL16" s="98">
        <f t="shared" ref="GL16" si="295">+CK16</f>
        <v>64</v>
      </c>
      <c r="GM16" s="380">
        <v>0</v>
      </c>
      <c r="GN16" s="380">
        <v>0</v>
      </c>
      <c r="GO16" s="392">
        <v>0</v>
      </c>
      <c r="GP16" s="100">
        <f t="shared" ref="GP16" si="296">+GM16*100/GJ16</f>
        <v>0</v>
      </c>
      <c r="GQ16" s="100">
        <f t="shared" ref="GQ16" si="297">+GN16*100/GK16</f>
        <v>0</v>
      </c>
      <c r="GR16" s="100">
        <f t="shared" ref="GR16" si="298">+GO16*100/GL16</f>
        <v>0</v>
      </c>
      <c r="GS16" s="404"/>
      <c r="GT16" s="404"/>
      <c r="GU16" s="404"/>
      <c r="GV16" s="406"/>
      <c r="GW16" s="406"/>
      <c r="GX16" s="404"/>
      <c r="GY16" s="407"/>
      <c r="GZ16" s="407"/>
      <c r="HA16" s="407"/>
      <c r="HB16" s="98">
        <f t="shared" si="167"/>
        <v>9236</v>
      </c>
      <c r="HC16" s="98">
        <f t="shared" si="168"/>
        <v>17634</v>
      </c>
      <c r="HD16" s="98">
        <f t="shared" si="169"/>
        <v>26870</v>
      </c>
      <c r="HE16" s="98">
        <v>247</v>
      </c>
      <c r="HF16" s="98">
        <v>408</v>
      </c>
      <c r="HG16" s="98">
        <f t="shared" si="216"/>
        <v>655</v>
      </c>
      <c r="HH16" s="100">
        <f t="shared" ref="HH16" si="299">+HE16*100/HB16</f>
        <v>2.6743178865309658</v>
      </c>
      <c r="HI16" s="100">
        <f t="shared" ref="HI16" si="300">+HF16*100/HC16</f>
        <v>2.3137121469887716</v>
      </c>
      <c r="HJ16" s="100">
        <f t="shared" ref="HJ16" si="301">+HG16*100/HD16</f>
        <v>2.4376628209899516</v>
      </c>
    </row>
    <row r="17" spans="1:219" s="397" customFormat="1">
      <c r="A17" s="420">
        <v>9</v>
      </c>
      <c r="B17" s="396" t="s">
        <v>384</v>
      </c>
      <c r="C17" s="99">
        <v>6361</v>
      </c>
      <c r="D17" s="99">
        <v>6387</v>
      </c>
      <c r="E17" s="99">
        <f t="shared" si="176"/>
        <v>12748</v>
      </c>
      <c r="F17" s="99">
        <v>4507</v>
      </c>
      <c r="G17" s="99">
        <v>4746</v>
      </c>
      <c r="H17" s="99">
        <f t="shared" si="177"/>
        <v>9253</v>
      </c>
      <c r="I17" s="403"/>
      <c r="J17" s="403"/>
      <c r="K17" s="403"/>
      <c r="L17" s="97">
        <f t="shared" si="246"/>
        <v>4507</v>
      </c>
      <c r="M17" s="98">
        <f t="shared" si="247"/>
        <v>4746</v>
      </c>
      <c r="N17" s="98">
        <f t="shared" si="248"/>
        <v>9253</v>
      </c>
      <c r="O17" s="116">
        <f t="shared" si="249"/>
        <v>0.70853639364879739</v>
      </c>
      <c r="P17" s="116">
        <f t="shared" si="250"/>
        <v>0.74307186472522313</v>
      </c>
      <c r="Q17" s="116">
        <f t="shared" si="251"/>
        <v>0.72583934734860367</v>
      </c>
      <c r="R17" s="403"/>
      <c r="S17" s="403"/>
      <c r="T17" s="403"/>
      <c r="U17" s="403"/>
      <c r="V17" s="403"/>
      <c r="W17" s="403"/>
      <c r="X17" s="403"/>
      <c r="Y17" s="403"/>
      <c r="Z17" s="403"/>
      <c r="AA17" s="404"/>
      <c r="AB17" s="404"/>
      <c r="AC17" s="404"/>
      <c r="AD17" s="405"/>
      <c r="AE17" s="405"/>
      <c r="AF17" s="405"/>
      <c r="AG17" s="98">
        <f t="shared" ref="AG17" si="302">C17+R17</f>
        <v>6361</v>
      </c>
      <c r="AH17" s="98">
        <f t="shared" ref="AH17" si="303">D17+S17</f>
        <v>6387</v>
      </c>
      <c r="AI17" s="98">
        <f t="shared" ref="AI17" si="304">E17+T17</f>
        <v>12748</v>
      </c>
      <c r="AJ17" s="98">
        <f t="shared" ref="AJ17" si="305">F17+U17</f>
        <v>4507</v>
      </c>
      <c r="AK17" s="98">
        <f t="shared" ref="AK17" si="306">G17+V17</f>
        <v>4746</v>
      </c>
      <c r="AL17" s="98">
        <f t="shared" ref="AL17" si="307">H17+W17</f>
        <v>9253</v>
      </c>
      <c r="AM17" s="404"/>
      <c r="AN17" s="404"/>
      <c r="AO17" s="404"/>
      <c r="AP17" s="98">
        <f t="shared" ref="AP17" si="308">L17+AA17</f>
        <v>4507</v>
      </c>
      <c r="AQ17" s="98">
        <f t="shared" ref="AQ17" si="309">M17+AB17</f>
        <v>4746</v>
      </c>
      <c r="AR17" s="98">
        <f t="shared" ref="AR17" si="310">N17+AC17</f>
        <v>9253</v>
      </c>
      <c r="AS17" s="116">
        <f>AP17/AG17</f>
        <v>0.70853639364879739</v>
      </c>
      <c r="AT17" s="116">
        <f t="shared" ref="AT17" si="311">AQ17/AH17</f>
        <v>0.74307186472522313</v>
      </c>
      <c r="AU17" s="116">
        <f t="shared" ref="AU17" si="312">AR17/AI17</f>
        <v>0.72583934734860367</v>
      </c>
      <c r="AV17" s="403"/>
      <c r="AW17" s="403"/>
      <c r="AX17" s="403"/>
      <c r="AY17" s="606" t="s">
        <v>438</v>
      </c>
      <c r="AZ17" s="607"/>
      <c r="BA17" s="607"/>
      <c r="BB17" s="607"/>
      <c r="BC17" s="607"/>
      <c r="BD17" s="607"/>
      <c r="BE17" s="607"/>
      <c r="BF17" s="607"/>
      <c r="BG17" s="607"/>
      <c r="BH17" s="524"/>
      <c r="BI17" s="524"/>
      <c r="BJ17" s="525"/>
      <c r="BK17" s="403"/>
      <c r="BL17" s="403"/>
      <c r="BM17" s="403"/>
      <c r="BN17" s="403"/>
      <c r="BO17" s="403"/>
      <c r="BP17" s="403"/>
      <c r="BQ17" s="403"/>
      <c r="BR17" s="403"/>
      <c r="BS17" s="403"/>
      <c r="BT17" s="404"/>
      <c r="BU17" s="404"/>
      <c r="BV17" s="404"/>
      <c r="BW17" s="405"/>
      <c r="BX17" s="405"/>
      <c r="BY17" s="405"/>
      <c r="BZ17" s="404"/>
      <c r="CA17" s="404"/>
      <c r="CB17" s="404"/>
      <c r="CC17" s="404"/>
      <c r="CD17" s="404"/>
      <c r="CE17" s="404"/>
      <c r="CF17" s="404"/>
      <c r="CG17" s="404"/>
      <c r="CH17" s="404"/>
      <c r="CI17" s="404"/>
      <c r="CJ17" s="404"/>
      <c r="CK17" s="404"/>
      <c r="CL17" s="405"/>
      <c r="CM17" s="405"/>
      <c r="CN17" s="405"/>
      <c r="CO17" s="403"/>
      <c r="CP17" s="403"/>
      <c r="CQ17" s="403"/>
      <c r="CR17" s="403"/>
      <c r="CS17" s="403"/>
      <c r="CT17" s="403"/>
      <c r="CU17" s="403"/>
      <c r="CV17" s="403"/>
      <c r="CW17" s="403"/>
      <c r="CX17" s="404"/>
      <c r="CY17" s="404"/>
      <c r="CZ17" s="404"/>
      <c r="DA17" s="405"/>
      <c r="DB17" s="405"/>
      <c r="DC17" s="405"/>
      <c r="DD17" s="403"/>
      <c r="DE17" s="403"/>
      <c r="DF17" s="403"/>
      <c r="DG17" s="403"/>
      <c r="DH17" s="403"/>
      <c r="DI17" s="403"/>
      <c r="DJ17" s="403"/>
      <c r="DK17" s="403"/>
      <c r="DL17" s="403"/>
      <c r="DM17" s="404"/>
      <c r="DN17" s="404"/>
      <c r="DO17" s="404"/>
      <c r="DP17" s="405"/>
      <c r="DQ17" s="405"/>
      <c r="DR17" s="405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5"/>
      <c r="EF17" s="405"/>
      <c r="EG17" s="405"/>
      <c r="EH17" s="403"/>
      <c r="EI17" s="403"/>
      <c r="EJ17" s="403"/>
      <c r="EK17" s="403"/>
      <c r="EL17" s="403"/>
      <c r="EM17" s="403"/>
      <c r="EN17" s="403"/>
      <c r="EO17" s="403"/>
      <c r="EP17" s="403"/>
      <c r="EQ17" s="404"/>
      <c r="ER17" s="404"/>
      <c r="ES17" s="404"/>
      <c r="ET17" s="405"/>
      <c r="EU17" s="405"/>
      <c r="EV17" s="405"/>
      <c r="EW17" s="403"/>
      <c r="EX17" s="403"/>
      <c r="EY17" s="403"/>
      <c r="EZ17" s="403"/>
      <c r="FA17" s="403"/>
      <c r="FB17" s="403"/>
      <c r="FC17" s="403"/>
      <c r="FD17" s="403"/>
      <c r="FE17" s="403"/>
      <c r="FF17" s="404"/>
      <c r="FG17" s="404"/>
      <c r="FH17" s="404"/>
      <c r="FI17" s="405"/>
      <c r="FJ17" s="405"/>
      <c r="FK17" s="405"/>
      <c r="FL17" s="98"/>
      <c r="FM17" s="404"/>
      <c r="FN17" s="404"/>
      <c r="FO17" s="404"/>
      <c r="FP17" s="404"/>
      <c r="FQ17" s="404"/>
      <c r="FR17" s="404"/>
      <c r="FS17" s="404"/>
      <c r="FT17" s="404"/>
      <c r="FU17" s="404"/>
      <c r="FV17" s="404"/>
      <c r="FW17" s="404"/>
      <c r="FX17" s="405"/>
      <c r="FY17" s="405"/>
      <c r="FZ17" s="405"/>
      <c r="GA17" s="98">
        <f t="shared" ref="GA17" si="313">+AP17</f>
        <v>4507</v>
      </c>
      <c r="GB17" s="98">
        <f t="shared" ref="GB17" si="314">+AQ17</f>
        <v>4746</v>
      </c>
      <c r="GC17" s="98">
        <f t="shared" ref="GC17" si="315">+AR17</f>
        <v>9253</v>
      </c>
      <c r="GD17" s="98">
        <v>140</v>
      </c>
      <c r="GE17" s="98">
        <v>104</v>
      </c>
      <c r="GF17" s="98">
        <f t="shared" si="208"/>
        <v>244</v>
      </c>
      <c r="GG17" s="100">
        <f t="shared" ref="GG17" si="316">+GD17*100/GA17</f>
        <v>3.1062791213667627</v>
      </c>
      <c r="GH17" s="100">
        <f t="shared" ref="GH17" si="317">+GE17*100/GB17</f>
        <v>2.1913190054782974</v>
      </c>
      <c r="GI17" s="100">
        <f t="shared" ref="GI17" si="318">+GF17*100/GC17</f>
        <v>2.6369826002377605</v>
      </c>
      <c r="GJ17" s="404"/>
      <c r="GK17" s="404"/>
      <c r="GL17" s="404"/>
      <c r="GM17" s="406"/>
      <c r="GN17" s="406"/>
      <c r="GO17" s="404"/>
      <c r="GP17" s="407"/>
      <c r="GQ17" s="407"/>
      <c r="GR17" s="407"/>
      <c r="GS17" s="404"/>
      <c r="GT17" s="404"/>
      <c r="GU17" s="404"/>
      <c r="GV17" s="406"/>
      <c r="GW17" s="406"/>
      <c r="GX17" s="404"/>
      <c r="GY17" s="407"/>
      <c r="GZ17" s="407"/>
      <c r="HA17" s="407"/>
      <c r="HB17" s="404"/>
      <c r="HC17" s="404"/>
      <c r="HD17" s="404"/>
      <c r="HE17" s="404"/>
      <c r="HF17" s="404"/>
      <c r="HG17" s="404"/>
      <c r="HH17" s="407"/>
      <c r="HI17" s="407"/>
      <c r="HJ17" s="407"/>
    </row>
    <row r="18" spans="1:219" ht="28.5">
      <c r="A18" s="420">
        <v>10</v>
      </c>
      <c r="B18" s="118" t="s">
        <v>145</v>
      </c>
      <c r="C18" s="393">
        <v>176121</v>
      </c>
      <c r="D18" s="393">
        <v>204735</v>
      </c>
      <c r="E18" s="393">
        <f>C18+D18</f>
        <v>380856</v>
      </c>
      <c r="F18" s="393">
        <v>117185</v>
      </c>
      <c r="G18" s="96">
        <v>142385</v>
      </c>
      <c r="H18" s="96">
        <f>F18+G18</f>
        <v>259570</v>
      </c>
      <c r="I18" s="96">
        <v>3903</v>
      </c>
      <c r="J18" s="96">
        <v>5024</v>
      </c>
      <c r="K18" s="96">
        <f>I18+J18</f>
        <v>8927</v>
      </c>
      <c r="L18" s="97">
        <f t="shared" ref="L18:N33" si="319">F18+I18</f>
        <v>121088</v>
      </c>
      <c r="M18" s="98">
        <f t="shared" si="319"/>
        <v>147409</v>
      </c>
      <c r="N18" s="98">
        <f t="shared" si="319"/>
        <v>268497</v>
      </c>
      <c r="O18" s="116">
        <f>L18/C18</f>
        <v>0.68752732496408719</v>
      </c>
      <c r="P18" s="116">
        <f>M18/D18</f>
        <v>0.71999902312745745</v>
      </c>
      <c r="Q18" s="116">
        <f>N18/E18</f>
        <v>0.70498298569538098</v>
      </c>
      <c r="R18" s="96">
        <v>4194</v>
      </c>
      <c r="S18" s="96">
        <v>3380</v>
      </c>
      <c r="T18" s="96">
        <f>R18+S18</f>
        <v>7574</v>
      </c>
      <c r="U18" s="96">
        <v>994</v>
      </c>
      <c r="V18" s="96">
        <v>865</v>
      </c>
      <c r="W18" s="96">
        <f>U18+V18</f>
        <v>1859</v>
      </c>
      <c r="X18" s="96">
        <v>1848</v>
      </c>
      <c r="Y18" s="96">
        <v>1746</v>
      </c>
      <c r="Z18" s="96">
        <f>X18+Y18</f>
        <v>3594</v>
      </c>
      <c r="AA18" s="97">
        <f t="shared" ref="AA18:AA27" si="320">U18+X18</f>
        <v>2842</v>
      </c>
      <c r="AB18" s="98">
        <f t="shared" ref="AB18:AB27" si="321">V18+Y18</f>
        <v>2611</v>
      </c>
      <c r="AC18" s="98">
        <f t="shared" ref="AC18:AC28" si="322">W18+Z18</f>
        <v>5453</v>
      </c>
      <c r="AD18" s="116">
        <f t="shared" ref="AD18:AF19" si="323">AA18/R18</f>
        <v>0.67763471626132565</v>
      </c>
      <c r="AE18" s="116">
        <f t="shared" si="323"/>
        <v>0.77248520710059176</v>
      </c>
      <c r="AF18" s="116">
        <f t="shared" si="323"/>
        <v>0.71996303142329021</v>
      </c>
      <c r="AG18" s="98">
        <f t="shared" si="179"/>
        <v>180315</v>
      </c>
      <c r="AH18" s="98">
        <f t="shared" si="109"/>
        <v>208115</v>
      </c>
      <c r="AI18" s="98">
        <f t="shared" si="109"/>
        <v>388430</v>
      </c>
      <c r="AJ18" s="98">
        <f t="shared" si="109"/>
        <v>118179</v>
      </c>
      <c r="AK18" s="98">
        <f t="shared" si="109"/>
        <v>143250</v>
      </c>
      <c r="AL18" s="98">
        <f t="shared" si="109"/>
        <v>261429</v>
      </c>
      <c r="AM18" s="98">
        <f t="shared" si="109"/>
        <v>5751</v>
      </c>
      <c r="AN18" s="98">
        <f t="shared" si="109"/>
        <v>6770</v>
      </c>
      <c r="AO18" s="98">
        <f t="shared" si="109"/>
        <v>12521</v>
      </c>
      <c r="AP18" s="98">
        <f t="shared" si="110"/>
        <v>123930</v>
      </c>
      <c r="AQ18" s="98">
        <f t="shared" si="110"/>
        <v>150020</v>
      </c>
      <c r="AR18" s="98">
        <f t="shared" si="109"/>
        <v>273950</v>
      </c>
      <c r="AS18" s="116">
        <f>AP18/AG18</f>
        <v>0.68729722984776642</v>
      </c>
      <c r="AT18" s="116">
        <f t="shared" ref="AT18:AU22" si="324">AQ18/AH18</f>
        <v>0.72085145232203351</v>
      </c>
      <c r="AU18" s="116">
        <f t="shared" si="324"/>
        <v>0.70527508173930953</v>
      </c>
      <c r="AV18" s="96">
        <v>26434</v>
      </c>
      <c r="AW18" s="96">
        <v>30184</v>
      </c>
      <c r="AX18" s="96">
        <f>AV18+AW18</f>
        <v>56618</v>
      </c>
      <c r="AY18" s="96">
        <v>16214</v>
      </c>
      <c r="AZ18" s="96">
        <v>19206</v>
      </c>
      <c r="BA18" s="96">
        <f>AY18+AZ18</f>
        <v>35420</v>
      </c>
      <c r="BB18" s="96">
        <v>607</v>
      </c>
      <c r="BC18" s="96">
        <v>815</v>
      </c>
      <c r="BD18" s="96">
        <f>BB18+BC18</f>
        <v>1422</v>
      </c>
      <c r="BE18" s="97">
        <f t="shared" ref="BE18:BE27" si="325">AY18+BB18</f>
        <v>16821</v>
      </c>
      <c r="BF18" s="98">
        <f t="shared" ref="BF18:BF27" si="326">AZ18+BC18</f>
        <v>20021</v>
      </c>
      <c r="BG18" s="98">
        <f t="shared" ref="BG18:BG28" si="327">BA18+BD18</f>
        <v>36842</v>
      </c>
      <c r="BH18" s="116">
        <f>BE18/AV18</f>
        <v>0.6363395626844216</v>
      </c>
      <c r="BI18" s="116">
        <f>BF18/AW18</f>
        <v>0.66329843625761997</v>
      </c>
      <c r="BJ18" s="116">
        <f>BG18/AX18</f>
        <v>0.65071178777067362</v>
      </c>
      <c r="BK18" s="96">
        <v>635</v>
      </c>
      <c r="BL18" s="96">
        <v>490</v>
      </c>
      <c r="BM18" s="96">
        <f>BK18+BL18</f>
        <v>1125</v>
      </c>
      <c r="BN18" s="96">
        <v>134</v>
      </c>
      <c r="BO18" s="96">
        <v>102</v>
      </c>
      <c r="BP18" s="96">
        <f>BN18+BO18</f>
        <v>236</v>
      </c>
      <c r="BQ18" s="96">
        <v>332</v>
      </c>
      <c r="BR18" s="96">
        <v>318</v>
      </c>
      <c r="BS18" s="96">
        <f>BQ18+BR18</f>
        <v>650</v>
      </c>
      <c r="BT18" s="97">
        <f t="shared" ref="BT18:BT27" si="328">BN18+BQ18</f>
        <v>466</v>
      </c>
      <c r="BU18" s="98">
        <f t="shared" ref="BU18:BU27" si="329">BO18+BR18</f>
        <v>420</v>
      </c>
      <c r="BV18" s="98">
        <f t="shared" ref="BV18:BV27" si="330">BP18+BS18</f>
        <v>886</v>
      </c>
      <c r="BW18" s="116">
        <f>BT18/BK18</f>
        <v>0.7338582677165354</v>
      </c>
      <c r="BX18" s="116">
        <f>BU18/BL18</f>
        <v>0.8571428571428571</v>
      </c>
      <c r="BY18" s="116">
        <f>BV18/BM18</f>
        <v>0.78755555555555556</v>
      </c>
      <c r="BZ18" s="98">
        <f t="shared" ref="BZ18:CK33" si="331">AV18+BK18</f>
        <v>27069</v>
      </c>
      <c r="CA18" s="98">
        <f t="shared" si="331"/>
        <v>30674</v>
      </c>
      <c r="CB18" s="98">
        <f t="shared" si="331"/>
        <v>57743</v>
      </c>
      <c r="CC18" s="98">
        <f t="shared" si="331"/>
        <v>16348</v>
      </c>
      <c r="CD18" s="98">
        <f t="shared" si="331"/>
        <v>19308</v>
      </c>
      <c r="CE18" s="98">
        <f t="shared" si="331"/>
        <v>35656</v>
      </c>
      <c r="CF18" s="98">
        <f t="shared" si="331"/>
        <v>939</v>
      </c>
      <c r="CG18" s="98">
        <f t="shared" si="331"/>
        <v>1133</v>
      </c>
      <c r="CH18" s="98">
        <f t="shared" si="331"/>
        <v>2072</v>
      </c>
      <c r="CI18" s="98">
        <f t="shared" si="331"/>
        <v>17287</v>
      </c>
      <c r="CJ18" s="98">
        <f t="shared" si="331"/>
        <v>20441</v>
      </c>
      <c r="CK18" s="98">
        <f t="shared" si="331"/>
        <v>37728</v>
      </c>
      <c r="CL18" s="116">
        <f>CI18/BZ18</f>
        <v>0.63862721193985739</v>
      </c>
      <c r="CM18" s="116">
        <f>CJ18/CA18</f>
        <v>0.66639499250179302</v>
      </c>
      <c r="CN18" s="116">
        <f>CK18/CB18</f>
        <v>0.65337789861974616</v>
      </c>
      <c r="CO18" s="393">
        <v>47678</v>
      </c>
      <c r="CP18" s="96">
        <v>58122</v>
      </c>
      <c r="CQ18" s="96">
        <f>CO18+CP18</f>
        <v>105800</v>
      </c>
      <c r="CR18" s="96">
        <v>32465</v>
      </c>
      <c r="CS18" s="96">
        <v>39906</v>
      </c>
      <c r="CT18" s="96">
        <f>CR18+CS18</f>
        <v>72371</v>
      </c>
      <c r="CU18" s="96">
        <v>967</v>
      </c>
      <c r="CV18" s="96">
        <v>1341</v>
      </c>
      <c r="CW18" s="96">
        <f>CU18+CV18</f>
        <v>2308</v>
      </c>
      <c r="CX18" s="97">
        <f t="shared" ref="CX18:CX27" si="332">CR18+CU18</f>
        <v>33432</v>
      </c>
      <c r="CY18" s="98">
        <f t="shared" ref="CY18:CY27" si="333">CS18+CV18</f>
        <v>41247</v>
      </c>
      <c r="CZ18" s="98">
        <f t="shared" ref="CZ18:CZ28" si="334">CT18+CW18</f>
        <v>74679</v>
      </c>
      <c r="DA18" s="116">
        <f>CX18/CO18</f>
        <v>0.70120390955996481</v>
      </c>
      <c r="DB18" s="116">
        <f>CY18/CP18</f>
        <v>0.70966243419015174</v>
      </c>
      <c r="DC18" s="116">
        <f>CZ18/CQ18</f>
        <v>0.70585066162570886</v>
      </c>
      <c r="DD18" s="96">
        <v>971</v>
      </c>
      <c r="DE18" s="96">
        <v>951</v>
      </c>
      <c r="DF18" s="96">
        <f>DD18+DE18</f>
        <v>1922</v>
      </c>
      <c r="DG18" s="96">
        <v>257</v>
      </c>
      <c r="DH18" s="96">
        <v>236</v>
      </c>
      <c r="DI18" s="96">
        <f>DG18+DH18</f>
        <v>493</v>
      </c>
      <c r="DJ18" s="96">
        <v>360</v>
      </c>
      <c r="DK18" s="96">
        <v>410</v>
      </c>
      <c r="DL18" s="96">
        <f>DJ18+DK18</f>
        <v>770</v>
      </c>
      <c r="DM18" s="97">
        <f t="shared" ref="DM18:DM27" si="335">DG18+DJ18</f>
        <v>617</v>
      </c>
      <c r="DN18" s="98">
        <f t="shared" ref="DN18:DN27" si="336">DH18+DK18</f>
        <v>646</v>
      </c>
      <c r="DO18" s="98">
        <f t="shared" ref="DO18:DO27" si="337">DI18+DL18</f>
        <v>1263</v>
      </c>
      <c r="DP18" s="116">
        <f>DM18/DD18</f>
        <v>0.63542739443872298</v>
      </c>
      <c r="DQ18" s="116">
        <f>DN18/DE18</f>
        <v>0.67928496319663512</v>
      </c>
      <c r="DR18" s="116">
        <f>DO18/DF18</f>
        <v>0.6571279916753382</v>
      </c>
      <c r="DS18" s="98">
        <f t="shared" ref="DS18:ED18" si="338">CO18+DD18</f>
        <v>48649</v>
      </c>
      <c r="DT18" s="98">
        <f t="shared" si="338"/>
        <v>59073</v>
      </c>
      <c r="DU18" s="98">
        <f t="shared" si="338"/>
        <v>107722</v>
      </c>
      <c r="DV18" s="98">
        <f t="shared" si="338"/>
        <v>32722</v>
      </c>
      <c r="DW18" s="98">
        <f t="shared" si="338"/>
        <v>40142</v>
      </c>
      <c r="DX18" s="98">
        <f t="shared" si="338"/>
        <v>72864</v>
      </c>
      <c r="DY18" s="98">
        <f t="shared" si="338"/>
        <v>1327</v>
      </c>
      <c r="DZ18" s="98">
        <f t="shared" si="338"/>
        <v>1751</v>
      </c>
      <c r="EA18" s="98">
        <f t="shared" si="338"/>
        <v>3078</v>
      </c>
      <c r="EB18" s="98">
        <f t="shared" si="338"/>
        <v>34049</v>
      </c>
      <c r="EC18" s="98">
        <f t="shared" si="338"/>
        <v>41893</v>
      </c>
      <c r="ED18" s="98">
        <f t="shared" si="338"/>
        <v>75942</v>
      </c>
      <c r="EE18" s="116">
        <f>EB18/DS18</f>
        <v>0.69989105634237081</v>
      </c>
      <c r="EF18" s="116">
        <f>EC18/DT18</f>
        <v>0.70917339562913684</v>
      </c>
      <c r="EG18" s="116">
        <f>ED18/DU18</f>
        <v>0.70498134085887743</v>
      </c>
      <c r="EH18" s="96">
        <v>89866</v>
      </c>
      <c r="EI18" s="96">
        <v>104030</v>
      </c>
      <c r="EJ18" s="96">
        <f>EH18+EI18</f>
        <v>193896</v>
      </c>
      <c r="EK18" s="96">
        <v>60333</v>
      </c>
      <c r="EL18" s="96">
        <v>74038</v>
      </c>
      <c r="EM18" s="96">
        <f>EK18+EL18</f>
        <v>134371</v>
      </c>
      <c r="EN18" s="96">
        <v>1994</v>
      </c>
      <c r="EO18" s="96">
        <v>2548</v>
      </c>
      <c r="EP18" s="96">
        <f>EN18+EO18</f>
        <v>4542</v>
      </c>
      <c r="EQ18" s="97">
        <f t="shared" ref="EQ18:EQ27" si="339">EK18+EN18</f>
        <v>62327</v>
      </c>
      <c r="ER18" s="98">
        <f t="shared" ref="ER18:ER27" si="340">EL18+EO18</f>
        <v>76586</v>
      </c>
      <c r="ES18" s="98">
        <f t="shared" ref="ES18:ES28" si="341">EM18+EP18</f>
        <v>138913</v>
      </c>
      <c r="ET18" s="116">
        <f>EQ18/EH18</f>
        <v>0.69355484832973535</v>
      </c>
      <c r="EU18" s="116">
        <f>ER18/EI18</f>
        <v>0.73619148322599248</v>
      </c>
      <c r="EV18" s="116">
        <f>ES18/EJ18</f>
        <v>0.71643045756488011</v>
      </c>
      <c r="EW18" s="96">
        <v>1614</v>
      </c>
      <c r="EX18" s="96">
        <v>1365</v>
      </c>
      <c r="EY18" s="96">
        <f>EW18+EX18</f>
        <v>2979</v>
      </c>
      <c r="EZ18" s="96">
        <v>364</v>
      </c>
      <c r="FA18" s="96">
        <v>343</v>
      </c>
      <c r="FB18" s="96">
        <f>EZ18+FA18</f>
        <v>707</v>
      </c>
      <c r="FC18" s="96">
        <v>934</v>
      </c>
      <c r="FD18" s="96">
        <v>860</v>
      </c>
      <c r="FE18" s="96">
        <f>FC18+FD18</f>
        <v>1794</v>
      </c>
      <c r="FF18" s="97">
        <f t="shared" ref="FF18:FF27" si="342">EZ18+FC18</f>
        <v>1298</v>
      </c>
      <c r="FG18" s="98">
        <f t="shared" ref="FG18:FG27" si="343">FA18+FD18</f>
        <v>1203</v>
      </c>
      <c r="FH18" s="98">
        <f t="shared" ref="FH18:FH27" si="344">FB18+FE18</f>
        <v>2501</v>
      </c>
      <c r="FI18" s="116">
        <f>FF18/EW18</f>
        <v>0.80421313506815362</v>
      </c>
      <c r="FJ18" s="116">
        <f>FG18/EX18</f>
        <v>0.8813186813186813</v>
      </c>
      <c r="FK18" s="116">
        <f>FH18/EY18</f>
        <v>0.83954347096341053</v>
      </c>
      <c r="FL18" s="98">
        <f t="shared" ref="FL18" si="345">EH18+EW18</f>
        <v>91480</v>
      </c>
      <c r="FM18" s="98">
        <f t="shared" ref="FM18" si="346">EI18+EX18</f>
        <v>105395</v>
      </c>
      <c r="FN18" s="98">
        <f t="shared" ref="FN18" si="347">EJ18+EY18</f>
        <v>196875</v>
      </c>
      <c r="FO18" s="98">
        <f t="shared" ref="FO18" si="348">EK18+EZ18</f>
        <v>60697</v>
      </c>
      <c r="FP18" s="98">
        <f t="shared" ref="FP18" si="349">EL18+FA18</f>
        <v>74381</v>
      </c>
      <c r="FQ18" s="98">
        <f t="shared" ref="FQ18" si="350">EM18+FB18</f>
        <v>135078</v>
      </c>
      <c r="FR18" s="98">
        <f t="shared" ref="FR18" si="351">EN18+FC18</f>
        <v>2928</v>
      </c>
      <c r="FS18" s="98">
        <f t="shared" ref="FS18" si="352">EO18+FD18</f>
        <v>3408</v>
      </c>
      <c r="FT18" s="98">
        <f t="shared" ref="FT18" si="353">EP18+FE18</f>
        <v>6336</v>
      </c>
      <c r="FU18" s="98">
        <f t="shared" ref="FU18" si="354">EQ18+FF18</f>
        <v>63625</v>
      </c>
      <c r="FV18" s="98">
        <f t="shared" ref="FV18" si="355">ER18+FG18</f>
        <v>77789</v>
      </c>
      <c r="FW18" s="98">
        <f t="shared" ref="FW18" si="356">ES18+FH18</f>
        <v>141414</v>
      </c>
      <c r="FX18" s="116">
        <f>FU18/FL18</f>
        <v>0.69550721469173593</v>
      </c>
      <c r="FY18" s="116">
        <f>FV18/FM18</f>
        <v>0.73807106598984773</v>
      </c>
      <c r="FZ18" s="116">
        <f>FW18/FN18</f>
        <v>0.71829333333333334</v>
      </c>
      <c r="GA18" s="98">
        <f t="shared" si="207"/>
        <v>123930</v>
      </c>
      <c r="GB18" s="98">
        <f t="shared" si="207"/>
        <v>150020</v>
      </c>
      <c r="GC18" s="98">
        <f t="shared" si="207"/>
        <v>273950</v>
      </c>
      <c r="GD18" s="101">
        <v>42439</v>
      </c>
      <c r="GE18" s="101">
        <v>54514</v>
      </c>
      <c r="GF18" s="98">
        <f>GD18+GE18</f>
        <v>96953</v>
      </c>
      <c r="GG18" s="100">
        <f>+GD18*100/GA18</f>
        <v>34.244331477446948</v>
      </c>
      <c r="GH18" s="100">
        <f>+GE18*100/GB18</f>
        <v>36.337821623783498</v>
      </c>
      <c r="GI18" s="100">
        <f>+GF18*100/GC18</f>
        <v>35.390764738090894</v>
      </c>
      <c r="GJ18" s="98">
        <f>+CI18</f>
        <v>17287</v>
      </c>
      <c r="GK18" s="98">
        <f>+CJ18</f>
        <v>20441</v>
      </c>
      <c r="GL18" s="98">
        <f>+CK18</f>
        <v>37728</v>
      </c>
      <c r="GM18" s="101">
        <v>5728</v>
      </c>
      <c r="GN18" s="101">
        <v>6881</v>
      </c>
      <c r="GO18" s="98">
        <f>GM18+GN18</f>
        <v>12609</v>
      </c>
      <c r="GP18" s="100">
        <f>+GM18*100/GJ18</f>
        <v>33.134725516283915</v>
      </c>
      <c r="GQ18" s="100">
        <f>+GN18*100/GK18</f>
        <v>33.662736656719339</v>
      </c>
      <c r="GR18" s="100">
        <f>+GO18*100/GL18</f>
        <v>33.420801526717554</v>
      </c>
      <c r="GS18" s="98">
        <f>+EB18</f>
        <v>34049</v>
      </c>
      <c r="GT18" s="98">
        <f>+EC18</f>
        <v>41893</v>
      </c>
      <c r="GU18" s="98">
        <f>+ED18</f>
        <v>75942</v>
      </c>
      <c r="GV18" s="101">
        <v>9639</v>
      </c>
      <c r="GW18" s="101">
        <v>12104</v>
      </c>
      <c r="GX18" s="98">
        <f>GV18+GW18</f>
        <v>21743</v>
      </c>
      <c r="GY18" s="100">
        <f>+GV18*100/GS18</f>
        <v>28.309201444976356</v>
      </c>
      <c r="GZ18" s="100">
        <f>+GW18*100/GT18</f>
        <v>28.892655097510325</v>
      </c>
      <c r="HA18" s="100">
        <f>+GX18*100/GU18</f>
        <v>28.631060546206314</v>
      </c>
      <c r="HB18" s="98">
        <f t="shared" si="167"/>
        <v>63625</v>
      </c>
      <c r="HC18" s="98">
        <f t="shared" si="168"/>
        <v>77789</v>
      </c>
      <c r="HD18" s="98">
        <f t="shared" si="169"/>
        <v>141414</v>
      </c>
      <c r="HE18" s="101">
        <v>23529</v>
      </c>
      <c r="HF18" s="101">
        <v>30852</v>
      </c>
      <c r="HG18" s="98">
        <f>HE18+HF18</f>
        <v>54381</v>
      </c>
      <c r="HH18" s="100">
        <f>+HE18*100/HB18</f>
        <v>36.98074656188605</v>
      </c>
      <c r="HI18" s="100">
        <f>+HF18*100/HC18</f>
        <v>39.661134607720889</v>
      </c>
      <c r="HJ18" s="100">
        <f>+HG18*100/HD18</f>
        <v>38.45517416945988</v>
      </c>
      <c r="HK18" t="s">
        <v>367</v>
      </c>
    </row>
    <row r="19" spans="1:219" s="397" customFormat="1" ht="28.5">
      <c r="A19" s="420">
        <v>11</v>
      </c>
      <c r="B19" s="396" t="s">
        <v>377</v>
      </c>
      <c r="C19" s="606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8"/>
      <c r="R19" s="99">
        <v>114</v>
      </c>
      <c r="S19" s="99">
        <v>65</v>
      </c>
      <c r="T19" s="99">
        <f>R19+S19</f>
        <v>179</v>
      </c>
      <c r="U19" s="99">
        <v>37</v>
      </c>
      <c r="V19" s="99">
        <v>39</v>
      </c>
      <c r="W19" s="99">
        <f>U19+V19</f>
        <v>76</v>
      </c>
      <c r="X19" s="403"/>
      <c r="Y19" s="403"/>
      <c r="Z19" s="403"/>
      <c r="AA19" s="98">
        <f t="shared" si="320"/>
        <v>37</v>
      </c>
      <c r="AB19" s="98">
        <f t="shared" si="321"/>
        <v>39</v>
      </c>
      <c r="AC19" s="98">
        <f t="shared" si="322"/>
        <v>76</v>
      </c>
      <c r="AD19" s="116">
        <f t="shared" si="323"/>
        <v>0.32456140350877194</v>
      </c>
      <c r="AE19" s="116">
        <f t="shared" si="323"/>
        <v>0.6</v>
      </c>
      <c r="AF19" s="116">
        <f t="shared" si="323"/>
        <v>0.42458100558659218</v>
      </c>
      <c r="AG19" s="98">
        <f t="shared" si="179"/>
        <v>114</v>
      </c>
      <c r="AH19" s="98">
        <f t="shared" si="179"/>
        <v>65</v>
      </c>
      <c r="AI19" s="98">
        <f t="shared" si="179"/>
        <v>179</v>
      </c>
      <c r="AJ19" s="98">
        <f t="shared" si="179"/>
        <v>37</v>
      </c>
      <c r="AK19" s="98">
        <f t="shared" si="179"/>
        <v>39</v>
      </c>
      <c r="AL19" s="98">
        <f t="shared" si="179"/>
        <v>76</v>
      </c>
      <c r="AM19" s="404"/>
      <c r="AN19" s="404"/>
      <c r="AO19" s="404"/>
      <c r="AP19" s="98">
        <f t="shared" si="110"/>
        <v>37</v>
      </c>
      <c r="AQ19" s="98">
        <f t="shared" si="110"/>
        <v>39</v>
      </c>
      <c r="AR19" s="98">
        <f t="shared" si="110"/>
        <v>76</v>
      </c>
      <c r="AS19" s="116">
        <f>AP19/AG19</f>
        <v>0.32456140350877194</v>
      </c>
      <c r="AT19" s="116">
        <f t="shared" si="324"/>
        <v>0.6</v>
      </c>
      <c r="AU19" s="116">
        <f t="shared" si="324"/>
        <v>0.42458100558659218</v>
      </c>
      <c r="AV19" s="403"/>
      <c r="AW19" s="403"/>
      <c r="AX19" s="403"/>
      <c r="AY19" s="403"/>
      <c r="AZ19" s="403"/>
      <c r="BA19" s="403"/>
      <c r="BB19" s="403"/>
      <c r="BC19" s="403"/>
      <c r="BD19" s="403"/>
      <c r="BE19" s="404"/>
      <c r="BF19" s="404"/>
      <c r="BG19" s="404"/>
      <c r="BH19" s="405"/>
      <c r="BI19" s="405"/>
      <c r="BJ19" s="405"/>
      <c r="BK19" s="403"/>
      <c r="BL19" s="403"/>
      <c r="BM19" s="403"/>
      <c r="BN19" s="403"/>
      <c r="BO19" s="403"/>
      <c r="BP19" s="403"/>
      <c r="BQ19" s="403"/>
      <c r="BR19" s="403"/>
      <c r="BS19" s="403"/>
      <c r="BT19" s="404"/>
      <c r="BU19" s="404"/>
      <c r="BV19" s="404"/>
      <c r="BW19" s="405"/>
      <c r="BX19" s="405"/>
      <c r="BY19" s="405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5"/>
      <c r="CM19" s="405"/>
      <c r="CN19" s="405"/>
      <c r="CO19" s="403"/>
      <c r="CP19" s="403"/>
      <c r="CQ19" s="403"/>
      <c r="CR19" s="403"/>
      <c r="CS19" s="403"/>
      <c r="CT19" s="403"/>
      <c r="CU19" s="403"/>
      <c r="CV19" s="403"/>
      <c r="CW19" s="403"/>
      <c r="CX19" s="404"/>
      <c r="CY19" s="404"/>
      <c r="CZ19" s="404"/>
      <c r="DA19" s="405"/>
      <c r="DB19" s="405"/>
      <c r="DC19" s="405"/>
      <c r="DD19" s="403"/>
      <c r="DE19" s="403"/>
      <c r="DF19" s="403"/>
      <c r="DG19" s="403"/>
      <c r="DH19" s="403"/>
      <c r="DI19" s="403"/>
      <c r="DJ19" s="403"/>
      <c r="DK19" s="403"/>
      <c r="DL19" s="403"/>
      <c r="DM19" s="404"/>
      <c r="DN19" s="404"/>
      <c r="DO19" s="404"/>
      <c r="DP19" s="405"/>
      <c r="DQ19" s="405"/>
      <c r="DR19" s="405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5"/>
      <c r="EF19" s="405"/>
      <c r="EG19" s="405"/>
      <c r="EH19" s="403"/>
      <c r="EI19" s="403"/>
      <c r="EJ19" s="403"/>
      <c r="EK19" s="403"/>
      <c r="EL19" s="403"/>
      <c r="EM19" s="403"/>
      <c r="EN19" s="403"/>
      <c r="EO19" s="403"/>
      <c r="EP19" s="403"/>
      <c r="EQ19" s="404"/>
      <c r="ER19" s="404"/>
      <c r="ES19" s="404"/>
      <c r="ET19" s="405"/>
      <c r="EU19" s="405"/>
      <c r="EV19" s="405"/>
      <c r="EW19" s="403"/>
      <c r="EX19" s="403"/>
      <c r="EY19" s="403"/>
      <c r="EZ19" s="403"/>
      <c r="FA19" s="403"/>
      <c r="FB19" s="403"/>
      <c r="FC19" s="403"/>
      <c r="FD19" s="403"/>
      <c r="FE19" s="403"/>
      <c r="FF19" s="404"/>
      <c r="FG19" s="404"/>
      <c r="FH19" s="404"/>
      <c r="FI19" s="405"/>
      <c r="FJ19" s="405"/>
      <c r="FK19" s="405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5"/>
      <c r="FY19" s="405"/>
      <c r="FZ19" s="405"/>
      <c r="GA19" s="98">
        <f t="shared" si="207"/>
        <v>37</v>
      </c>
      <c r="GB19" s="98">
        <f t="shared" si="207"/>
        <v>39</v>
      </c>
      <c r="GC19" s="98">
        <f t="shared" si="207"/>
        <v>76</v>
      </c>
      <c r="GD19" s="404"/>
      <c r="GE19" s="404"/>
      <c r="GF19" s="404"/>
      <c r="GG19" s="404"/>
      <c r="GH19" s="407"/>
      <c r="GI19" s="407"/>
      <c r="GJ19" s="404"/>
      <c r="GK19" s="404"/>
      <c r="GL19" s="404"/>
      <c r="GM19" s="404"/>
      <c r="GN19" s="404"/>
      <c r="GO19" s="404"/>
      <c r="GP19" s="407"/>
      <c r="GQ19" s="407"/>
      <c r="GR19" s="407"/>
      <c r="GS19" s="404"/>
      <c r="GT19" s="404"/>
      <c r="GU19" s="404"/>
      <c r="GV19" s="404"/>
      <c r="GW19" s="404"/>
      <c r="GX19" s="404"/>
      <c r="GY19" s="407"/>
      <c r="GZ19" s="407"/>
      <c r="HA19" s="407"/>
      <c r="HB19" s="404"/>
      <c r="HC19" s="404"/>
      <c r="HD19" s="404"/>
      <c r="HE19" s="404"/>
      <c r="HF19" s="404"/>
      <c r="HG19" s="404"/>
      <c r="HH19" s="407"/>
      <c r="HI19" s="407"/>
      <c r="HJ19" s="407"/>
    </row>
    <row r="20" spans="1:219" ht="28.5">
      <c r="A20" s="420">
        <v>12</v>
      </c>
      <c r="B20" s="118" t="s">
        <v>378</v>
      </c>
      <c r="C20" s="96">
        <v>448</v>
      </c>
      <c r="D20" s="96">
        <v>255</v>
      </c>
      <c r="E20" s="96">
        <f>C20+D20</f>
        <v>703</v>
      </c>
      <c r="F20" s="96">
        <v>421</v>
      </c>
      <c r="G20" s="96">
        <v>231</v>
      </c>
      <c r="H20" s="96">
        <f>F20+G20</f>
        <v>652</v>
      </c>
      <c r="I20" s="96">
        <v>9</v>
      </c>
      <c r="J20" s="96">
        <v>7</v>
      </c>
      <c r="K20" s="96">
        <f>I20+J20</f>
        <v>16</v>
      </c>
      <c r="L20" s="97">
        <f t="shared" si="319"/>
        <v>430</v>
      </c>
      <c r="M20" s="98">
        <f t="shared" si="319"/>
        <v>238</v>
      </c>
      <c r="N20" s="98">
        <f t="shared" si="319"/>
        <v>668</v>
      </c>
      <c r="O20" s="116">
        <f>L20/C20</f>
        <v>0.9598214285714286</v>
      </c>
      <c r="P20" s="116">
        <f>M20/D20</f>
        <v>0.93333333333333335</v>
      </c>
      <c r="Q20" s="116">
        <f t="shared" ref="Q20:Q22" si="357">N20/E20</f>
        <v>0.9502133712660028</v>
      </c>
      <c r="R20" s="96">
        <v>67</v>
      </c>
      <c r="S20" s="96">
        <v>48</v>
      </c>
      <c r="T20" s="96">
        <f>R20+S20</f>
        <v>115</v>
      </c>
      <c r="U20" s="96">
        <v>67</v>
      </c>
      <c r="V20" s="96">
        <v>48</v>
      </c>
      <c r="W20" s="96">
        <f>U20+V20</f>
        <v>115</v>
      </c>
      <c r="X20" s="403"/>
      <c r="Y20" s="403"/>
      <c r="Z20" s="403"/>
      <c r="AA20" s="97">
        <f t="shared" si="320"/>
        <v>67</v>
      </c>
      <c r="AB20" s="98">
        <f t="shared" si="321"/>
        <v>48</v>
      </c>
      <c r="AC20" s="98">
        <f t="shared" si="322"/>
        <v>115</v>
      </c>
      <c r="AD20" s="116">
        <f t="shared" ref="AD20" si="358">AA20/R20</f>
        <v>1</v>
      </c>
      <c r="AE20" s="116">
        <f t="shared" ref="AE20" si="359">AB20/S20</f>
        <v>1</v>
      </c>
      <c r="AF20" s="116">
        <f t="shared" ref="AF20" si="360">AC20/T20</f>
        <v>1</v>
      </c>
      <c r="AG20" s="98">
        <f t="shared" si="179"/>
        <v>515</v>
      </c>
      <c r="AH20" s="98">
        <f t="shared" si="179"/>
        <v>303</v>
      </c>
      <c r="AI20" s="98">
        <f t="shared" si="179"/>
        <v>818</v>
      </c>
      <c r="AJ20" s="98">
        <f t="shared" si="179"/>
        <v>488</v>
      </c>
      <c r="AK20" s="98">
        <f t="shared" si="179"/>
        <v>279</v>
      </c>
      <c r="AL20" s="98">
        <f t="shared" si="179"/>
        <v>767</v>
      </c>
      <c r="AM20" s="98">
        <f>I20+X20</f>
        <v>9</v>
      </c>
      <c r="AN20" s="98">
        <f>J20+Y20</f>
        <v>7</v>
      </c>
      <c r="AO20" s="98">
        <f>K20+Z20</f>
        <v>16</v>
      </c>
      <c r="AP20" s="98">
        <f t="shared" si="110"/>
        <v>497</v>
      </c>
      <c r="AQ20" s="98">
        <f t="shared" si="110"/>
        <v>286</v>
      </c>
      <c r="AR20" s="98">
        <f t="shared" si="110"/>
        <v>783</v>
      </c>
      <c r="AS20" s="116">
        <f>AP20/AG20</f>
        <v>0.96504854368932036</v>
      </c>
      <c r="AT20" s="116">
        <f t="shared" si="324"/>
        <v>0.94389438943894388</v>
      </c>
      <c r="AU20" s="116">
        <f t="shared" si="324"/>
        <v>0.95721271393643037</v>
      </c>
      <c r="AV20" s="96">
        <v>126</v>
      </c>
      <c r="AW20" s="96">
        <v>85</v>
      </c>
      <c r="AX20" s="96">
        <f>AV20+AW20</f>
        <v>211</v>
      </c>
      <c r="AY20" s="96">
        <v>121</v>
      </c>
      <c r="AZ20" s="96">
        <v>80</v>
      </c>
      <c r="BA20" s="96">
        <f>AY20+AZ20</f>
        <v>201</v>
      </c>
      <c r="BB20" s="96">
        <v>1</v>
      </c>
      <c r="BC20" s="96">
        <v>2</v>
      </c>
      <c r="BD20" s="96">
        <f>BB20+BC20</f>
        <v>3</v>
      </c>
      <c r="BE20" s="97">
        <f t="shared" si="325"/>
        <v>122</v>
      </c>
      <c r="BF20" s="98">
        <f t="shared" si="326"/>
        <v>82</v>
      </c>
      <c r="BG20" s="98">
        <f t="shared" si="327"/>
        <v>204</v>
      </c>
      <c r="BH20" s="116">
        <f>BE20/AV20</f>
        <v>0.96825396825396826</v>
      </c>
      <c r="BI20" s="116">
        <f>BF20/AW20</f>
        <v>0.96470588235294119</v>
      </c>
      <c r="BJ20" s="116">
        <f t="shared" ref="BJ20:BJ28" si="361">BG20/AX20</f>
        <v>0.96682464454976302</v>
      </c>
      <c r="BK20" s="403"/>
      <c r="BL20" s="403"/>
      <c r="BM20" s="403"/>
      <c r="BN20" s="403"/>
      <c r="BO20" s="403"/>
      <c r="BP20" s="403"/>
      <c r="BQ20" s="403"/>
      <c r="BR20" s="403"/>
      <c r="BS20" s="403"/>
      <c r="BT20" s="404"/>
      <c r="BU20" s="404"/>
      <c r="BV20" s="404"/>
      <c r="BW20" s="405"/>
      <c r="BX20" s="405"/>
      <c r="BY20" s="405"/>
      <c r="BZ20" s="98">
        <f t="shared" si="331"/>
        <v>126</v>
      </c>
      <c r="CA20" s="98">
        <f t="shared" si="331"/>
        <v>85</v>
      </c>
      <c r="CB20" s="98">
        <f t="shared" si="331"/>
        <v>211</v>
      </c>
      <c r="CC20" s="98">
        <f t="shared" si="331"/>
        <v>121</v>
      </c>
      <c r="CD20" s="98">
        <f t="shared" si="331"/>
        <v>80</v>
      </c>
      <c r="CE20" s="98">
        <f t="shared" si="331"/>
        <v>201</v>
      </c>
      <c r="CF20" s="98">
        <f t="shared" si="331"/>
        <v>1</v>
      </c>
      <c r="CG20" s="98">
        <f t="shared" si="331"/>
        <v>2</v>
      </c>
      <c r="CH20" s="98">
        <f t="shared" si="331"/>
        <v>3</v>
      </c>
      <c r="CI20" s="98">
        <f t="shared" si="331"/>
        <v>122</v>
      </c>
      <c r="CJ20" s="98">
        <f t="shared" si="331"/>
        <v>82</v>
      </c>
      <c r="CK20" s="98">
        <f t="shared" si="331"/>
        <v>204</v>
      </c>
      <c r="CL20" s="116">
        <f>CI20/BZ20</f>
        <v>0.96825396825396826</v>
      </c>
      <c r="CM20" s="116">
        <f>CJ20/CA20</f>
        <v>0.96470588235294119</v>
      </c>
      <c r="CN20" s="116">
        <f>CK20/CB20</f>
        <v>0.96682464454976302</v>
      </c>
      <c r="CO20" s="96">
        <v>184</v>
      </c>
      <c r="CP20" s="96">
        <v>109</v>
      </c>
      <c r="CQ20" s="96">
        <f>CO20+CP20</f>
        <v>293</v>
      </c>
      <c r="CR20" s="96">
        <v>178</v>
      </c>
      <c r="CS20" s="96">
        <v>103</v>
      </c>
      <c r="CT20" s="96">
        <f>CR20+CS20</f>
        <v>281</v>
      </c>
      <c r="CU20" s="96">
        <v>1</v>
      </c>
      <c r="CV20" s="96">
        <v>1</v>
      </c>
      <c r="CW20" s="96">
        <f>CU20+CV20</f>
        <v>2</v>
      </c>
      <c r="CX20" s="97">
        <f t="shared" si="332"/>
        <v>179</v>
      </c>
      <c r="CY20" s="98">
        <f t="shared" si="333"/>
        <v>104</v>
      </c>
      <c r="CZ20" s="98">
        <f t="shared" si="334"/>
        <v>283</v>
      </c>
      <c r="DA20" s="116">
        <f>CX20/CO20</f>
        <v>0.97282608695652173</v>
      </c>
      <c r="DB20" s="116">
        <f>CY20/CP20</f>
        <v>0.95412844036697253</v>
      </c>
      <c r="DC20" s="116">
        <f t="shared" ref="DC20:DC28" si="362">CZ20/CQ20</f>
        <v>0.96587030716723554</v>
      </c>
      <c r="DD20" s="96">
        <v>23</v>
      </c>
      <c r="DE20" s="96">
        <v>20</v>
      </c>
      <c r="DF20" s="96">
        <f>DD20+DE20</f>
        <v>43</v>
      </c>
      <c r="DG20" s="96">
        <v>23</v>
      </c>
      <c r="DH20" s="96">
        <v>20</v>
      </c>
      <c r="DI20" s="96">
        <f>DG20+DH20</f>
        <v>43</v>
      </c>
      <c r="DJ20" s="403"/>
      <c r="DK20" s="403"/>
      <c r="DL20" s="403"/>
      <c r="DM20" s="97">
        <f t="shared" si="335"/>
        <v>23</v>
      </c>
      <c r="DN20" s="98">
        <f t="shared" si="336"/>
        <v>20</v>
      </c>
      <c r="DO20" s="98">
        <f t="shared" si="337"/>
        <v>43</v>
      </c>
      <c r="DP20" s="116">
        <f>DM20/DD20</f>
        <v>1</v>
      </c>
      <c r="DQ20" s="116">
        <f>DN20/DE20</f>
        <v>1</v>
      </c>
      <c r="DR20" s="116">
        <f t="shared" ref="DR20:DR27" si="363">DO20/DF20</f>
        <v>1</v>
      </c>
      <c r="DS20" s="98">
        <f t="shared" ref="DS20:ED33" si="364">CO20+DD20</f>
        <v>207</v>
      </c>
      <c r="DT20" s="98">
        <f t="shared" si="364"/>
        <v>129</v>
      </c>
      <c r="DU20" s="98">
        <f t="shared" si="364"/>
        <v>336</v>
      </c>
      <c r="DV20" s="98">
        <f t="shared" si="364"/>
        <v>201</v>
      </c>
      <c r="DW20" s="98">
        <f t="shared" si="364"/>
        <v>123</v>
      </c>
      <c r="DX20" s="98">
        <f t="shared" si="364"/>
        <v>324</v>
      </c>
      <c r="DY20" s="98">
        <f t="shared" si="364"/>
        <v>1</v>
      </c>
      <c r="DZ20" s="98">
        <f t="shared" si="364"/>
        <v>1</v>
      </c>
      <c r="EA20" s="98">
        <f t="shared" si="364"/>
        <v>2</v>
      </c>
      <c r="EB20" s="98">
        <f t="shared" si="364"/>
        <v>202</v>
      </c>
      <c r="EC20" s="98">
        <f t="shared" si="364"/>
        <v>124</v>
      </c>
      <c r="ED20" s="98">
        <f t="shared" si="364"/>
        <v>326</v>
      </c>
      <c r="EE20" s="116">
        <f>EB20/DS20</f>
        <v>0.97584541062801933</v>
      </c>
      <c r="EF20" s="116">
        <f>EC20/DT20</f>
        <v>0.96124031007751942</v>
      </c>
      <c r="EG20" s="116">
        <f>ED20/DU20</f>
        <v>0.97023809523809523</v>
      </c>
      <c r="EH20" s="96">
        <v>113</v>
      </c>
      <c r="EI20" s="96">
        <v>86</v>
      </c>
      <c r="EJ20" s="96">
        <f>EH20+EI20</f>
        <v>199</v>
      </c>
      <c r="EK20" s="96">
        <v>107</v>
      </c>
      <c r="EL20" s="96">
        <v>63</v>
      </c>
      <c r="EM20" s="96">
        <f>EK20+EL20</f>
        <v>170</v>
      </c>
      <c r="EN20" s="96">
        <v>4</v>
      </c>
      <c r="EO20" s="96">
        <v>7</v>
      </c>
      <c r="EP20" s="96">
        <f>EN20+EO20</f>
        <v>11</v>
      </c>
      <c r="EQ20" s="97">
        <f t="shared" si="339"/>
        <v>111</v>
      </c>
      <c r="ER20" s="98">
        <f t="shared" si="340"/>
        <v>70</v>
      </c>
      <c r="ES20" s="98">
        <f t="shared" si="341"/>
        <v>181</v>
      </c>
      <c r="ET20" s="116">
        <f>EQ20/EH20</f>
        <v>0.98230088495575218</v>
      </c>
      <c r="EU20" s="116">
        <f>ER20/EI20</f>
        <v>0.81395348837209303</v>
      </c>
      <c r="EV20" s="116">
        <f t="shared" ref="EV20:EV28" si="365">ES20/EJ20</f>
        <v>0.90954773869346739</v>
      </c>
      <c r="EW20" s="96">
        <v>40</v>
      </c>
      <c r="EX20" s="96">
        <v>23</v>
      </c>
      <c r="EY20" s="96">
        <f>EW20+EX20</f>
        <v>63</v>
      </c>
      <c r="EZ20" s="96">
        <v>40</v>
      </c>
      <c r="FA20" s="96">
        <v>23</v>
      </c>
      <c r="FB20" s="96">
        <f>EZ20+FA20</f>
        <v>63</v>
      </c>
      <c r="FC20" s="403"/>
      <c r="FD20" s="403"/>
      <c r="FE20" s="403"/>
      <c r="FF20" s="97">
        <f t="shared" si="342"/>
        <v>40</v>
      </c>
      <c r="FG20" s="98">
        <f t="shared" si="343"/>
        <v>23</v>
      </c>
      <c r="FH20" s="98">
        <f t="shared" si="344"/>
        <v>63</v>
      </c>
      <c r="FI20" s="116">
        <f>FF20/EW20</f>
        <v>1</v>
      </c>
      <c r="FJ20" s="116">
        <f>FG20/EX20</f>
        <v>1</v>
      </c>
      <c r="FK20" s="116">
        <f t="shared" ref="FK20:FK27" si="366">FH20/EY20</f>
        <v>1</v>
      </c>
      <c r="FL20" s="98">
        <f t="shared" ref="FL20:FL24" si="367">EH20+EW20</f>
        <v>153</v>
      </c>
      <c r="FM20" s="98">
        <f t="shared" ref="FM20:FM24" si="368">EI20+EX20</f>
        <v>109</v>
      </c>
      <c r="FN20" s="98">
        <f t="shared" ref="FN20:FN24" si="369">EJ20+EY20</f>
        <v>262</v>
      </c>
      <c r="FO20" s="98">
        <f t="shared" ref="FO20:FO24" si="370">EK20+EZ20</f>
        <v>147</v>
      </c>
      <c r="FP20" s="98">
        <f t="shared" ref="FP20:FP24" si="371">EL20+FA20</f>
        <v>86</v>
      </c>
      <c r="FQ20" s="98">
        <f t="shared" ref="FQ20:FQ24" si="372">EM20+FB20</f>
        <v>233</v>
      </c>
      <c r="FR20" s="98">
        <f t="shared" ref="FR20:FR24" si="373">EN20+FC20</f>
        <v>4</v>
      </c>
      <c r="FS20" s="98">
        <f t="shared" ref="FS20:FS24" si="374">EO20+FD20</f>
        <v>7</v>
      </c>
      <c r="FT20" s="98">
        <f t="shared" ref="FT20:FT24" si="375">EP20+FE20</f>
        <v>11</v>
      </c>
      <c r="FU20" s="98">
        <f t="shared" ref="FU20:FU24" si="376">EQ20+FF20</f>
        <v>151</v>
      </c>
      <c r="FV20" s="98">
        <f t="shared" ref="FV20:FV24" si="377">ER20+FG20</f>
        <v>93</v>
      </c>
      <c r="FW20" s="98">
        <f t="shared" ref="FW20:FW24" si="378">ES20+FH20</f>
        <v>244</v>
      </c>
      <c r="FX20" s="116">
        <f>FU20/FL20</f>
        <v>0.98692810457516345</v>
      </c>
      <c r="FY20" s="116">
        <f>FV20/FM20</f>
        <v>0.85321100917431192</v>
      </c>
      <c r="FZ20" s="116">
        <f>FW20/FN20</f>
        <v>0.93129770992366412</v>
      </c>
      <c r="GA20" s="98">
        <f t="shared" si="207"/>
        <v>497</v>
      </c>
      <c r="GB20" s="98">
        <f t="shared" si="207"/>
        <v>286</v>
      </c>
      <c r="GC20" s="98">
        <f t="shared" si="207"/>
        <v>783</v>
      </c>
      <c r="GD20" s="98">
        <v>88</v>
      </c>
      <c r="GE20" s="98">
        <v>69</v>
      </c>
      <c r="GF20" s="98">
        <f>GD20+GE20</f>
        <v>157</v>
      </c>
      <c r="GG20" s="100">
        <f>+GD20*100/GA20</f>
        <v>17.706237424547282</v>
      </c>
      <c r="GH20" s="100">
        <f>+GE20*100/GB20</f>
        <v>24.125874125874127</v>
      </c>
      <c r="GI20" s="100">
        <f>+GF20*100/GC20</f>
        <v>20.051085568326947</v>
      </c>
      <c r="GJ20" s="98">
        <f>+CI20</f>
        <v>122</v>
      </c>
      <c r="GK20" s="98">
        <f>+CJ20</f>
        <v>82</v>
      </c>
      <c r="GL20" s="98">
        <f>+CK20</f>
        <v>204</v>
      </c>
      <c r="GM20" s="98">
        <v>12</v>
      </c>
      <c r="GN20" s="98">
        <v>19</v>
      </c>
      <c r="GO20" s="98">
        <f>GM20+GN20</f>
        <v>31</v>
      </c>
      <c r="GP20" s="100">
        <f>+GM20*100/GJ20</f>
        <v>9.8360655737704921</v>
      </c>
      <c r="GQ20" s="100">
        <f>+GN20*100/GK20</f>
        <v>23.170731707317074</v>
      </c>
      <c r="GR20" s="100">
        <f>+GO20*100/GL20</f>
        <v>15.196078431372548</v>
      </c>
      <c r="GS20" s="98">
        <f>+EB20</f>
        <v>202</v>
      </c>
      <c r="GT20" s="98">
        <f>+EC20</f>
        <v>124</v>
      </c>
      <c r="GU20" s="98">
        <f>+ED20</f>
        <v>326</v>
      </c>
      <c r="GV20" s="98">
        <v>24</v>
      </c>
      <c r="GW20" s="98">
        <v>17</v>
      </c>
      <c r="GX20" s="98">
        <f>GV20+GW20</f>
        <v>41</v>
      </c>
      <c r="GY20" s="100">
        <f>+GV20*100/GS20</f>
        <v>11.881188118811881</v>
      </c>
      <c r="GZ20" s="100">
        <f>+GW20*100/GT20</f>
        <v>13.709677419354838</v>
      </c>
      <c r="HA20" s="100">
        <f>+GX20*100/GU20</f>
        <v>12.576687116564417</v>
      </c>
      <c r="HB20" s="98">
        <f t="shared" si="167"/>
        <v>151</v>
      </c>
      <c r="HC20" s="98">
        <f t="shared" si="168"/>
        <v>93</v>
      </c>
      <c r="HD20" s="98">
        <f t="shared" si="169"/>
        <v>244</v>
      </c>
      <c r="HE20" s="98">
        <v>57</v>
      </c>
      <c r="HF20" s="98">
        <v>31</v>
      </c>
      <c r="HG20" s="98">
        <f>HE20+HF20</f>
        <v>88</v>
      </c>
      <c r="HH20" s="100">
        <f>+HE20*100/HB20</f>
        <v>37.748344370860927</v>
      </c>
      <c r="HI20" s="100">
        <f>+HF20*100/HC20</f>
        <v>33.333333333333336</v>
      </c>
      <c r="HJ20" s="100">
        <f>+HG20*100/HD20</f>
        <v>36.065573770491802</v>
      </c>
    </row>
    <row r="21" spans="1:219" ht="28.5">
      <c r="A21" s="420">
        <v>13</v>
      </c>
      <c r="B21" s="372" t="s">
        <v>148</v>
      </c>
      <c r="C21" s="96">
        <v>9766</v>
      </c>
      <c r="D21" s="96">
        <v>9820</v>
      </c>
      <c r="E21" s="96">
        <f>C21+D21</f>
        <v>19586</v>
      </c>
      <c r="F21" s="96">
        <v>8885</v>
      </c>
      <c r="G21" s="96">
        <v>9025</v>
      </c>
      <c r="H21" s="96">
        <f>F21+G21</f>
        <v>17910</v>
      </c>
      <c r="I21" s="96">
        <v>314</v>
      </c>
      <c r="J21" s="96">
        <v>279</v>
      </c>
      <c r="K21" s="96">
        <f>I21+J21</f>
        <v>593</v>
      </c>
      <c r="L21" s="97">
        <f t="shared" si="319"/>
        <v>9199</v>
      </c>
      <c r="M21" s="98">
        <f t="shared" si="319"/>
        <v>9304</v>
      </c>
      <c r="N21" s="98">
        <f t="shared" si="319"/>
        <v>18503</v>
      </c>
      <c r="O21" s="116">
        <f t="shared" ref="O21:P22" si="379">L21/C21</f>
        <v>0.94194142944910919</v>
      </c>
      <c r="P21" s="116">
        <f t="shared" si="379"/>
        <v>0.94745417515274954</v>
      </c>
      <c r="Q21" s="116">
        <f t="shared" si="357"/>
        <v>0.94470540181762486</v>
      </c>
      <c r="R21" s="96">
        <v>374</v>
      </c>
      <c r="S21" s="96">
        <v>273</v>
      </c>
      <c r="T21" s="96">
        <f>R21+S21</f>
        <v>647</v>
      </c>
      <c r="U21" s="96">
        <v>143</v>
      </c>
      <c r="V21" s="96">
        <v>116</v>
      </c>
      <c r="W21" s="96">
        <f>U21+V21</f>
        <v>259</v>
      </c>
      <c r="X21" s="96">
        <v>46</v>
      </c>
      <c r="Y21" s="96">
        <v>33</v>
      </c>
      <c r="Z21" s="96">
        <f>X21+Y21</f>
        <v>79</v>
      </c>
      <c r="AA21" s="97">
        <f t="shared" si="320"/>
        <v>189</v>
      </c>
      <c r="AB21" s="98">
        <f t="shared" si="321"/>
        <v>149</v>
      </c>
      <c r="AC21" s="98">
        <f t="shared" si="322"/>
        <v>338</v>
      </c>
      <c r="AD21" s="116">
        <f t="shared" ref="AD21:AD27" si="380">AA21/R21</f>
        <v>0.50534759358288772</v>
      </c>
      <c r="AE21" s="116">
        <f t="shared" ref="AE21:AE27" si="381">AB21/S21</f>
        <v>0.54578754578754574</v>
      </c>
      <c r="AF21" s="116">
        <f t="shared" ref="AF21:AF28" si="382">AC21/T21</f>
        <v>0.52241112828438951</v>
      </c>
      <c r="AG21" s="98">
        <f t="shared" si="179"/>
        <v>10140</v>
      </c>
      <c r="AH21" s="98">
        <f t="shared" si="179"/>
        <v>10093</v>
      </c>
      <c r="AI21" s="98">
        <f t="shared" si="179"/>
        <v>20233</v>
      </c>
      <c r="AJ21" s="98">
        <f t="shared" si="179"/>
        <v>9028</v>
      </c>
      <c r="AK21" s="98">
        <f t="shared" si="179"/>
        <v>9141</v>
      </c>
      <c r="AL21" s="98">
        <f t="shared" si="179"/>
        <v>18169</v>
      </c>
      <c r="AM21" s="98">
        <f t="shared" si="179"/>
        <v>360</v>
      </c>
      <c r="AN21" s="98">
        <f t="shared" si="179"/>
        <v>312</v>
      </c>
      <c r="AO21" s="98">
        <f t="shared" si="179"/>
        <v>672</v>
      </c>
      <c r="AP21" s="98">
        <f t="shared" si="110"/>
        <v>9388</v>
      </c>
      <c r="AQ21" s="98">
        <f t="shared" si="110"/>
        <v>9453</v>
      </c>
      <c r="AR21" s="98">
        <f t="shared" si="110"/>
        <v>18841</v>
      </c>
      <c r="AS21" s="116">
        <f t="shared" ref="AS21:AS22" si="383">AP21/AG21</f>
        <v>0.92583826429980276</v>
      </c>
      <c r="AT21" s="116">
        <f t="shared" si="324"/>
        <v>0.9365897156445061</v>
      </c>
      <c r="AU21" s="116">
        <f t="shared" si="324"/>
        <v>0.93120150249592248</v>
      </c>
      <c r="AV21" s="96">
        <v>121</v>
      </c>
      <c r="AW21" s="96">
        <v>146</v>
      </c>
      <c r="AX21" s="96">
        <f>AV21+AW21</f>
        <v>267</v>
      </c>
      <c r="AY21" s="96">
        <v>109</v>
      </c>
      <c r="AZ21" s="96">
        <v>135</v>
      </c>
      <c r="BA21" s="96">
        <f>AY21+AZ21</f>
        <v>244</v>
      </c>
      <c r="BB21" s="96">
        <v>3</v>
      </c>
      <c r="BC21" s="403"/>
      <c r="BD21" s="96">
        <f>BB21+BC21</f>
        <v>3</v>
      </c>
      <c r="BE21" s="97">
        <f t="shared" si="325"/>
        <v>112</v>
      </c>
      <c r="BF21" s="98">
        <f t="shared" si="326"/>
        <v>135</v>
      </c>
      <c r="BG21" s="98">
        <f t="shared" si="327"/>
        <v>247</v>
      </c>
      <c r="BH21" s="116">
        <f t="shared" ref="BH21:BH27" si="384">BE21/AV21</f>
        <v>0.92561983471074383</v>
      </c>
      <c r="BI21" s="116">
        <f t="shared" ref="BI21:BI27" si="385">BF21/AW21</f>
        <v>0.92465753424657537</v>
      </c>
      <c r="BJ21" s="116">
        <f t="shared" si="361"/>
        <v>0.92509363295880154</v>
      </c>
      <c r="BK21" s="96">
        <v>4</v>
      </c>
      <c r="BL21" s="96">
        <v>8</v>
      </c>
      <c r="BM21" s="96">
        <f>BK21+BL21</f>
        <v>12</v>
      </c>
      <c r="BN21" s="96">
        <v>1</v>
      </c>
      <c r="BO21" s="96">
        <v>1</v>
      </c>
      <c r="BP21" s="96">
        <f>BN21+BO21</f>
        <v>2</v>
      </c>
      <c r="BQ21" s="403"/>
      <c r="BR21" s="96">
        <v>2</v>
      </c>
      <c r="BS21" s="96">
        <f>BQ21+BR21</f>
        <v>2</v>
      </c>
      <c r="BT21" s="97">
        <f t="shared" si="328"/>
        <v>1</v>
      </c>
      <c r="BU21" s="98">
        <f t="shared" si="329"/>
        <v>3</v>
      </c>
      <c r="BV21" s="98">
        <f t="shared" si="330"/>
        <v>4</v>
      </c>
      <c r="BW21" s="116">
        <f t="shared" ref="BW21:BW27" si="386">BT21/BK21</f>
        <v>0.25</v>
      </c>
      <c r="BX21" s="116">
        <f t="shared" ref="BX21:BX27" si="387">BU21/BL21</f>
        <v>0.375</v>
      </c>
      <c r="BY21" s="116">
        <f t="shared" ref="BY21:BY27" si="388">BV21/BM21</f>
        <v>0.33333333333333331</v>
      </c>
      <c r="BZ21" s="98">
        <f t="shared" si="331"/>
        <v>125</v>
      </c>
      <c r="CA21" s="98">
        <f t="shared" si="331"/>
        <v>154</v>
      </c>
      <c r="CB21" s="98">
        <f t="shared" si="331"/>
        <v>279</v>
      </c>
      <c r="CC21" s="98">
        <f t="shared" si="331"/>
        <v>110</v>
      </c>
      <c r="CD21" s="98">
        <f t="shared" si="331"/>
        <v>136</v>
      </c>
      <c r="CE21" s="98">
        <f t="shared" si="331"/>
        <v>246</v>
      </c>
      <c r="CF21" s="98">
        <f t="shared" si="331"/>
        <v>3</v>
      </c>
      <c r="CG21" s="98">
        <f t="shared" si="331"/>
        <v>2</v>
      </c>
      <c r="CH21" s="98">
        <f t="shared" si="331"/>
        <v>5</v>
      </c>
      <c r="CI21" s="98">
        <f t="shared" si="331"/>
        <v>113</v>
      </c>
      <c r="CJ21" s="98">
        <f t="shared" si="331"/>
        <v>138</v>
      </c>
      <c r="CK21" s="98">
        <f t="shared" si="331"/>
        <v>251</v>
      </c>
      <c r="CL21" s="116">
        <f t="shared" ref="CL21:CN36" si="389">CI21/BZ21</f>
        <v>0.90400000000000003</v>
      </c>
      <c r="CM21" s="116">
        <f t="shared" si="389"/>
        <v>0.89610389610389607</v>
      </c>
      <c r="CN21" s="116">
        <f t="shared" si="389"/>
        <v>0.89964157706093195</v>
      </c>
      <c r="CO21" s="96">
        <v>1109</v>
      </c>
      <c r="CP21" s="96">
        <v>1150</v>
      </c>
      <c r="CQ21" s="96">
        <f>CO21+CP21</f>
        <v>2259</v>
      </c>
      <c r="CR21" s="96">
        <v>1005</v>
      </c>
      <c r="CS21" s="96">
        <v>1054</v>
      </c>
      <c r="CT21" s="96">
        <f>CR21+CS21</f>
        <v>2059</v>
      </c>
      <c r="CU21" s="96">
        <v>42</v>
      </c>
      <c r="CV21" s="96">
        <v>45</v>
      </c>
      <c r="CW21" s="96">
        <f>CU21+CV21</f>
        <v>87</v>
      </c>
      <c r="CX21" s="97">
        <f t="shared" si="332"/>
        <v>1047</v>
      </c>
      <c r="CY21" s="98">
        <f t="shared" si="333"/>
        <v>1099</v>
      </c>
      <c r="CZ21" s="98">
        <f t="shared" si="334"/>
        <v>2146</v>
      </c>
      <c r="DA21" s="116">
        <f t="shared" ref="DA21:DA27" si="390">CX21/CO21</f>
        <v>0.94409377817853923</v>
      </c>
      <c r="DB21" s="116">
        <f t="shared" ref="DB21:DB27" si="391">CY21/CP21</f>
        <v>0.95565217391304347</v>
      </c>
      <c r="DC21" s="116">
        <f t="shared" si="362"/>
        <v>0.94997786631252767</v>
      </c>
      <c r="DD21" s="96">
        <v>47</v>
      </c>
      <c r="DE21" s="96">
        <v>26</v>
      </c>
      <c r="DF21" s="96">
        <f>DD21+DE21</f>
        <v>73</v>
      </c>
      <c r="DG21" s="96">
        <v>20</v>
      </c>
      <c r="DH21" s="96">
        <v>12</v>
      </c>
      <c r="DI21" s="96">
        <f>DG21+DH21</f>
        <v>32</v>
      </c>
      <c r="DJ21" s="96">
        <v>8</v>
      </c>
      <c r="DK21" s="96">
        <v>2</v>
      </c>
      <c r="DL21" s="96">
        <f>DJ21+DK21</f>
        <v>10</v>
      </c>
      <c r="DM21" s="97">
        <f t="shared" si="335"/>
        <v>28</v>
      </c>
      <c r="DN21" s="98">
        <f t="shared" si="336"/>
        <v>14</v>
      </c>
      <c r="DO21" s="98">
        <f t="shared" si="337"/>
        <v>42</v>
      </c>
      <c r="DP21" s="116">
        <f t="shared" ref="DP21:DP27" si="392">DM21/DD21</f>
        <v>0.5957446808510638</v>
      </c>
      <c r="DQ21" s="116">
        <f t="shared" ref="DQ21:DQ27" si="393">DN21/DE21</f>
        <v>0.53846153846153844</v>
      </c>
      <c r="DR21" s="116">
        <f t="shared" si="363"/>
        <v>0.57534246575342463</v>
      </c>
      <c r="DS21" s="98">
        <f t="shared" si="364"/>
        <v>1156</v>
      </c>
      <c r="DT21" s="98">
        <f t="shared" si="364"/>
        <v>1176</v>
      </c>
      <c r="DU21" s="98">
        <f t="shared" si="364"/>
        <v>2332</v>
      </c>
      <c r="DV21" s="98">
        <f t="shared" si="364"/>
        <v>1025</v>
      </c>
      <c r="DW21" s="98">
        <f t="shared" si="364"/>
        <v>1066</v>
      </c>
      <c r="DX21" s="98">
        <f t="shared" si="364"/>
        <v>2091</v>
      </c>
      <c r="DY21" s="98">
        <f t="shared" si="364"/>
        <v>50</v>
      </c>
      <c r="DZ21" s="98">
        <f t="shared" si="364"/>
        <v>47</v>
      </c>
      <c r="EA21" s="98">
        <f t="shared" si="364"/>
        <v>97</v>
      </c>
      <c r="EB21" s="98">
        <f t="shared" si="364"/>
        <v>1075</v>
      </c>
      <c r="EC21" s="98">
        <f t="shared" si="364"/>
        <v>1113</v>
      </c>
      <c r="ED21" s="98">
        <f t="shared" si="364"/>
        <v>2188</v>
      </c>
      <c r="EE21" s="116">
        <f t="shared" ref="EE21:EG36" si="394">EB21/DS21</f>
        <v>0.92993079584775085</v>
      </c>
      <c r="EF21" s="116">
        <f t="shared" si="394"/>
        <v>0.9464285714285714</v>
      </c>
      <c r="EG21" s="116">
        <f t="shared" si="394"/>
        <v>0.93825042881646659</v>
      </c>
      <c r="EH21" s="96">
        <v>1286</v>
      </c>
      <c r="EI21" s="96">
        <v>1439</v>
      </c>
      <c r="EJ21" s="96">
        <f>EH21+EI21</f>
        <v>2725</v>
      </c>
      <c r="EK21" s="96">
        <v>1190</v>
      </c>
      <c r="EL21" s="96">
        <v>1348</v>
      </c>
      <c r="EM21" s="96">
        <f>EK21+EL21</f>
        <v>2538</v>
      </c>
      <c r="EN21" s="96">
        <v>49</v>
      </c>
      <c r="EO21" s="96">
        <v>38</v>
      </c>
      <c r="EP21" s="96">
        <f>EN21+EO21</f>
        <v>87</v>
      </c>
      <c r="EQ21" s="97">
        <f t="shared" si="339"/>
        <v>1239</v>
      </c>
      <c r="ER21" s="98">
        <f t="shared" si="340"/>
        <v>1386</v>
      </c>
      <c r="ES21" s="98">
        <f t="shared" si="341"/>
        <v>2625</v>
      </c>
      <c r="ET21" s="116">
        <f t="shared" ref="ET21:ET27" si="395">EQ21/EH21</f>
        <v>0.96345256609642305</v>
      </c>
      <c r="EU21" s="116">
        <f t="shared" ref="EU21:EU27" si="396">ER21/EI21</f>
        <v>0.9631688672689368</v>
      </c>
      <c r="EV21" s="116">
        <f t="shared" si="365"/>
        <v>0.96330275229357798</v>
      </c>
      <c r="EW21" s="96">
        <v>26</v>
      </c>
      <c r="EX21" s="96">
        <v>23</v>
      </c>
      <c r="EY21" s="96">
        <f>EW21+EX21</f>
        <v>49</v>
      </c>
      <c r="EZ21" s="96">
        <v>9</v>
      </c>
      <c r="FA21" s="96">
        <v>10</v>
      </c>
      <c r="FB21" s="96">
        <f>EZ21+FA21</f>
        <v>19</v>
      </c>
      <c r="FC21" s="96">
        <v>5</v>
      </c>
      <c r="FD21" s="96">
        <v>3</v>
      </c>
      <c r="FE21" s="96">
        <f>FC21+FD21</f>
        <v>8</v>
      </c>
      <c r="FF21" s="97">
        <f t="shared" si="342"/>
        <v>14</v>
      </c>
      <c r="FG21" s="98">
        <f t="shared" si="343"/>
        <v>13</v>
      </c>
      <c r="FH21" s="98">
        <f t="shared" si="344"/>
        <v>27</v>
      </c>
      <c r="FI21" s="116">
        <f t="shared" ref="FI21:FI27" si="397">FF21/EW21</f>
        <v>0.53846153846153844</v>
      </c>
      <c r="FJ21" s="116">
        <f t="shared" ref="FJ21:FJ27" si="398">FG21/EX21</f>
        <v>0.56521739130434778</v>
      </c>
      <c r="FK21" s="116">
        <f t="shared" si="366"/>
        <v>0.55102040816326525</v>
      </c>
      <c r="FL21" s="98">
        <f t="shared" si="367"/>
        <v>1312</v>
      </c>
      <c r="FM21" s="98">
        <f t="shared" si="368"/>
        <v>1462</v>
      </c>
      <c r="FN21" s="98">
        <f t="shared" si="369"/>
        <v>2774</v>
      </c>
      <c r="FO21" s="98">
        <f t="shared" si="370"/>
        <v>1199</v>
      </c>
      <c r="FP21" s="98">
        <f t="shared" si="371"/>
        <v>1358</v>
      </c>
      <c r="FQ21" s="98">
        <f t="shared" si="372"/>
        <v>2557</v>
      </c>
      <c r="FR21" s="98">
        <f t="shared" si="373"/>
        <v>54</v>
      </c>
      <c r="FS21" s="98">
        <f t="shared" si="374"/>
        <v>41</v>
      </c>
      <c r="FT21" s="98">
        <f t="shared" si="375"/>
        <v>95</v>
      </c>
      <c r="FU21" s="98">
        <f t="shared" si="376"/>
        <v>1253</v>
      </c>
      <c r="FV21" s="98">
        <f t="shared" si="377"/>
        <v>1399</v>
      </c>
      <c r="FW21" s="98">
        <f t="shared" si="378"/>
        <v>2652</v>
      </c>
      <c r="FX21" s="116">
        <f t="shared" ref="FX21:FX24" si="399">FU21/FL21</f>
        <v>0.95503048780487809</v>
      </c>
      <c r="FY21" s="116">
        <f t="shared" ref="FY21:FY24" si="400">FV21/FM21</f>
        <v>0.95690834473324216</v>
      </c>
      <c r="FZ21" s="116">
        <f t="shared" ref="FZ21:FZ24" si="401">FW21/FN21</f>
        <v>0.95602018745493866</v>
      </c>
      <c r="GA21" s="98">
        <f t="shared" si="207"/>
        <v>9388</v>
      </c>
      <c r="GB21" s="98">
        <f t="shared" si="207"/>
        <v>9453</v>
      </c>
      <c r="GC21" s="98">
        <f t="shared" si="207"/>
        <v>18841</v>
      </c>
      <c r="GD21" s="101">
        <v>4313</v>
      </c>
      <c r="GE21" s="101">
        <v>5727</v>
      </c>
      <c r="GF21" s="98">
        <f t="shared" ref="GF21:GF22" si="402">GD21+GE21</f>
        <v>10040</v>
      </c>
      <c r="GG21" s="100">
        <f t="shared" ref="GG21:GI22" si="403">+GD21*100/GA21</f>
        <v>45.94162760971453</v>
      </c>
      <c r="GH21" s="100">
        <f t="shared" si="403"/>
        <v>60.583941605839414</v>
      </c>
      <c r="GI21" s="100">
        <f t="shared" si="403"/>
        <v>53.288042035985349</v>
      </c>
      <c r="GJ21" s="98">
        <f t="shared" ref="GJ21:GL22" si="404">+CI21</f>
        <v>113</v>
      </c>
      <c r="GK21" s="98">
        <f t="shared" si="404"/>
        <v>138</v>
      </c>
      <c r="GL21" s="98">
        <f t="shared" si="404"/>
        <v>251</v>
      </c>
      <c r="GM21" s="101">
        <v>40</v>
      </c>
      <c r="GN21" s="101">
        <v>74</v>
      </c>
      <c r="GO21" s="98">
        <f t="shared" ref="GO21:GO22" si="405">GM21+GN21</f>
        <v>114</v>
      </c>
      <c r="GP21" s="100">
        <f t="shared" ref="GP21:GR22" si="406">+GM21*100/GJ21</f>
        <v>35.398230088495573</v>
      </c>
      <c r="GQ21" s="100">
        <f t="shared" si="406"/>
        <v>53.623188405797102</v>
      </c>
      <c r="GR21" s="100">
        <f t="shared" si="406"/>
        <v>45.418326693227094</v>
      </c>
      <c r="GS21" s="98">
        <f t="shared" ref="GS21:GU22" si="407">+EB21</f>
        <v>1075</v>
      </c>
      <c r="GT21" s="98">
        <f t="shared" si="407"/>
        <v>1113</v>
      </c>
      <c r="GU21" s="98">
        <f t="shared" si="407"/>
        <v>2188</v>
      </c>
      <c r="GV21" s="101">
        <v>422</v>
      </c>
      <c r="GW21" s="101">
        <v>606</v>
      </c>
      <c r="GX21" s="98">
        <f t="shared" ref="GX21:GX22" si="408">GV21+GW21</f>
        <v>1028</v>
      </c>
      <c r="GY21" s="100">
        <f t="shared" ref="GY21:HA22" si="409">+GV21*100/GS21</f>
        <v>39.255813953488371</v>
      </c>
      <c r="GZ21" s="100">
        <f t="shared" si="409"/>
        <v>54.447439353099732</v>
      </c>
      <c r="HA21" s="100">
        <f t="shared" si="409"/>
        <v>46.983546617915906</v>
      </c>
      <c r="HB21" s="98">
        <f t="shared" si="167"/>
        <v>1253</v>
      </c>
      <c r="HC21" s="98">
        <f t="shared" si="168"/>
        <v>1399</v>
      </c>
      <c r="HD21" s="98">
        <f t="shared" si="169"/>
        <v>2652</v>
      </c>
      <c r="HE21" s="101">
        <v>586</v>
      </c>
      <c r="HF21" s="101">
        <v>903</v>
      </c>
      <c r="HG21" s="98">
        <f t="shared" ref="HG21:HG24" si="410">HE21+HF21</f>
        <v>1489</v>
      </c>
      <c r="HH21" s="100">
        <f t="shared" ref="HH21:HH24" si="411">+HE21*100/HB21</f>
        <v>46.767757382282525</v>
      </c>
      <c r="HI21" s="100">
        <f t="shared" ref="HI21:HI24" si="412">+HF21*100/HC21</f>
        <v>64.546104360257331</v>
      </c>
      <c r="HJ21" s="100">
        <f t="shared" ref="HJ21:HJ24" si="413">+HG21*100/HD21</f>
        <v>56.146304675716443</v>
      </c>
    </row>
    <row r="22" spans="1:219" ht="28.5">
      <c r="A22" s="420">
        <v>14</v>
      </c>
      <c r="B22" s="118" t="s">
        <v>149</v>
      </c>
      <c r="C22" s="96">
        <v>454321</v>
      </c>
      <c r="D22" s="96">
        <v>329362</v>
      </c>
      <c r="E22" s="96">
        <f t="shared" ref="E22" si="414">C22+D22</f>
        <v>783683</v>
      </c>
      <c r="F22" s="96">
        <v>289255</v>
      </c>
      <c r="G22" s="96">
        <v>239404</v>
      </c>
      <c r="H22" s="96">
        <f t="shared" ref="H22" si="415">F22+G22</f>
        <v>528659</v>
      </c>
      <c r="I22" s="96">
        <v>3478</v>
      </c>
      <c r="J22" s="96">
        <v>2770</v>
      </c>
      <c r="K22" s="96">
        <f t="shared" ref="K22:K40" si="416">I22+J22</f>
        <v>6248</v>
      </c>
      <c r="L22" s="97">
        <f t="shared" si="319"/>
        <v>292733</v>
      </c>
      <c r="M22" s="98">
        <f t="shared" si="319"/>
        <v>242174</v>
      </c>
      <c r="N22" s="98">
        <f t="shared" si="319"/>
        <v>534907</v>
      </c>
      <c r="O22" s="116">
        <f t="shared" si="379"/>
        <v>0.64433077053448995</v>
      </c>
      <c r="P22" s="116">
        <f t="shared" si="379"/>
        <v>0.73528215155360965</v>
      </c>
      <c r="Q22" s="116">
        <f t="shared" si="357"/>
        <v>0.68255531892359533</v>
      </c>
      <c r="R22" s="96">
        <v>20891</v>
      </c>
      <c r="S22" s="96">
        <v>8182</v>
      </c>
      <c r="T22" s="96">
        <f t="shared" ref="T22:T27" si="417">R22+S22</f>
        <v>29073</v>
      </c>
      <c r="U22" s="96">
        <v>1019</v>
      </c>
      <c r="V22" s="96">
        <v>866</v>
      </c>
      <c r="W22" s="96">
        <f t="shared" ref="W22:W27" si="418">U22+V22</f>
        <v>1885</v>
      </c>
      <c r="X22" s="96">
        <v>137</v>
      </c>
      <c r="Y22" s="96">
        <v>157</v>
      </c>
      <c r="Z22" s="96">
        <f t="shared" ref="Z22" si="419">X22+Y22</f>
        <v>294</v>
      </c>
      <c r="AA22" s="97">
        <f t="shared" si="320"/>
        <v>1156</v>
      </c>
      <c r="AB22" s="98">
        <f t="shared" si="321"/>
        <v>1023</v>
      </c>
      <c r="AC22" s="98">
        <f t="shared" si="322"/>
        <v>2179</v>
      </c>
      <c r="AD22" s="116">
        <f t="shared" si="380"/>
        <v>5.5334833181752911E-2</v>
      </c>
      <c r="AE22" s="116">
        <f t="shared" si="381"/>
        <v>0.12503055487655829</v>
      </c>
      <c r="AF22" s="116">
        <f t="shared" si="382"/>
        <v>7.4949265641660642E-2</v>
      </c>
      <c r="AG22" s="98">
        <f t="shared" si="179"/>
        <v>475212</v>
      </c>
      <c r="AH22" s="98">
        <f t="shared" si="179"/>
        <v>337544</v>
      </c>
      <c r="AI22" s="98">
        <f t="shared" si="179"/>
        <v>812756</v>
      </c>
      <c r="AJ22" s="98">
        <f t="shared" si="179"/>
        <v>290274</v>
      </c>
      <c r="AK22" s="98">
        <f t="shared" si="179"/>
        <v>240270</v>
      </c>
      <c r="AL22" s="98">
        <f t="shared" si="179"/>
        <v>530544</v>
      </c>
      <c r="AM22" s="98">
        <f t="shared" si="179"/>
        <v>3615</v>
      </c>
      <c r="AN22" s="98">
        <f t="shared" si="179"/>
        <v>2927</v>
      </c>
      <c r="AO22" s="98">
        <f t="shared" si="179"/>
        <v>6542</v>
      </c>
      <c r="AP22" s="98">
        <f t="shared" si="110"/>
        <v>293889</v>
      </c>
      <c r="AQ22" s="98">
        <f t="shared" si="110"/>
        <v>243197</v>
      </c>
      <c r="AR22" s="98">
        <f t="shared" si="110"/>
        <v>537086</v>
      </c>
      <c r="AS22" s="116">
        <f t="shared" si="383"/>
        <v>0.61843766571551229</v>
      </c>
      <c r="AT22" s="116">
        <f t="shared" si="324"/>
        <v>0.72048977318512553</v>
      </c>
      <c r="AU22" s="116">
        <f t="shared" si="324"/>
        <v>0.66082071371973872</v>
      </c>
      <c r="AV22" s="96">
        <v>34020</v>
      </c>
      <c r="AW22" s="96">
        <v>26847</v>
      </c>
      <c r="AX22" s="96">
        <f t="shared" ref="AX22:AX27" si="420">AV22+AW22</f>
        <v>60867</v>
      </c>
      <c r="AY22" s="96">
        <v>20429</v>
      </c>
      <c r="AZ22" s="96">
        <v>18505</v>
      </c>
      <c r="BA22" s="96">
        <f t="shared" ref="BA22:BA27" si="421">AY22+AZ22</f>
        <v>38934</v>
      </c>
      <c r="BB22" s="96">
        <v>326</v>
      </c>
      <c r="BC22" s="96">
        <v>300</v>
      </c>
      <c r="BD22" s="96">
        <f t="shared" ref="BD22:BD24" si="422">BB22+BC22</f>
        <v>626</v>
      </c>
      <c r="BE22" s="97">
        <f t="shared" si="325"/>
        <v>20755</v>
      </c>
      <c r="BF22" s="98">
        <f t="shared" si="326"/>
        <v>18805</v>
      </c>
      <c r="BG22" s="98">
        <f t="shared" si="327"/>
        <v>39560</v>
      </c>
      <c r="BH22" s="116">
        <f t="shared" si="384"/>
        <v>0.61008230452674894</v>
      </c>
      <c r="BI22" s="116">
        <f t="shared" si="385"/>
        <v>0.70045070212686711</v>
      </c>
      <c r="BJ22" s="116">
        <f t="shared" si="361"/>
        <v>0.64994167611349341</v>
      </c>
      <c r="BK22" s="96">
        <v>2214</v>
      </c>
      <c r="BL22" s="96">
        <v>1087</v>
      </c>
      <c r="BM22" s="96">
        <f t="shared" ref="BM22:BM27" si="423">BK22+BL22</f>
        <v>3301</v>
      </c>
      <c r="BN22" s="96">
        <v>75</v>
      </c>
      <c r="BO22" s="96">
        <v>80</v>
      </c>
      <c r="BP22" s="96">
        <f t="shared" ref="BP22:BP27" si="424">BN22+BO22</f>
        <v>155</v>
      </c>
      <c r="BQ22" s="96">
        <v>11</v>
      </c>
      <c r="BR22" s="96">
        <v>13</v>
      </c>
      <c r="BS22" s="96">
        <f t="shared" ref="BS22" si="425">BQ22+BR22</f>
        <v>24</v>
      </c>
      <c r="BT22" s="97">
        <f t="shared" si="328"/>
        <v>86</v>
      </c>
      <c r="BU22" s="98">
        <f t="shared" si="329"/>
        <v>93</v>
      </c>
      <c r="BV22" s="98">
        <f t="shared" si="330"/>
        <v>179</v>
      </c>
      <c r="BW22" s="116">
        <f t="shared" si="386"/>
        <v>3.8843721770551037E-2</v>
      </c>
      <c r="BX22" s="116">
        <f t="shared" si="387"/>
        <v>8.5556577736890529E-2</v>
      </c>
      <c r="BY22" s="116">
        <f t="shared" si="388"/>
        <v>5.422599212359891E-2</v>
      </c>
      <c r="BZ22" s="98">
        <f t="shared" si="331"/>
        <v>36234</v>
      </c>
      <c r="CA22" s="98">
        <f t="shared" si="331"/>
        <v>27934</v>
      </c>
      <c r="CB22" s="98">
        <f t="shared" si="331"/>
        <v>64168</v>
      </c>
      <c r="CC22" s="98">
        <f t="shared" si="331"/>
        <v>20504</v>
      </c>
      <c r="CD22" s="98">
        <f t="shared" si="331"/>
        <v>18585</v>
      </c>
      <c r="CE22" s="98">
        <f t="shared" si="331"/>
        <v>39089</v>
      </c>
      <c r="CF22" s="98">
        <f t="shared" si="331"/>
        <v>337</v>
      </c>
      <c r="CG22" s="98">
        <f t="shared" si="331"/>
        <v>313</v>
      </c>
      <c r="CH22" s="98">
        <f t="shared" si="331"/>
        <v>650</v>
      </c>
      <c r="CI22" s="98">
        <f>BE22+BT22</f>
        <v>20841</v>
      </c>
      <c r="CJ22" s="98">
        <f>BF22+BU22</f>
        <v>18898</v>
      </c>
      <c r="CK22" s="98">
        <f>BG22+BV22</f>
        <v>39739</v>
      </c>
      <c r="CL22" s="116">
        <f t="shared" si="389"/>
        <v>0.57517800960423915</v>
      </c>
      <c r="CM22" s="116">
        <f t="shared" si="389"/>
        <v>0.67652323333571995</v>
      </c>
      <c r="CN22" s="116">
        <f t="shared" si="389"/>
        <v>0.61929622241615756</v>
      </c>
      <c r="CO22" s="96">
        <v>59004</v>
      </c>
      <c r="CP22" s="96">
        <v>53558</v>
      </c>
      <c r="CQ22" s="96">
        <f t="shared" ref="CQ22:CQ27" si="426">CO22+CP22</f>
        <v>112562</v>
      </c>
      <c r="CR22" s="96">
        <v>28843</v>
      </c>
      <c r="CS22" s="96">
        <v>31200</v>
      </c>
      <c r="CT22" s="96">
        <f t="shared" ref="CT22:CT27" si="427">CR22+CS22</f>
        <v>60043</v>
      </c>
      <c r="CU22" s="96">
        <v>388</v>
      </c>
      <c r="CV22" s="96">
        <v>449</v>
      </c>
      <c r="CW22" s="96">
        <f t="shared" ref="CW22:CW24" si="428">CU22+CV22</f>
        <v>837</v>
      </c>
      <c r="CX22" s="97">
        <f t="shared" si="332"/>
        <v>29231</v>
      </c>
      <c r="CY22" s="98">
        <f t="shared" si="333"/>
        <v>31649</v>
      </c>
      <c r="CZ22" s="98">
        <f t="shared" si="334"/>
        <v>60880</v>
      </c>
      <c r="DA22" s="116">
        <f t="shared" si="390"/>
        <v>0.49540709104467495</v>
      </c>
      <c r="DB22" s="116">
        <f t="shared" si="391"/>
        <v>0.59092945965121924</v>
      </c>
      <c r="DC22" s="116">
        <f t="shared" si="362"/>
        <v>0.54085748298715375</v>
      </c>
      <c r="DD22" s="96">
        <v>1987</v>
      </c>
      <c r="DE22" s="96">
        <v>742</v>
      </c>
      <c r="DF22" s="96">
        <f t="shared" ref="DF22:DF27" si="429">DD22+DE22</f>
        <v>2729</v>
      </c>
      <c r="DG22" s="96">
        <v>80</v>
      </c>
      <c r="DH22" s="96">
        <v>44</v>
      </c>
      <c r="DI22" s="96">
        <f t="shared" ref="DI22:DI27" si="430">DG22+DH22</f>
        <v>124</v>
      </c>
      <c r="DJ22" s="96">
        <v>9</v>
      </c>
      <c r="DK22" s="96">
        <v>6</v>
      </c>
      <c r="DL22" s="96">
        <f t="shared" ref="DL22" si="431">DJ22+DK22</f>
        <v>15</v>
      </c>
      <c r="DM22" s="97">
        <f t="shared" si="335"/>
        <v>89</v>
      </c>
      <c r="DN22" s="98">
        <f t="shared" si="336"/>
        <v>50</v>
      </c>
      <c r="DO22" s="98">
        <f t="shared" si="337"/>
        <v>139</v>
      </c>
      <c r="DP22" s="116">
        <f t="shared" si="392"/>
        <v>4.479114242576749E-2</v>
      </c>
      <c r="DQ22" s="116">
        <f t="shared" si="393"/>
        <v>6.7385444743935305E-2</v>
      </c>
      <c r="DR22" s="116">
        <f t="shared" si="363"/>
        <v>5.093440820813485E-2</v>
      </c>
      <c r="DS22" s="98">
        <f t="shared" si="364"/>
        <v>60991</v>
      </c>
      <c r="DT22" s="98">
        <f t="shared" si="364"/>
        <v>54300</v>
      </c>
      <c r="DU22" s="98">
        <f t="shared" si="364"/>
        <v>115291</v>
      </c>
      <c r="DV22" s="98">
        <f t="shared" si="364"/>
        <v>28923</v>
      </c>
      <c r="DW22" s="98">
        <f t="shared" si="364"/>
        <v>31244</v>
      </c>
      <c r="DX22" s="98">
        <f t="shared" si="364"/>
        <v>60167</v>
      </c>
      <c r="DY22" s="98">
        <f t="shared" si="364"/>
        <v>397</v>
      </c>
      <c r="DZ22" s="98">
        <f t="shared" si="364"/>
        <v>455</v>
      </c>
      <c r="EA22" s="98">
        <f t="shared" si="364"/>
        <v>852</v>
      </c>
      <c r="EB22" s="98">
        <f t="shared" si="364"/>
        <v>29320</v>
      </c>
      <c r="EC22" s="98">
        <f t="shared" si="364"/>
        <v>31699</v>
      </c>
      <c r="ED22" s="98">
        <f t="shared" si="364"/>
        <v>61019</v>
      </c>
      <c r="EE22" s="116">
        <f t="shared" si="394"/>
        <v>0.48072666458985752</v>
      </c>
      <c r="EF22" s="116">
        <f t="shared" si="394"/>
        <v>0.58377532228360962</v>
      </c>
      <c r="EG22" s="116">
        <f t="shared" si="394"/>
        <v>0.52926074021389358</v>
      </c>
      <c r="EH22" s="96">
        <v>217845</v>
      </c>
      <c r="EI22" s="96">
        <v>144972</v>
      </c>
      <c r="EJ22" s="96">
        <f t="shared" ref="EJ22:EJ27" si="432">EH22+EI22</f>
        <v>362817</v>
      </c>
      <c r="EK22" s="96">
        <v>131052</v>
      </c>
      <c r="EL22" s="96">
        <v>102434</v>
      </c>
      <c r="EM22" s="96">
        <f t="shared" ref="EM22:EM27" si="433">EK22+EL22</f>
        <v>233486</v>
      </c>
      <c r="EN22" s="96">
        <v>1748</v>
      </c>
      <c r="EO22" s="96">
        <v>1256</v>
      </c>
      <c r="EP22" s="96">
        <f t="shared" ref="EP22:EP24" si="434">EN22+EO22</f>
        <v>3004</v>
      </c>
      <c r="EQ22" s="97">
        <f t="shared" si="339"/>
        <v>132800</v>
      </c>
      <c r="ER22" s="98">
        <f t="shared" si="340"/>
        <v>103690</v>
      </c>
      <c r="ES22" s="98">
        <f t="shared" si="341"/>
        <v>236490</v>
      </c>
      <c r="ET22" s="116">
        <f t="shared" si="395"/>
        <v>0.60960774862861211</v>
      </c>
      <c r="EU22" s="116">
        <f t="shared" si="396"/>
        <v>0.71524156388819915</v>
      </c>
      <c r="EV22" s="116">
        <f t="shared" si="365"/>
        <v>0.65181620486360892</v>
      </c>
      <c r="EW22" s="96">
        <v>12174</v>
      </c>
      <c r="EX22" s="96">
        <v>4504</v>
      </c>
      <c r="EY22" s="96">
        <f t="shared" ref="EY22:EY27" si="435">EW22+EX22</f>
        <v>16678</v>
      </c>
      <c r="EZ22" s="96">
        <v>503</v>
      </c>
      <c r="FA22" s="96">
        <v>432</v>
      </c>
      <c r="FB22" s="96">
        <f t="shared" ref="FB22:FB26" si="436">EZ22+FA22</f>
        <v>935</v>
      </c>
      <c r="FC22" s="96">
        <v>68</v>
      </c>
      <c r="FD22" s="96">
        <v>77</v>
      </c>
      <c r="FE22" s="96">
        <f t="shared" ref="FE22" si="437">FC22+FD22</f>
        <v>145</v>
      </c>
      <c r="FF22" s="97">
        <f t="shared" si="342"/>
        <v>571</v>
      </c>
      <c r="FG22" s="98">
        <f t="shared" si="343"/>
        <v>509</v>
      </c>
      <c r="FH22" s="98">
        <f t="shared" si="344"/>
        <v>1080</v>
      </c>
      <c r="FI22" s="116">
        <f t="shared" si="397"/>
        <v>4.6903236405454247E-2</v>
      </c>
      <c r="FJ22" s="116">
        <f t="shared" si="398"/>
        <v>0.11301065719360569</v>
      </c>
      <c r="FK22" s="116">
        <f t="shared" si="366"/>
        <v>6.4755965943158647E-2</v>
      </c>
      <c r="FL22" s="98">
        <f t="shared" si="367"/>
        <v>230019</v>
      </c>
      <c r="FM22" s="98">
        <f t="shared" si="368"/>
        <v>149476</v>
      </c>
      <c r="FN22" s="98">
        <f t="shared" si="369"/>
        <v>379495</v>
      </c>
      <c r="FO22" s="98">
        <f t="shared" si="370"/>
        <v>131555</v>
      </c>
      <c r="FP22" s="98">
        <f t="shared" si="371"/>
        <v>102866</v>
      </c>
      <c r="FQ22" s="98">
        <f t="shared" si="372"/>
        <v>234421</v>
      </c>
      <c r="FR22" s="98">
        <f t="shared" si="373"/>
        <v>1816</v>
      </c>
      <c r="FS22" s="98">
        <f t="shared" si="374"/>
        <v>1333</v>
      </c>
      <c r="FT22" s="98">
        <f t="shared" si="375"/>
        <v>3149</v>
      </c>
      <c r="FU22" s="98">
        <f t="shared" si="376"/>
        <v>133371</v>
      </c>
      <c r="FV22" s="98">
        <f t="shared" si="377"/>
        <v>104199</v>
      </c>
      <c r="FW22" s="98">
        <f t="shared" si="378"/>
        <v>237570</v>
      </c>
      <c r="FX22" s="116">
        <f t="shared" si="399"/>
        <v>0.57982601437272574</v>
      </c>
      <c r="FY22" s="116">
        <f t="shared" si="400"/>
        <v>0.69709518584923336</v>
      </c>
      <c r="FZ22" s="116">
        <f t="shared" si="401"/>
        <v>0.62601615304549463</v>
      </c>
      <c r="GA22" s="98">
        <f t="shared" si="207"/>
        <v>293889</v>
      </c>
      <c r="GB22" s="98">
        <f t="shared" si="207"/>
        <v>243197</v>
      </c>
      <c r="GC22" s="98">
        <f t="shared" si="207"/>
        <v>537086</v>
      </c>
      <c r="GD22" s="101">
        <v>132842</v>
      </c>
      <c r="GE22" s="101">
        <v>121924</v>
      </c>
      <c r="GF22" s="98">
        <f t="shared" si="402"/>
        <v>254766</v>
      </c>
      <c r="GG22" s="100">
        <f t="shared" si="403"/>
        <v>45.201419583584276</v>
      </c>
      <c r="GH22" s="100">
        <f t="shared" si="403"/>
        <v>50.133842111539202</v>
      </c>
      <c r="GI22" s="100">
        <f t="shared" si="403"/>
        <v>47.434861456079659</v>
      </c>
      <c r="GJ22" s="98">
        <f t="shared" si="404"/>
        <v>20841</v>
      </c>
      <c r="GK22" s="98">
        <f t="shared" si="404"/>
        <v>18898</v>
      </c>
      <c r="GL22" s="98">
        <f t="shared" si="404"/>
        <v>39739</v>
      </c>
      <c r="GM22" s="101">
        <v>8347</v>
      </c>
      <c r="GN22" s="101">
        <v>8295</v>
      </c>
      <c r="GO22" s="98">
        <f t="shared" si="405"/>
        <v>16642</v>
      </c>
      <c r="GP22" s="100">
        <f t="shared" si="406"/>
        <v>40.050861283047837</v>
      </c>
      <c r="GQ22" s="100">
        <f t="shared" si="406"/>
        <v>43.893533707270613</v>
      </c>
      <c r="GR22" s="100">
        <f t="shared" si="406"/>
        <v>41.878255617906845</v>
      </c>
      <c r="GS22" s="98">
        <f t="shared" si="407"/>
        <v>29320</v>
      </c>
      <c r="GT22" s="98">
        <f t="shared" si="407"/>
        <v>31699</v>
      </c>
      <c r="GU22" s="98">
        <f t="shared" si="407"/>
        <v>61019</v>
      </c>
      <c r="GV22" s="101">
        <v>7469</v>
      </c>
      <c r="GW22" s="101">
        <v>9164</v>
      </c>
      <c r="GX22" s="98">
        <f t="shared" si="408"/>
        <v>16633</v>
      </c>
      <c r="GY22" s="100">
        <f t="shared" si="409"/>
        <v>25.474079126875854</v>
      </c>
      <c r="GZ22" s="100">
        <f t="shared" si="409"/>
        <v>28.909429319536894</v>
      </c>
      <c r="HA22" s="100">
        <f t="shared" si="409"/>
        <v>27.258722692931709</v>
      </c>
      <c r="HB22" s="98">
        <f t="shared" si="167"/>
        <v>133371</v>
      </c>
      <c r="HC22" s="98">
        <f t="shared" si="168"/>
        <v>104199</v>
      </c>
      <c r="HD22" s="98">
        <f t="shared" si="169"/>
        <v>237570</v>
      </c>
      <c r="HE22" s="101">
        <v>54549</v>
      </c>
      <c r="HF22" s="101">
        <v>48406</v>
      </c>
      <c r="HG22" s="98">
        <f t="shared" si="410"/>
        <v>102955</v>
      </c>
      <c r="HH22" s="100">
        <f t="shared" si="411"/>
        <v>40.900195694716245</v>
      </c>
      <c r="HI22" s="100">
        <f t="shared" si="412"/>
        <v>46.455340262382556</v>
      </c>
      <c r="HJ22" s="100">
        <f t="shared" si="413"/>
        <v>43.336700761880707</v>
      </c>
    </row>
    <row r="23" spans="1:219">
      <c r="A23" s="420">
        <v>15</v>
      </c>
      <c r="B23" s="118" t="s">
        <v>140</v>
      </c>
      <c r="C23" s="96">
        <v>200751</v>
      </c>
      <c r="D23" s="96">
        <v>169187</v>
      </c>
      <c r="E23" s="96">
        <f t="shared" si="176"/>
        <v>369938</v>
      </c>
      <c r="F23" s="96">
        <v>95566</v>
      </c>
      <c r="G23" s="96">
        <v>93576</v>
      </c>
      <c r="H23" s="96">
        <f t="shared" si="177"/>
        <v>189142</v>
      </c>
      <c r="I23" s="96">
        <v>2675</v>
      </c>
      <c r="J23" s="96">
        <v>2236</v>
      </c>
      <c r="K23" s="96">
        <f t="shared" si="416"/>
        <v>4911</v>
      </c>
      <c r="L23" s="97">
        <f t="shared" si="319"/>
        <v>98241</v>
      </c>
      <c r="M23" s="98">
        <f t="shared" si="319"/>
        <v>95812</v>
      </c>
      <c r="N23" s="98">
        <f t="shared" si="319"/>
        <v>194053</v>
      </c>
      <c r="O23" s="116">
        <f t="shared" si="178"/>
        <v>0.48936742531793115</v>
      </c>
      <c r="P23" s="116">
        <f t="shared" si="178"/>
        <v>0.56630828609763162</v>
      </c>
      <c r="Q23" s="116">
        <f t="shared" si="178"/>
        <v>0.52455546605106806</v>
      </c>
      <c r="R23" s="403"/>
      <c r="S23" s="403"/>
      <c r="T23" s="403"/>
      <c r="U23" s="403"/>
      <c r="V23" s="403"/>
      <c r="W23" s="403"/>
      <c r="X23" s="403"/>
      <c r="Y23" s="403"/>
      <c r="Z23" s="403"/>
      <c r="AA23" s="404"/>
      <c r="AB23" s="404"/>
      <c r="AC23" s="404"/>
      <c r="AD23" s="405"/>
      <c r="AE23" s="405"/>
      <c r="AF23" s="405"/>
      <c r="AG23" s="98">
        <f t="shared" si="179"/>
        <v>200751</v>
      </c>
      <c r="AH23" s="98">
        <f t="shared" si="109"/>
        <v>169187</v>
      </c>
      <c r="AI23" s="98">
        <f t="shared" si="109"/>
        <v>369938</v>
      </c>
      <c r="AJ23" s="98">
        <f t="shared" si="109"/>
        <v>95566</v>
      </c>
      <c r="AK23" s="98">
        <f t="shared" si="109"/>
        <v>93576</v>
      </c>
      <c r="AL23" s="98">
        <f t="shared" si="109"/>
        <v>189142</v>
      </c>
      <c r="AM23" s="98">
        <f t="shared" si="179"/>
        <v>2675</v>
      </c>
      <c r="AN23" s="98">
        <f t="shared" si="224"/>
        <v>2236</v>
      </c>
      <c r="AO23" s="98">
        <f t="shared" si="109"/>
        <v>4911</v>
      </c>
      <c r="AP23" s="98">
        <f t="shared" si="110"/>
        <v>98241</v>
      </c>
      <c r="AQ23" s="98">
        <f t="shared" si="110"/>
        <v>95812</v>
      </c>
      <c r="AR23" s="98">
        <f t="shared" si="109"/>
        <v>194053</v>
      </c>
      <c r="AS23" s="116">
        <f t="shared" si="180"/>
        <v>0.48936742531793115</v>
      </c>
      <c r="AT23" s="116">
        <f t="shared" si="180"/>
        <v>0.56630828609763162</v>
      </c>
      <c r="AU23" s="116">
        <f t="shared" si="180"/>
        <v>0.52455546605106806</v>
      </c>
      <c r="AV23" s="96">
        <v>56878</v>
      </c>
      <c r="AW23" s="96">
        <v>54868</v>
      </c>
      <c r="AX23" s="96">
        <f t="shared" si="420"/>
        <v>111746</v>
      </c>
      <c r="AY23" s="96">
        <v>21422</v>
      </c>
      <c r="AZ23" s="96">
        <v>22886</v>
      </c>
      <c r="BA23" s="96">
        <f t="shared" si="421"/>
        <v>44308</v>
      </c>
      <c r="BB23" s="96">
        <v>698</v>
      </c>
      <c r="BC23" s="96">
        <v>695</v>
      </c>
      <c r="BD23" s="96">
        <f t="shared" si="422"/>
        <v>1393</v>
      </c>
      <c r="BE23" s="97">
        <f t="shared" si="325"/>
        <v>22120</v>
      </c>
      <c r="BF23" s="98">
        <f t="shared" si="326"/>
        <v>23581</v>
      </c>
      <c r="BG23" s="98">
        <f t="shared" si="327"/>
        <v>45701</v>
      </c>
      <c r="BH23" s="116">
        <f t="shared" si="384"/>
        <v>0.38890256338127221</v>
      </c>
      <c r="BI23" s="116">
        <f t="shared" si="385"/>
        <v>0.42977691915141797</v>
      </c>
      <c r="BJ23" s="116">
        <f t="shared" si="361"/>
        <v>0.40897213323071968</v>
      </c>
      <c r="BK23" s="403"/>
      <c r="BL23" s="403"/>
      <c r="BM23" s="403"/>
      <c r="BN23" s="403"/>
      <c r="BO23" s="403"/>
      <c r="BP23" s="403"/>
      <c r="BQ23" s="403"/>
      <c r="BR23" s="403"/>
      <c r="BS23" s="403"/>
      <c r="BT23" s="404"/>
      <c r="BU23" s="404"/>
      <c r="BV23" s="404"/>
      <c r="BW23" s="405"/>
      <c r="BX23" s="405"/>
      <c r="BY23" s="405"/>
      <c r="BZ23" s="98">
        <f t="shared" si="186"/>
        <v>56878</v>
      </c>
      <c r="CA23" s="98">
        <f t="shared" si="186"/>
        <v>54868</v>
      </c>
      <c r="CB23" s="98">
        <f t="shared" si="186"/>
        <v>111746</v>
      </c>
      <c r="CC23" s="98">
        <f t="shared" si="186"/>
        <v>21422</v>
      </c>
      <c r="CD23" s="98">
        <f t="shared" si="186"/>
        <v>22886</v>
      </c>
      <c r="CE23" s="98">
        <f t="shared" si="186"/>
        <v>44308</v>
      </c>
      <c r="CF23" s="98">
        <f t="shared" si="331"/>
        <v>698</v>
      </c>
      <c r="CG23" s="98">
        <f t="shared" si="331"/>
        <v>695</v>
      </c>
      <c r="CH23" s="98">
        <f t="shared" si="331"/>
        <v>1393</v>
      </c>
      <c r="CI23" s="98">
        <f>BE23+BT23</f>
        <v>22120</v>
      </c>
      <c r="CJ23" s="98">
        <f t="shared" ref="CJ23:CK38" si="438">BF23+BU23</f>
        <v>23581</v>
      </c>
      <c r="CK23" s="98">
        <f t="shared" si="438"/>
        <v>45701</v>
      </c>
      <c r="CL23" s="116">
        <f t="shared" si="389"/>
        <v>0.38890256338127221</v>
      </c>
      <c r="CM23" s="116">
        <f t="shared" si="187"/>
        <v>0.42977691915141797</v>
      </c>
      <c r="CN23" s="116">
        <f t="shared" si="187"/>
        <v>0.40897213323071968</v>
      </c>
      <c r="CO23" s="403"/>
      <c r="CP23" s="403"/>
      <c r="CQ23" s="403"/>
      <c r="CR23" s="403"/>
      <c r="CS23" s="403"/>
      <c r="CT23" s="403"/>
      <c r="CU23" s="403"/>
      <c r="CV23" s="403"/>
      <c r="CW23" s="403"/>
      <c r="CX23" s="404"/>
      <c r="CY23" s="404"/>
      <c r="CZ23" s="404"/>
      <c r="DA23" s="405"/>
      <c r="DB23" s="405"/>
      <c r="DC23" s="405"/>
      <c r="DD23" s="403"/>
      <c r="DE23" s="403"/>
      <c r="DF23" s="403"/>
      <c r="DG23" s="403"/>
      <c r="DH23" s="403"/>
      <c r="DI23" s="403"/>
      <c r="DJ23" s="403"/>
      <c r="DK23" s="403"/>
      <c r="DL23" s="403"/>
      <c r="DM23" s="404"/>
      <c r="DN23" s="404"/>
      <c r="DO23" s="404"/>
      <c r="DP23" s="405"/>
      <c r="DQ23" s="405"/>
      <c r="DR23" s="405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5"/>
      <c r="EF23" s="405"/>
      <c r="EG23" s="405"/>
      <c r="EH23" s="96">
        <v>96049</v>
      </c>
      <c r="EI23" s="96">
        <v>55534</v>
      </c>
      <c r="EJ23" s="96">
        <f t="shared" si="432"/>
        <v>151583</v>
      </c>
      <c r="EK23" s="96">
        <v>32993</v>
      </c>
      <c r="EL23" s="96">
        <v>31570</v>
      </c>
      <c r="EM23" s="96">
        <f t="shared" si="433"/>
        <v>64563</v>
      </c>
      <c r="EN23" s="96">
        <v>938</v>
      </c>
      <c r="EO23" s="96">
        <v>779</v>
      </c>
      <c r="EP23" s="96">
        <f t="shared" si="434"/>
        <v>1717</v>
      </c>
      <c r="EQ23" s="97">
        <f t="shared" si="339"/>
        <v>33931</v>
      </c>
      <c r="ER23" s="98">
        <f t="shared" si="340"/>
        <v>32349</v>
      </c>
      <c r="ES23" s="98">
        <f t="shared" si="341"/>
        <v>66280</v>
      </c>
      <c r="ET23" s="116">
        <f t="shared" si="395"/>
        <v>0.35326760299430499</v>
      </c>
      <c r="EU23" s="116">
        <f t="shared" si="396"/>
        <v>0.58250801310908629</v>
      </c>
      <c r="EV23" s="116">
        <f t="shared" si="365"/>
        <v>0.43725219846552715</v>
      </c>
      <c r="EW23" s="403"/>
      <c r="EX23" s="403"/>
      <c r="EY23" s="403"/>
      <c r="EZ23" s="403"/>
      <c r="FA23" s="403"/>
      <c r="FB23" s="403"/>
      <c r="FC23" s="403"/>
      <c r="FD23" s="403"/>
      <c r="FE23" s="403"/>
      <c r="FF23" s="404"/>
      <c r="FG23" s="404"/>
      <c r="FH23" s="404"/>
      <c r="FI23" s="405"/>
      <c r="FJ23" s="405"/>
      <c r="FK23" s="405"/>
      <c r="FL23" s="98">
        <f t="shared" si="367"/>
        <v>96049</v>
      </c>
      <c r="FM23" s="98">
        <f t="shared" si="368"/>
        <v>55534</v>
      </c>
      <c r="FN23" s="98">
        <f t="shared" si="369"/>
        <v>151583</v>
      </c>
      <c r="FO23" s="98">
        <f t="shared" si="370"/>
        <v>32993</v>
      </c>
      <c r="FP23" s="98">
        <f t="shared" si="371"/>
        <v>31570</v>
      </c>
      <c r="FQ23" s="98">
        <f t="shared" si="372"/>
        <v>64563</v>
      </c>
      <c r="FR23" s="98">
        <f t="shared" si="373"/>
        <v>938</v>
      </c>
      <c r="FS23" s="98">
        <f t="shared" si="374"/>
        <v>779</v>
      </c>
      <c r="FT23" s="98">
        <f t="shared" si="375"/>
        <v>1717</v>
      </c>
      <c r="FU23" s="98">
        <f t="shared" si="376"/>
        <v>33931</v>
      </c>
      <c r="FV23" s="98">
        <f t="shared" si="377"/>
        <v>32349</v>
      </c>
      <c r="FW23" s="98">
        <f t="shared" si="378"/>
        <v>66280</v>
      </c>
      <c r="FX23" s="116">
        <f t="shared" si="399"/>
        <v>0.35326760299430499</v>
      </c>
      <c r="FY23" s="116">
        <f t="shared" si="400"/>
        <v>0.58250801310908629</v>
      </c>
      <c r="FZ23" s="116">
        <f t="shared" si="401"/>
        <v>0.43725219846552715</v>
      </c>
      <c r="GA23" s="98">
        <f t="shared" si="207"/>
        <v>98241</v>
      </c>
      <c r="GB23" s="98">
        <f t="shared" si="207"/>
        <v>95812</v>
      </c>
      <c r="GC23" s="98">
        <f t="shared" si="207"/>
        <v>194053</v>
      </c>
      <c r="GD23" s="101">
        <v>66998</v>
      </c>
      <c r="GE23" s="101">
        <v>71857</v>
      </c>
      <c r="GF23" s="98">
        <f t="shared" si="208"/>
        <v>138855</v>
      </c>
      <c r="GG23" s="100">
        <f t="shared" si="209"/>
        <v>68.197595708512736</v>
      </c>
      <c r="GH23" s="100">
        <f t="shared" si="209"/>
        <v>74.997912578800154</v>
      </c>
      <c r="GI23" s="100">
        <f t="shared" si="209"/>
        <v>71.555193684199679</v>
      </c>
      <c r="GJ23" s="98">
        <f t="shared" si="210"/>
        <v>22120</v>
      </c>
      <c r="GK23" s="98">
        <f t="shared" si="210"/>
        <v>23581</v>
      </c>
      <c r="GL23" s="98">
        <f t="shared" si="210"/>
        <v>45701</v>
      </c>
      <c r="GM23" s="101">
        <v>11970</v>
      </c>
      <c r="GN23" s="101">
        <v>14086</v>
      </c>
      <c r="GO23" s="98">
        <f t="shared" si="211"/>
        <v>26056</v>
      </c>
      <c r="GP23" s="100">
        <f t="shared" si="212"/>
        <v>54.11392405063291</v>
      </c>
      <c r="GQ23" s="100">
        <f t="shared" si="212"/>
        <v>59.734532038505577</v>
      </c>
      <c r="GR23" s="100">
        <f t="shared" si="212"/>
        <v>57.014069714010631</v>
      </c>
      <c r="GS23" s="404"/>
      <c r="GT23" s="404"/>
      <c r="GU23" s="404"/>
      <c r="GV23" s="406"/>
      <c r="GW23" s="406"/>
      <c r="GX23" s="404"/>
      <c r="GY23" s="407"/>
      <c r="GZ23" s="407"/>
      <c r="HA23" s="407"/>
      <c r="HB23" s="98">
        <f t="shared" si="167"/>
        <v>33931</v>
      </c>
      <c r="HC23" s="98">
        <f t="shared" si="168"/>
        <v>32349</v>
      </c>
      <c r="HD23" s="98">
        <f t="shared" si="169"/>
        <v>66280</v>
      </c>
      <c r="HE23" s="101">
        <v>23083</v>
      </c>
      <c r="HF23" s="101">
        <v>24304</v>
      </c>
      <c r="HG23" s="98">
        <f t="shared" si="410"/>
        <v>47387</v>
      </c>
      <c r="HH23" s="100">
        <f t="shared" si="411"/>
        <v>68.029235802068911</v>
      </c>
      <c r="HI23" s="100">
        <f t="shared" si="412"/>
        <v>75.130606819376183</v>
      </c>
      <c r="HJ23" s="100">
        <f t="shared" si="413"/>
        <v>71.495171997585999</v>
      </c>
    </row>
    <row r="24" spans="1:219">
      <c r="A24" s="420">
        <v>16</v>
      </c>
      <c r="B24" s="118" t="s">
        <v>150</v>
      </c>
      <c r="C24" s="96">
        <v>56395</v>
      </c>
      <c r="D24" s="96">
        <v>52097</v>
      </c>
      <c r="E24" s="96">
        <f t="shared" si="176"/>
        <v>108492</v>
      </c>
      <c r="F24" s="96">
        <v>34253</v>
      </c>
      <c r="G24" s="96">
        <v>34882</v>
      </c>
      <c r="H24" s="96">
        <f t="shared" si="177"/>
        <v>69135</v>
      </c>
      <c r="I24" s="96">
        <v>5104</v>
      </c>
      <c r="J24" s="96">
        <v>4308</v>
      </c>
      <c r="K24" s="96">
        <f t="shared" si="416"/>
        <v>9412</v>
      </c>
      <c r="L24" s="97">
        <f t="shared" si="319"/>
        <v>39357</v>
      </c>
      <c r="M24" s="98">
        <f t="shared" si="319"/>
        <v>39190</v>
      </c>
      <c r="N24" s="98">
        <f t="shared" si="319"/>
        <v>78547</v>
      </c>
      <c r="O24" s="116">
        <f t="shared" si="178"/>
        <v>0.69788101782072876</v>
      </c>
      <c r="P24" s="116">
        <f t="shared" si="178"/>
        <v>0.75225060944008293</v>
      </c>
      <c r="Q24" s="116">
        <f t="shared" si="178"/>
        <v>0.72398886553847286</v>
      </c>
      <c r="R24" s="403"/>
      <c r="S24" s="403"/>
      <c r="T24" s="403"/>
      <c r="U24" s="403"/>
      <c r="V24" s="403"/>
      <c r="W24" s="403"/>
      <c r="X24" s="403"/>
      <c r="Y24" s="403"/>
      <c r="Z24" s="403"/>
      <c r="AA24" s="404"/>
      <c r="AB24" s="404"/>
      <c r="AC24" s="404"/>
      <c r="AD24" s="405"/>
      <c r="AE24" s="405"/>
      <c r="AF24" s="405"/>
      <c r="AG24" s="98">
        <f t="shared" si="179"/>
        <v>56395</v>
      </c>
      <c r="AH24" s="98">
        <f t="shared" si="109"/>
        <v>52097</v>
      </c>
      <c r="AI24" s="98">
        <f t="shared" si="109"/>
        <v>108492</v>
      </c>
      <c r="AJ24" s="98">
        <f t="shared" si="109"/>
        <v>34253</v>
      </c>
      <c r="AK24" s="98">
        <f t="shared" si="109"/>
        <v>34882</v>
      </c>
      <c r="AL24" s="98">
        <f t="shared" si="109"/>
        <v>69135</v>
      </c>
      <c r="AM24" s="98">
        <f t="shared" si="179"/>
        <v>5104</v>
      </c>
      <c r="AN24" s="98">
        <f t="shared" si="224"/>
        <v>4308</v>
      </c>
      <c r="AO24" s="98">
        <f t="shared" si="224"/>
        <v>9412</v>
      </c>
      <c r="AP24" s="98">
        <f t="shared" si="110"/>
        <v>39357</v>
      </c>
      <c r="AQ24" s="98">
        <f t="shared" si="110"/>
        <v>39190</v>
      </c>
      <c r="AR24" s="98">
        <f t="shared" si="110"/>
        <v>78547</v>
      </c>
      <c r="AS24" s="116">
        <f t="shared" si="180"/>
        <v>0.69788101782072876</v>
      </c>
      <c r="AT24" s="116">
        <f t="shared" si="180"/>
        <v>0.75225060944008293</v>
      </c>
      <c r="AU24" s="116">
        <f t="shared" si="180"/>
        <v>0.72398886553847286</v>
      </c>
      <c r="AV24" s="96">
        <v>16494</v>
      </c>
      <c r="AW24" s="96">
        <v>15776</v>
      </c>
      <c r="AX24" s="96">
        <f t="shared" si="420"/>
        <v>32270</v>
      </c>
      <c r="AY24" s="96">
        <v>8906</v>
      </c>
      <c r="AZ24" s="96">
        <v>9533</v>
      </c>
      <c r="BA24" s="96">
        <f t="shared" si="421"/>
        <v>18439</v>
      </c>
      <c r="BB24" s="96">
        <v>1604</v>
      </c>
      <c r="BC24" s="96">
        <v>1447</v>
      </c>
      <c r="BD24" s="96">
        <f t="shared" si="422"/>
        <v>3051</v>
      </c>
      <c r="BE24" s="97">
        <f t="shared" si="325"/>
        <v>10510</v>
      </c>
      <c r="BF24" s="98">
        <f t="shared" si="326"/>
        <v>10980</v>
      </c>
      <c r="BG24" s="98">
        <f t="shared" si="327"/>
        <v>21490</v>
      </c>
      <c r="BH24" s="116">
        <f t="shared" si="384"/>
        <v>0.63720140657208679</v>
      </c>
      <c r="BI24" s="116">
        <f t="shared" si="385"/>
        <v>0.69599391480730222</v>
      </c>
      <c r="BJ24" s="116">
        <f t="shared" si="361"/>
        <v>0.66594360086767901</v>
      </c>
      <c r="BK24" s="403"/>
      <c r="BL24" s="403"/>
      <c r="BM24" s="403"/>
      <c r="BN24" s="403"/>
      <c r="BO24" s="403"/>
      <c r="BP24" s="403"/>
      <c r="BQ24" s="403"/>
      <c r="BR24" s="403"/>
      <c r="BS24" s="403"/>
      <c r="BT24" s="404"/>
      <c r="BU24" s="404"/>
      <c r="BV24" s="404"/>
      <c r="BW24" s="405"/>
      <c r="BX24" s="405"/>
      <c r="BY24" s="405"/>
      <c r="BZ24" s="98">
        <f t="shared" si="186"/>
        <v>16494</v>
      </c>
      <c r="CA24" s="98">
        <f t="shared" si="186"/>
        <v>15776</v>
      </c>
      <c r="CB24" s="98">
        <f t="shared" si="186"/>
        <v>32270</v>
      </c>
      <c r="CC24" s="98">
        <f t="shared" si="186"/>
        <v>8906</v>
      </c>
      <c r="CD24" s="98">
        <f t="shared" si="186"/>
        <v>9533</v>
      </c>
      <c r="CE24" s="98">
        <f t="shared" si="186"/>
        <v>18439</v>
      </c>
      <c r="CF24" s="98">
        <f t="shared" si="331"/>
        <v>1604</v>
      </c>
      <c r="CG24" s="98">
        <f t="shared" si="331"/>
        <v>1447</v>
      </c>
      <c r="CH24" s="98">
        <f t="shared" si="331"/>
        <v>3051</v>
      </c>
      <c r="CI24" s="98">
        <f t="shared" si="331"/>
        <v>10510</v>
      </c>
      <c r="CJ24" s="98">
        <f t="shared" si="438"/>
        <v>10980</v>
      </c>
      <c r="CK24" s="98">
        <f t="shared" si="438"/>
        <v>21490</v>
      </c>
      <c r="CL24" s="116">
        <f t="shared" si="389"/>
        <v>0.63720140657208679</v>
      </c>
      <c r="CM24" s="116">
        <f t="shared" si="187"/>
        <v>0.69599391480730222</v>
      </c>
      <c r="CN24" s="116">
        <f t="shared" si="187"/>
        <v>0.66594360086767901</v>
      </c>
      <c r="CO24" s="96">
        <v>3474</v>
      </c>
      <c r="CP24" s="96">
        <v>3294</v>
      </c>
      <c r="CQ24" s="96">
        <f t="shared" si="426"/>
        <v>6768</v>
      </c>
      <c r="CR24" s="96">
        <v>2198</v>
      </c>
      <c r="CS24" s="96">
        <v>2276</v>
      </c>
      <c r="CT24" s="96">
        <f t="shared" si="427"/>
        <v>4474</v>
      </c>
      <c r="CU24" s="96">
        <v>337</v>
      </c>
      <c r="CV24" s="96">
        <v>260</v>
      </c>
      <c r="CW24" s="96">
        <f t="shared" si="428"/>
        <v>597</v>
      </c>
      <c r="CX24" s="97">
        <f t="shared" si="332"/>
        <v>2535</v>
      </c>
      <c r="CY24" s="98">
        <f t="shared" si="333"/>
        <v>2536</v>
      </c>
      <c r="CZ24" s="98">
        <f t="shared" si="334"/>
        <v>5071</v>
      </c>
      <c r="DA24" s="116">
        <f t="shared" si="390"/>
        <v>0.72970639032815199</v>
      </c>
      <c r="DB24" s="116">
        <f t="shared" si="391"/>
        <v>0.76988463873709778</v>
      </c>
      <c r="DC24" s="116">
        <f t="shared" si="362"/>
        <v>0.74926122931442085</v>
      </c>
      <c r="DD24" s="403"/>
      <c r="DE24" s="403"/>
      <c r="DF24" s="403"/>
      <c r="DG24" s="403"/>
      <c r="DH24" s="403"/>
      <c r="DI24" s="403"/>
      <c r="DJ24" s="403"/>
      <c r="DK24" s="403"/>
      <c r="DL24" s="403"/>
      <c r="DM24" s="404"/>
      <c r="DN24" s="404"/>
      <c r="DO24" s="404"/>
      <c r="DP24" s="405"/>
      <c r="DQ24" s="405"/>
      <c r="DR24" s="405"/>
      <c r="DS24" s="98">
        <f t="shared" si="125"/>
        <v>3474</v>
      </c>
      <c r="DT24" s="98">
        <f t="shared" si="125"/>
        <v>3294</v>
      </c>
      <c r="DU24" s="98">
        <f t="shared" si="125"/>
        <v>6768</v>
      </c>
      <c r="DV24" s="98">
        <f t="shared" si="125"/>
        <v>2198</v>
      </c>
      <c r="DW24" s="98">
        <f t="shared" si="125"/>
        <v>2276</v>
      </c>
      <c r="DX24" s="98">
        <f t="shared" si="125"/>
        <v>4474</v>
      </c>
      <c r="DY24" s="98">
        <f t="shared" si="364"/>
        <v>337</v>
      </c>
      <c r="DZ24" s="98">
        <f t="shared" si="364"/>
        <v>260</v>
      </c>
      <c r="EA24" s="98">
        <f t="shared" si="364"/>
        <v>597</v>
      </c>
      <c r="EB24" s="98">
        <f t="shared" si="192"/>
        <v>2535</v>
      </c>
      <c r="EC24" s="98">
        <f t="shared" si="192"/>
        <v>2536</v>
      </c>
      <c r="ED24" s="98">
        <f t="shared" si="192"/>
        <v>5071</v>
      </c>
      <c r="EE24" s="116">
        <f t="shared" si="394"/>
        <v>0.72970639032815199</v>
      </c>
      <c r="EF24" s="116">
        <f t="shared" si="193"/>
        <v>0.76988463873709778</v>
      </c>
      <c r="EG24" s="116">
        <f t="shared" si="193"/>
        <v>0.74926122931442085</v>
      </c>
      <c r="EH24" s="96">
        <v>9231</v>
      </c>
      <c r="EI24" s="96">
        <v>8313</v>
      </c>
      <c r="EJ24" s="96">
        <f t="shared" si="432"/>
        <v>17544</v>
      </c>
      <c r="EK24" s="96">
        <v>5696</v>
      </c>
      <c r="EL24" s="96">
        <v>5744</v>
      </c>
      <c r="EM24" s="96">
        <f t="shared" si="433"/>
        <v>11440</v>
      </c>
      <c r="EN24" s="96">
        <v>857</v>
      </c>
      <c r="EO24" s="96">
        <v>660</v>
      </c>
      <c r="EP24" s="96">
        <f t="shared" si="434"/>
        <v>1517</v>
      </c>
      <c r="EQ24" s="97">
        <f t="shared" si="339"/>
        <v>6553</v>
      </c>
      <c r="ER24" s="98">
        <f t="shared" si="340"/>
        <v>6404</v>
      </c>
      <c r="ES24" s="98">
        <f t="shared" si="341"/>
        <v>12957</v>
      </c>
      <c r="ET24" s="116">
        <f t="shared" si="395"/>
        <v>0.70989058606868161</v>
      </c>
      <c r="EU24" s="116">
        <f t="shared" si="396"/>
        <v>0.77035967761337665</v>
      </c>
      <c r="EV24" s="116">
        <f t="shared" si="365"/>
        <v>0.73854309165526677</v>
      </c>
      <c r="EW24" s="403"/>
      <c r="EX24" s="403"/>
      <c r="EY24" s="403"/>
      <c r="EZ24" s="403"/>
      <c r="FA24" s="403"/>
      <c r="FB24" s="403"/>
      <c r="FC24" s="403"/>
      <c r="FD24" s="403"/>
      <c r="FE24" s="403"/>
      <c r="FF24" s="404"/>
      <c r="FG24" s="404"/>
      <c r="FH24" s="404"/>
      <c r="FI24" s="405"/>
      <c r="FJ24" s="405"/>
      <c r="FK24" s="405"/>
      <c r="FL24" s="98">
        <f t="shared" si="367"/>
        <v>9231</v>
      </c>
      <c r="FM24" s="98">
        <f t="shared" si="368"/>
        <v>8313</v>
      </c>
      <c r="FN24" s="98">
        <f t="shared" si="369"/>
        <v>17544</v>
      </c>
      <c r="FO24" s="98">
        <f t="shared" si="370"/>
        <v>5696</v>
      </c>
      <c r="FP24" s="98">
        <f t="shared" si="371"/>
        <v>5744</v>
      </c>
      <c r="FQ24" s="98">
        <f t="shared" si="372"/>
        <v>11440</v>
      </c>
      <c r="FR24" s="98">
        <f t="shared" si="373"/>
        <v>857</v>
      </c>
      <c r="FS24" s="98">
        <f t="shared" si="374"/>
        <v>660</v>
      </c>
      <c r="FT24" s="98">
        <f t="shared" si="375"/>
        <v>1517</v>
      </c>
      <c r="FU24" s="98">
        <f t="shared" si="376"/>
        <v>6553</v>
      </c>
      <c r="FV24" s="98">
        <f t="shared" si="377"/>
        <v>6404</v>
      </c>
      <c r="FW24" s="98">
        <f t="shared" si="378"/>
        <v>12957</v>
      </c>
      <c r="FX24" s="116">
        <f t="shared" si="399"/>
        <v>0.70989058606868161</v>
      </c>
      <c r="FY24" s="116">
        <f t="shared" si="400"/>
        <v>0.77035967761337665</v>
      </c>
      <c r="FZ24" s="116">
        <f t="shared" si="401"/>
        <v>0.73854309165526677</v>
      </c>
      <c r="GA24" s="98">
        <f t="shared" si="207"/>
        <v>39357</v>
      </c>
      <c r="GB24" s="98">
        <f t="shared" si="207"/>
        <v>39190</v>
      </c>
      <c r="GC24" s="98">
        <f t="shared" si="207"/>
        <v>78547</v>
      </c>
      <c r="GD24" s="101">
        <v>26303</v>
      </c>
      <c r="GE24" s="101">
        <v>30765</v>
      </c>
      <c r="GF24" s="98">
        <f t="shared" si="208"/>
        <v>57068</v>
      </c>
      <c r="GG24" s="100">
        <f>+GD24*100/GA24</f>
        <v>66.831821531112638</v>
      </c>
      <c r="GH24" s="100">
        <f t="shared" si="209"/>
        <v>78.502168920643015</v>
      </c>
      <c r="GI24" s="100">
        <f t="shared" si="209"/>
        <v>72.654588972207719</v>
      </c>
      <c r="GJ24" s="98">
        <f t="shared" si="210"/>
        <v>10510</v>
      </c>
      <c r="GK24" s="98">
        <f t="shared" si="210"/>
        <v>10980</v>
      </c>
      <c r="GL24" s="98">
        <f t="shared" si="210"/>
        <v>21490</v>
      </c>
      <c r="GM24" s="101">
        <v>6329</v>
      </c>
      <c r="GN24" s="101">
        <v>8015</v>
      </c>
      <c r="GO24" s="98">
        <f t="shared" si="211"/>
        <v>14344</v>
      </c>
      <c r="GP24" s="100">
        <f t="shared" si="212"/>
        <v>60.218839200761181</v>
      </c>
      <c r="GQ24" s="100">
        <f t="shared" si="212"/>
        <v>72.996357012750451</v>
      </c>
      <c r="GR24" s="100">
        <f t="shared" si="212"/>
        <v>66.747324336900888</v>
      </c>
      <c r="GS24" s="98">
        <f t="shared" si="213"/>
        <v>2535</v>
      </c>
      <c r="GT24" s="98">
        <f t="shared" si="213"/>
        <v>2536</v>
      </c>
      <c r="GU24" s="98">
        <f t="shared" si="213"/>
        <v>5071</v>
      </c>
      <c r="GV24" s="101">
        <v>1544</v>
      </c>
      <c r="GW24" s="101">
        <v>1826</v>
      </c>
      <c r="GX24" s="98">
        <f t="shared" si="214"/>
        <v>3370</v>
      </c>
      <c r="GY24" s="100">
        <f t="shared" si="244"/>
        <v>60.907297830374752</v>
      </c>
      <c r="GZ24" s="100">
        <f t="shared" si="215"/>
        <v>72.003154574132495</v>
      </c>
      <c r="HA24" s="100">
        <f t="shared" si="215"/>
        <v>66.456320252415694</v>
      </c>
      <c r="HB24" s="98">
        <f t="shared" si="167"/>
        <v>6553</v>
      </c>
      <c r="HC24" s="98">
        <f t="shared" si="168"/>
        <v>6404</v>
      </c>
      <c r="HD24" s="98">
        <f t="shared" si="169"/>
        <v>12957</v>
      </c>
      <c r="HE24" s="101">
        <v>4291</v>
      </c>
      <c r="HF24" s="101">
        <v>5062</v>
      </c>
      <c r="HG24" s="98">
        <f t="shared" si="410"/>
        <v>9353</v>
      </c>
      <c r="HH24" s="100">
        <f t="shared" si="411"/>
        <v>65.48145887379826</v>
      </c>
      <c r="HI24" s="100">
        <f t="shared" si="412"/>
        <v>79.044347282948152</v>
      </c>
      <c r="HJ24" s="100">
        <f t="shared" si="413"/>
        <v>72.184919348614642</v>
      </c>
    </row>
    <row r="25" spans="1:219">
      <c r="A25" s="420">
        <v>17</v>
      </c>
      <c r="B25" s="118" t="s">
        <v>151</v>
      </c>
      <c r="C25" s="96">
        <v>70946</v>
      </c>
      <c r="D25" s="96">
        <v>62136</v>
      </c>
      <c r="E25" s="96">
        <f t="shared" si="176"/>
        <v>133082</v>
      </c>
      <c r="F25" s="96">
        <v>45831</v>
      </c>
      <c r="G25" s="96">
        <v>41360</v>
      </c>
      <c r="H25" s="96">
        <f t="shared" si="177"/>
        <v>87191</v>
      </c>
      <c r="I25" s="104"/>
      <c r="J25" s="104"/>
      <c r="K25" s="104"/>
      <c r="L25" s="97">
        <f t="shared" si="319"/>
        <v>45831</v>
      </c>
      <c r="M25" s="98">
        <f t="shared" si="319"/>
        <v>41360</v>
      </c>
      <c r="N25" s="98">
        <f t="shared" si="319"/>
        <v>87191</v>
      </c>
      <c r="O25" s="116">
        <f t="shared" si="178"/>
        <v>0.64599836495362672</v>
      </c>
      <c r="P25" s="116">
        <f t="shared" si="178"/>
        <v>0.6656366679541651</v>
      </c>
      <c r="Q25" s="116">
        <f t="shared" si="178"/>
        <v>0.65516749072000724</v>
      </c>
      <c r="R25" s="96">
        <v>99207</v>
      </c>
      <c r="S25" s="96">
        <v>67724</v>
      </c>
      <c r="T25" s="96">
        <f t="shared" si="417"/>
        <v>166931</v>
      </c>
      <c r="U25" s="96">
        <v>43253</v>
      </c>
      <c r="V25" s="96">
        <v>33633</v>
      </c>
      <c r="W25" s="96">
        <f t="shared" si="418"/>
        <v>76886</v>
      </c>
      <c r="X25" s="104"/>
      <c r="Y25" s="104"/>
      <c r="Z25" s="104"/>
      <c r="AA25" s="97">
        <f t="shared" si="320"/>
        <v>43253</v>
      </c>
      <c r="AB25" s="98">
        <f t="shared" si="321"/>
        <v>33633</v>
      </c>
      <c r="AC25" s="98">
        <f t="shared" si="322"/>
        <v>76886</v>
      </c>
      <c r="AD25" s="116">
        <f t="shared" si="380"/>
        <v>0.43598737992278769</v>
      </c>
      <c r="AE25" s="116">
        <f t="shared" si="381"/>
        <v>0.49661862855117833</v>
      </c>
      <c r="AF25" s="116">
        <f t="shared" si="382"/>
        <v>0.46058551137895298</v>
      </c>
      <c r="AG25" s="98">
        <f t="shared" si="179"/>
        <v>170153</v>
      </c>
      <c r="AH25" s="98">
        <f t="shared" si="109"/>
        <v>129860</v>
      </c>
      <c r="AI25" s="98">
        <f t="shared" si="109"/>
        <v>300013</v>
      </c>
      <c r="AJ25" s="98">
        <f t="shared" si="109"/>
        <v>89084</v>
      </c>
      <c r="AK25" s="98">
        <f t="shared" si="109"/>
        <v>74993</v>
      </c>
      <c r="AL25" s="98">
        <f t="shared" si="109"/>
        <v>164077</v>
      </c>
      <c r="AM25" s="103"/>
      <c r="AN25" s="103"/>
      <c r="AO25" s="103"/>
      <c r="AP25" s="98">
        <f t="shared" si="110"/>
        <v>89084</v>
      </c>
      <c r="AQ25" s="98">
        <f t="shared" si="110"/>
        <v>74993</v>
      </c>
      <c r="AR25" s="98">
        <f t="shared" si="110"/>
        <v>164077</v>
      </c>
      <c r="AS25" s="116">
        <f t="shared" si="180"/>
        <v>0.52355233231268328</v>
      </c>
      <c r="AT25" s="116">
        <f t="shared" si="180"/>
        <v>0.57749114430925608</v>
      </c>
      <c r="AU25" s="116">
        <f t="shared" si="180"/>
        <v>0.54689963434917821</v>
      </c>
      <c r="AV25" s="403"/>
      <c r="AW25" s="403"/>
      <c r="AX25" s="403"/>
      <c r="AY25" s="403"/>
      <c r="AZ25" s="403"/>
      <c r="BA25" s="403"/>
      <c r="BB25" s="403"/>
      <c r="BC25" s="403"/>
      <c r="BD25" s="403"/>
      <c r="BE25" s="404"/>
      <c r="BF25" s="404"/>
      <c r="BG25" s="404"/>
      <c r="BH25" s="405"/>
      <c r="BI25" s="405"/>
      <c r="BJ25" s="405"/>
      <c r="BK25" s="403"/>
      <c r="BL25" s="403"/>
      <c r="BM25" s="403"/>
      <c r="BN25" s="403"/>
      <c r="BO25" s="403"/>
      <c r="BP25" s="403"/>
      <c r="BQ25" s="403"/>
      <c r="BR25" s="403"/>
      <c r="BS25" s="403"/>
      <c r="BT25" s="404"/>
      <c r="BU25" s="404"/>
      <c r="BV25" s="404"/>
      <c r="BW25" s="405"/>
      <c r="BX25" s="405"/>
      <c r="BY25" s="405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12"/>
      <c r="CM25" s="112"/>
      <c r="CN25" s="112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4"/>
      <c r="DN25" s="404"/>
      <c r="DO25" s="404"/>
      <c r="DP25" s="405"/>
      <c r="DQ25" s="405"/>
      <c r="DR25" s="405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12"/>
      <c r="EF25" s="112"/>
      <c r="EG25" s="112"/>
      <c r="EH25" s="403"/>
      <c r="EI25" s="403"/>
      <c r="EJ25" s="403"/>
      <c r="EK25" s="403"/>
      <c r="EL25" s="403"/>
      <c r="EM25" s="403"/>
      <c r="EN25" s="104"/>
      <c r="EO25" s="104"/>
      <c r="EP25" s="104"/>
      <c r="EQ25" s="404"/>
      <c r="ER25" s="404"/>
      <c r="ES25" s="404"/>
      <c r="ET25" s="405"/>
      <c r="EU25" s="405"/>
      <c r="EV25" s="405"/>
      <c r="EW25" s="403"/>
      <c r="EX25" s="403"/>
      <c r="EY25" s="403"/>
      <c r="EZ25" s="403"/>
      <c r="FA25" s="403"/>
      <c r="FB25" s="403"/>
      <c r="FC25" s="403"/>
      <c r="FD25" s="403"/>
      <c r="FE25" s="403"/>
      <c r="FF25" s="404"/>
      <c r="FG25" s="404"/>
      <c r="FH25" s="404"/>
      <c r="FI25" s="405"/>
      <c r="FJ25" s="405"/>
      <c r="FK25" s="405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12"/>
      <c r="FY25" s="112"/>
      <c r="FZ25" s="112"/>
      <c r="GA25" s="98">
        <f t="shared" si="207"/>
        <v>89084</v>
      </c>
      <c r="GB25" s="98">
        <f t="shared" si="207"/>
        <v>74993</v>
      </c>
      <c r="GC25" s="98">
        <f t="shared" si="207"/>
        <v>164077</v>
      </c>
      <c r="GD25" s="101">
        <v>22845</v>
      </c>
      <c r="GE25" s="101">
        <v>22238</v>
      </c>
      <c r="GF25" s="101">
        <f t="shared" si="208"/>
        <v>45083</v>
      </c>
      <c r="GG25" s="100">
        <f t="shared" si="209"/>
        <v>25.644335683175431</v>
      </c>
      <c r="GH25" s="100">
        <f t="shared" si="209"/>
        <v>29.653434320536583</v>
      </c>
      <c r="GI25" s="100">
        <f t="shared" si="209"/>
        <v>27.476733484888193</v>
      </c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404"/>
      <c r="HC25" s="404"/>
      <c r="HD25" s="404"/>
      <c r="HE25" s="103"/>
      <c r="HF25" s="103"/>
      <c r="HG25" s="103"/>
      <c r="HH25" s="103"/>
      <c r="HI25" s="103"/>
      <c r="HJ25" s="103"/>
    </row>
    <row r="26" spans="1:219" ht="28.5">
      <c r="A26" s="420">
        <v>18</v>
      </c>
      <c r="B26" s="118" t="s">
        <v>152</v>
      </c>
      <c r="C26" s="96">
        <v>169980</v>
      </c>
      <c r="D26" s="96">
        <v>184791</v>
      </c>
      <c r="E26" s="96">
        <f t="shared" si="176"/>
        <v>354771</v>
      </c>
      <c r="F26" s="96">
        <v>112937</v>
      </c>
      <c r="G26" s="96">
        <v>113867</v>
      </c>
      <c r="H26" s="96">
        <f t="shared" si="177"/>
        <v>226804</v>
      </c>
      <c r="I26" s="96">
        <v>4722</v>
      </c>
      <c r="J26" s="96">
        <v>8132</v>
      </c>
      <c r="K26" s="96">
        <f t="shared" si="416"/>
        <v>12854</v>
      </c>
      <c r="L26" s="97">
        <f t="shared" si="319"/>
        <v>117659</v>
      </c>
      <c r="M26" s="98">
        <f t="shared" si="319"/>
        <v>121999</v>
      </c>
      <c r="N26" s="98">
        <f t="shared" si="319"/>
        <v>239658</v>
      </c>
      <c r="O26" s="116">
        <f t="shared" si="178"/>
        <v>0.69219319919990585</v>
      </c>
      <c r="P26" s="116">
        <f t="shared" si="178"/>
        <v>0.6601999015103549</v>
      </c>
      <c r="Q26" s="116">
        <f t="shared" si="178"/>
        <v>0.67552872134419106</v>
      </c>
      <c r="R26" s="96">
        <v>38144</v>
      </c>
      <c r="S26" s="96">
        <v>34727</v>
      </c>
      <c r="T26" s="96">
        <f t="shared" si="417"/>
        <v>72871</v>
      </c>
      <c r="U26" s="96">
        <v>15667</v>
      </c>
      <c r="V26" s="96">
        <v>12027</v>
      </c>
      <c r="W26" s="96">
        <f t="shared" si="418"/>
        <v>27694</v>
      </c>
      <c r="X26" s="96">
        <v>1845</v>
      </c>
      <c r="Y26" s="96">
        <v>2039</v>
      </c>
      <c r="Z26" s="96">
        <f t="shared" ref="Z26:Z27" si="439">X26+Y26</f>
        <v>3884</v>
      </c>
      <c r="AA26" s="97">
        <f t="shared" si="320"/>
        <v>17512</v>
      </c>
      <c r="AB26" s="98">
        <f t="shared" si="321"/>
        <v>14066</v>
      </c>
      <c r="AC26" s="98">
        <f t="shared" si="322"/>
        <v>31578</v>
      </c>
      <c r="AD26" s="116">
        <f t="shared" si="380"/>
        <v>0.45910234899328861</v>
      </c>
      <c r="AE26" s="116">
        <f t="shared" si="381"/>
        <v>0.40504506579894606</v>
      </c>
      <c r="AF26" s="116">
        <f t="shared" si="382"/>
        <v>0.4333411096320896</v>
      </c>
      <c r="AG26" s="98">
        <f t="shared" si="179"/>
        <v>208124</v>
      </c>
      <c r="AH26" s="98">
        <f t="shared" si="109"/>
        <v>219518</v>
      </c>
      <c r="AI26" s="98">
        <f t="shared" si="109"/>
        <v>427642</v>
      </c>
      <c r="AJ26" s="98">
        <f t="shared" si="109"/>
        <v>128604</v>
      </c>
      <c r="AK26" s="98">
        <f t="shared" si="109"/>
        <v>125894</v>
      </c>
      <c r="AL26" s="98">
        <f t="shared" si="109"/>
        <v>254498</v>
      </c>
      <c r="AM26" s="103"/>
      <c r="AN26" s="103"/>
      <c r="AO26" s="103"/>
      <c r="AP26" s="98">
        <f t="shared" si="110"/>
        <v>135171</v>
      </c>
      <c r="AQ26" s="98">
        <f t="shared" si="110"/>
        <v>136065</v>
      </c>
      <c r="AR26" s="98">
        <f t="shared" si="110"/>
        <v>271236</v>
      </c>
      <c r="AS26" s="116">
        <f t="shared" si="180"/>
        <v>0.64947339086313927</v>
      </c>
      <c r="AT26" s="116">
        <f t="shared" si="180"/>
        <v>0.61983527546715989</v>
      </c>
      <c r="AU26" s="116">
        <f t="shared" si="180"/>
        <v>0.63425949743009336</v>
      </c>
      <c r="AV26" s="96">
        <v>20454</v>
      </c>
      <c r="AW26" s="96">
        <v>21145</v>
      </c>
      <c r="AX26" s="96">
        <f t="shared" si="420"/>
        <v>41599</v>
      </c>
      <c r="AY26" s="96">
        <v>12114</v>
      </c>
      <c r="AZ26" s="96">
        <v>10745</v>
      </c>
      <c r="BA26" s="96">
        <f t="shared" si="421"/>
        <v>22859</v>
      </c>
      <c r="BB26" s="96">
        <v>442</v>
      </c>
      <c r="BC26" s="96">
        <v>926</v>
      </c>
      <c r="BD26" s="96">
        <f t="shared" ref="BD26:BD27" si="440">BB26+BC26</f>
        <v>1368</v>
      </c>
      <c r="BE26" s="97">
        <f t="shared" si="325"/>
        <v>12556</v>
      </c>
      <c r="BF26" s="98">
        <f t="shared" si="326"/>
        <v>11671</v>
      </c>
      <c r="BG26" s="98">
        <f t="shared" si="327"/>
        <v>24227</v>
      </c>
      <c r="BH26" s="116">
        <f t="shared" si="384"/>
        <v>0.613865258629119</v>
      </c>
      <c r="BI26" s="116">
        <f t="shared" si="385"/>
        <v>0.55195081579569638</v>
      </c>
      <c r="BJ26" s="116">
        <f t="shared" si="361"/>
        <v>0.5823938075434506</v>
      </c>
      <c r="BK26" s="96">
        <v>5150</v>
      </c>
      <c r="BL26" s="96">
        <v>4999</v>
      </c>
      <c r="BM26" s="96">
        <f t="shared" si="423"/>
        <v>10149</v>
      </c>
      <c r="BN26" s="96">
        <v>1834</v>
      </c>
      <c r="BO26" s="96">
        <v>1379</v>
      </c>
      <c r="BP26" s="96">
        <f t="shared" si="424"/>
        <v>3213</v>
      </c>
      <c r="BQ26" s="96">
        <v>230</v>
      </c>
      <c r="BR26" s="96">
        <v>264</v>
      </c>
      <c r="BS26" s="96">
        <f t="shared" ref="BS26:BS27" si="441">BQ26+BR26</f>
        <v>494</v>
      </c>
      <c r="BT26" s="97">
        <f t="shared" si="328"/>
        <v>2064</v>
      </c>
      <c r="BU26" s="98">
        <f t="shared" si="329"/>
        <v>1643</v>
      </c>
      <c r="BV26" s="98">
        <f t="shared" si="330"/>
        <v>3707</v>
      </c>
      <c r="BW26" s="116">
        <f t="shared" si="386"/>
        <v>0.40077669902912622</v>
      </c>
      <c r="BX26" s="116">
        <f t="shared" si="387"/>
        <v>0.32866573314662934</v>
      </c>
      <c r="BY26" s="116">
        <f t="shared" si="388"/>
        <v>0.36525766085328604</v>
      </c>
      <c r="BZ26" s="98">
        <f t="shared" si="186"/>
        <v>25604</v>
      </c>
      <c r="CA26" s="98">
        <f t="shared" si="186"/>
        <v>26144</v>
      </c>
      <c r="CB26" s="98">
        <f t="shared" si="186"/>
        <v>51748</v>
      </c>
      <c r="CC26" s="98">
        <f t="shared" si="186"/>
        <v>13948</v>
      </c>
      <c r="CD26" s="98">
        <f t="shared" si="186"/>
        <v>12124</v>
      </c>
      <c r="CE26" s="98">
        <f t="shared" si="186"/>
        <v>26072</v>
      </c>
      <c r="CF26" s="98">
        <f t="shared" ref="CF26" si="442">BB26+BQ26</f>
        <v>672</v>
      </c>
      <c r="CG26" s="98">
        <f t="shared" ref="CG26" si="443">BC26+BR26</f>
        <v>1190</v>
      </c>
      <c r="CH26" s="98">
        <f t="shared" ref="CH26" si="444">BD26+BS26</f>
        <v>1862</v>
      </c>
      <c r="CI26" s="98">
        <f t="shared" si="331"/>
        <v>14620</v>
      </c>
      <c r="CJ26" s="98">
        <f t="shared" si="438"/>
        <v>13314</v>
      </c>
      <c r="CK26" s="98">
        <f t="shared" si="438"/>
        <v>27934</v>
      </c>
      <c r="CL26" s="116">
        <f t="shared" si="389"/>
        <v>0.57100453054210276</v>
      </c>
      <c r="CM26" s="116">
        <f t="shared" si="187"/>
        <v>0.50925642594859244</v>
      </c>
      <c r="CN26" s="116">
        <f t="shared" si="187"/>
        <v>0.53980830177011674</v>
      </c>
      <c r="CO26" s="96">
        <v>37831</v>
      </c>
      <c r="CP26" s="96">
        <v>42660</v>
      </c>
      <c r="CQ26" s="96">
        <f t="shared" si="426"/>
        <v>80491</v>
      </c>
      <c r="CR26" s="96">
        <v>23438</v>
      </c>
      <c r="CS26" s="96">
        <v>24363</v>
      </c>
      <c r="CT26" s="96">
        <f t="shared" si="427"/>
        <v>47801</v>
      </c>
      <c r="CU26" s="96">
        <v>902</v>
      </c>
      <c r="CV26" s="96">
        <v>1645</v>
      </c>
      <c r="CW26" s="96">
        <f t="shared" ref="CW26:CW27" si="445">CU26+CV26</f>
        <v>2547</v>
      </c>
      <c r="CX26" s="97">
        <f t="shared" si="332"/>
        <v>24340</v>
      </c>
      <c r="CY26" s="98">
        <f t="shared" si="333"/>
        <v>26008</v>
      </c>
      <c r="CZ26" s="98">
        <f t="shared" si="334"/>
        <v>50348</v>
      </c>
      <c r="DA26" s="116">
        <f t="shared" si="390"/>
        <v>0.64338769791969552</v>
      </c>
      <c r="DB26" s="116">
        <f t="shared" si="391"/>
        <v>0.60965775902484765</v>
      </c>
      <c r="DC26" s="116">
        <f t="shared" si="362"/>
        <v>0.62551092668745578</v>
      </c>
      <c r="DD26" s="96">
        <v>10880</v>
      </c>
      <c r="DE26" s="96">
        <v>10961</v>
      </c>
      <c r="DF26" s="96">
        <f t="shared" si="429"/>
        <v>21841</v>
      </c>
      <c r="DG26" s="96">
        <v>4184</v>
      </c>
      <c r="DH26" s="96">
        <v>3519</v>
      </c>
      <c r="DI26" s="96">
        <f t="shared" si="430"/>
        <v>7703</v>
      </c>
      <c r="DJ26" s="96">
        <v>465</v>
      </c>
      <c r="DK26" s="96">
        <v>606</v>
      </c>
      <c r="DL26" s="96">
        <f t="shared" ref="DL26:DL27" si="446">DJ26+DK26</f>
        <v>1071</v>
      </c>
      <c r="DM26" s="97">
        <f t="shared" si="335"/>
        <v>4649</v>
      </c>
      <c r="DN26" s="98">
        <f t="shared" si="336"/>
        <v>4125</v>
      </c>
      <c r="DO26" s="98">
        <f t="shared" si="337"/>
        <v>8774</v>
      </c>
      <c r="DP26" s="116">
        <f t="shared" si="392"/>
        <v>0.42729779411764707</v>
      </c>
      <c r="DQ26" s="116">
        <f t="shared" si="393"/>
        <v>0.37633427606970166</v>
      </c>
      <c r="DR26" s="116">
        <f t="shared" si="363"/>
        <v>0.40172153289684537</v>
      </c>
      <c r="DS26" s="98">
        <f t="shared" si="125"/>
        <v>48711</v>
      </c>
      <c r="DT26" s="98">
        <f t="shared" si="125"/>
        <v>53621</v>
      </c>
      <c r="DU26" s="98">
        <f t="shared" si="125"/>
        <v>102332</v>
      </c>
      <c r="DV26" s="98">
        <f t="shared" si="125"/>
        <v>27622</v>
      </c>
      <c r="DW26" s="98">
        <f t="shared" si="125"/>
        <v>27882</v>
      </c>
      <c r="DX26" s="98">
        <f t="shared" si="125"/>
        <v>55504</v>
      </c>
      <c r="DY26" s="98">
        <f t="shared" ref="DY26" si="447">CU26+DJ26</f>
        <v>1367</v>
      </c>
      <c r="DZ26" s="98">
        <f t="shared" ref="DZ26" si="448">CV26+DK26</f>
        <v>2251</v>
      </c>
      <c r="EA26" s="98">
        <f t="shared" ref="EA26" si="449">CW26+DL26</f>
        <v>3618</v>
      </c>
      <c r="EB26" s="98">
        <f t="shared" si="192"/>
        <v>28989</v>
      </c>
      <c r="EC26" s="98">
        <f t="shared" si="192"/>
        <v>30133</v>
      </c>
      <c r="ED26" s="98">
        <f t="shared" si="192"/>
        <v>59122</v>
      </c>
      <c r="EE26" s="116">
        <f t="shared" si="394"/>
        <v>0.59512225164747179</v>
      </c>
      <c r="EF26" s="116">
        <f t="shared" si="193"/>
        <v>0.56196266388168814</v>
      </c>
      <c r="EG26" s="116">
        <f t="shared" si="193"/>
        <v>0.57774694132822579</v>
      </c>
      <c r="EH26" s="96">
        <v>93680</v>
      </c>
      <c r="EI26" s="96">
        <v>102924</v>
      </c>
      <c r="EJ26" s="96">
        <f t="shared" si="432"/>
        <v>196604</v>
      </c>
      <c r="EK26" s="96">
        <v>64836</v>
      </c>
      <c r="EL26" s="96">
        <v>65859</v>
      </c>
      <c r="EM26" s="96">
        <f t="shared" si="433"/>
        <v>130695</v>
      </c>
      <c r="EN26" s="96">
        <v>2687</v>
      </c>
      <c r="EO26" s="96">
        <v>4729</v>
      </c>
      <c r="EP26" s="96">
        <f t="shared" ref="EP26:EP27" si="450">EN26+EO26</f>
        <v>7416</v>
      </c>
      <c r="EQ26" s="97">
        <f t="shared" si="339"/>
        <v>67523</v>
      </c>
      <c r="ER26" s="98">
        <f t="shared" si="340"/>
        <v>70588</v>
      </c>
      <c r="ES26" s="98">
        <f t="shared" si="341"/>
        <v>138111</v>
      </c>
      <c r="ET26" s="116">
        <f t="shared" si="395"/>
        <v>0.7207835183603758</v>
      </c>
      <c r="EU26" s="116">
        <f t="shared" si="396"/>
        <v>0.68582643503944662</v>
      </c>
      <c r="EV26" s="116">
        <f t="shared" si="365"/>
        <v>0.70248316412687428</v>
      </c>
      <c r="EW26" s="96">
        <v>16928</v>
      </c>
      <c r="EX26" s="96">
        <v>15367</v>
      </c>
      <c r="EY26" s="96">
        <f t="shared" si="435"/>
        <v>32295</v>
      </c>
      <c r="EZ26" s="96">
        <v>7552</v>
      </c>
      <c r="FA26" s="96">
        <v>5797</v>
      </c>
      <c r="FB26" s="96">
        <f t="shared" si="436"/>
        <v>13349</v>
      </c>
      <c r="FC26" s="96">
        <v>831</v>
      </c>
      <c r="FD26" s="96">
        <v>915</v>
      </c>
      <c r="FE26" s="96">
        <f t="shared" ref="FE26:FE27" si="451">FC26+FD26</f>
        <v>1746</v>
      </c>
      <c r="FF26" s="97">
        <f t="shared" si="342"/>
        <v>8383</v>
      </c>
      <c r="FG26" s="98">
        <f t="shared" si="343"/>
        <v>6712</v>
      </c>
      <c r="FH26" s="98">
        <f t="shared" si="344"/>
        <v>15095</v>
      </c>
      <c r="FI26" s="116">
        <f t="shared" si="397"/>
        <v>0.4952150283553875</v>
      </c>
      <c r="FJ26" s="116">
        <f t="shared" si="398"/>
        <v>0.43678011322964794</v>
      </c>
      <c r="FK26" s="116">
        <f t="shared" si="366"/>
        <v>0.4674098157609537</v>
      </c>
      <c r="FL26" s="98">
        <f t="shared" ref="FL26:FL42" si="452">EH26+EW26</f>
        <v>110608</v>
      </c>
      <c r="FM26" s="98">
        <f t="shared" ref="FM26:FM43" si="453">EI26+EX26</f>
        <v>118291</v>
      </c>
      <c r="FN26" s="98">
        <f t="shared" ref="FN26:FN43" si="454">EJ26+EY26</f>
        <v>228899</v>
      </c>
      <c r="FO26" s="98">
        <f t="shared" ref="FO26:FP43" si="455">EK26+EZ26</f>
        <v>72388</v>
      </c>
      <c r="FP26" s="98">
        <f t="shared" ref="FP26:FP43" si="456">EL26+FA26</f>
        <v>71656</v>
      </c>
      <c r="FQ26" s="98">
        <f t="shared" ref="FQ26:FQ43" si="457">EM26+FB26</f>
        <v>144044</v>
      </c>
      <c r="FR26" s="98">
        <f t="shared" ref="FR26" si="458">EN26+FC26</f>
        <v>3518</v>
      </c>
      <c r="FS26" s="98">
        <f t="shared" ref="FS26" si="459">EO26+FD26</f>
        <v>5644</v>
      </c>
      <c r="FT26" s="98">
        <f t="shared" ref="FT26" si="460">EP26+FE26</f>
        <v>9162</v>
      </c>
      <c r="FU26" s="98">
        <f t="shared" ref="FU26:FU38" si="461">EQ26+FF26</f>
        <v>75906</v>
      </c>
      <c r="FV26" s="98">
        <f t="shared" ref="FV26:FV38" si="462">ER26+FG26</f>
        <v>77300</v>
      </c>
      <c r="FW26" s="98">
        <f t="shared" ref="FW26:FW38" si="463">ES26+FH26</f>
        <v>153206</v>
      </c>
      <c r="FX26" s="116">
        <f t="shared" ref="FX26:FX27" si="464">FU26/FL26</f>
        <v>0.68626139158107913</v>
      </c>
      <c r="FY26" s="116">
        <f t="shared" ref="FY26:FY27" si="465">FV26/FM26</f>
        <v>0.65347321436119399</v>
      </c>
      <c r="FZ26" s="116">
        <f t="shared" ref="FZ26:FZ28" si="466">FW26/FN26</f>
        <v>0.66931703502418094</v>
      </c>
      <c r="GA26" s="98">
        <f t="shared" si="207"/>
        <v>135171</v>
      </c>
      <c r="GB26" s="98">
        <f t="shared" si="207"/>
        <v>136065</v>
      </c>
      <c r="GC26" s="98">
        <f t="shared" si="207"/>
        <v>271236</v>
      </c>
      <c r="GD26" s="98">
        <v>17661</v>
      </c>
      <c r="GE26" s="98">
        <v>15537</v>
      </c>
      <c r="GF26" s="98">
        <f t="shared" si="208"/>
        <v>33198</v>
      </c>
      <c r="GG26" s="100">
        <f t="shared" si="209"/>
        <v>13.065672370552855</v>
      </c>
      <c r="GH26" s="100">
        <f t="shared" si="209"/>
        <v>11.418807187741153</v>
      </c>
      <c r="GI26" s="100">
        <f t="shared" si="209"/>
        <v>12.239525726673451</v>
      </c>
      <c r="GJ26" s="98">
        <f t="shared" si="210"/>
        <v>14620</v>
      </c>
      <c r="GK26" s="98">
        <f t="shared" si="210"/>
        <v>13314</v>
      </c>
      <c r="GL26" s="98">
        <f t="shared" si="210"/>
        <v>27934</v>
      </c>
      <c r="GM26" s="98">
        <v>1292</v>
      </c>
      <c r="GN26" s="98">
        <v>874</v>
      </c>
      <c r="GO26" s="98">
        <f t="shared" si="211"/>
        <v>2166</v>
      </c>
      <c r="GP26" s="100">
        <f t="shared" si="212"/>
        <v>8.8372093023255811</v>
      </c>
      <c r="GQ26" s="100">
        <f t="shared" si="212"/>
        <v>6.5645185519002558</v>
      </c>
      <c r="GR26" s="100">
        <f t="shared" si="212"/>
        <v>7.7539915515142841</v>
      </c>
      <c r="GS26" s="98">
        <f t="shared" si="213"/>
        <v>28989</v>
      </c>
      <c r="GT26" s="98">
        <f t="shared" si="213"/>
        <v>30133</v>
      </c>
      <c r="GU26" s="98">
        <f t="shared" si="213"/>
        <v>59122</v>
      </c>
      <c r="GV26" s="98">
        <v>2843</v>
      </c>
      <c r="GW26" s="98">
        <v>2528</v>
      </c>
      <c r="GX26" s="98">
        <f t="shared" si="214"/>
        <v>5371</v>
      </c>
      <c r="GY26" s="100">
        <f t="shared" si="244"/>
        <v>9.8071682362275343</v>
      </c>
      <c r="GZ26" s="100">
        <f t="shared" si="215"/>
        <v>8.3894733348820232</v>
      </c>
      <c r="HA26" s="100">
        <f t="shared" si="215"/>
        <v>9.0846047156726772</v>
      </c>
      <c r="HB26" s="98">
        <f t="shared" si="167"/>
        <v>75906</v>
      </c>
      <c r="HC26" s="98">
        <f t="shared" si="168"/>
        <v>77300</v>
      </c>
      <c r="HD26" s="98">
        <f t="shared" si="169"/>
        <v>153206</v>
      </c>
      <c r="HE26" s="98">
        <v>11081</v>
      </c>
      <c r="HF26" s="98">
        <v>9464</v>
      </c>
      <c r="HG26" s="98">
        <f t="shared" ref="HG26:HG27" si="467">HE26+HF26</f>
        <v>20545</v>
      </c>
      <c r="HH26" s="100">
        <f t="shared" ref="HH26:HH27" si="468">+HE26*100/HB26</f>
        <v>14.598318973467183</v>
      </c>
      <c r="HI26" s="100">
        <f t="shared" ref="HI26:HI27" si="469">+HF26*100/HC26</f>
        <v>12.243208279430789</v>
      </c>
      <c r="HJ26" s="100">
        <f t="shared" ref="HJ26:HJ27" si="470">+HG26*100/HD26</f>
        <v>13.410049214782712</v>
      </c>
    </row>
    <row r="27" spans="1:219" ht="28.5">
      <c r="A27" s="420">
        <v>19</v>
      </c>
      <c r="B27" s="118" t="s">
        <v>153</v>
      </c>
      <c r="C27" s="96">
        <v>377865</v>
      </c>
      <c r="D27" s="96">
        <v>366556</v>
      </c>
      <c r="E27" s="96">
        <f t="shared" si="176"/>
        <v>744421</v>
      </c>
      <c r="F27" s="96">
        <v>283712</v>
      </c>
      <c r="G27" s="96">
        <v>299856</v>
      </c>
      <c r="H27" s="96">
        <f t="shared" si="177"/>
        <v>583568</v>
      </c>
      <c r="I27" s="96">
        <v>38864</v>
      </c>
      <c r="J27" s="96">
        <v>29254</v>
      </c>
      <c r="K27" s="96">
        <f t="shared" si="416"/>
        <v>68118</v>
      </c>
      <c r="L27" s="97">
        <f t="shared" si="319"/>
        <v>322576</v>
      </c>
      <c r="M27" s="98">
        <f t="shared" si="319"/>
        <v>329110</v>
      </c>
      <c r="N27" s="98">
        <f t="shared" si="319"/>
        <v>651686</v>
      </c>
      <c r="O27" s="116">
        <f t="shared" si="178"/>
        <v>0.85368054728540621</v>
      </c>
      <c r="P27" s="116">
        <f t="shared" si="178"/>
        <v>0.89784371282969044</v>
      </c>
      <c r="Q27" s="116">
        <f t="shared" si="178"/>
        <v>0.87542667388480444</v>
      </c>
      <c r="R27" s="96">
        <v>18236</v>
      </c>
      <c r="S27" s="96">
        <v>5159</v>
      </c>
      <c r="T27" s="96">
        <f t="shared" si="417"/>
        <v>23395</v>
      </c>
      <c r="U27" s="96">
        <v>557</v>
      </c>
      <c r="V27" s="96">
        <v>252</v>
      </c>
      <c r="W27" s="96">
        <f t="shared" si="418"/>
        <v>809</v>
      </c>
      <c r="X27" s="96">
        <v>1089</v>
      </c>
      <c r="Y27" s="96">
        <v>484</v>
      </c>
      <c r="Z27" s="96">
        <f t="shared" si="439"/>
        <v>1573</v>
      </c>
      <c r="AA27" s="97">
        <f t="shared" si="320"/>
        <v>1646</v>
      </c>
      <c r="AB27" s="98">
        <f t="shared" si="321"/>
        <v>736</v>
      </c>
      <c r="AC27" s="98">
        <f t="shared" si="322"/>
        <v>2382</v>
      </c>
      <c r="AD27" s="116">
        <f t="shared" si="380"/>
        <v>9.026102215398113E-2</v>
      </c>
      <c r="AE27" s="116">
        <f t="shared" si="381"/>
        <v>0.14266330684241132</v>
      </c>
      <c r="AF27" s="116">
        <f t="shared" si="382"/>
        <v>0.10181662748450523</v>
      </c>
      <c r="AG27" s="98">
        <f t="shared" si="179"/>
        <v>396101</v>
      </c>
      <c r="AH27" s="98">
        <f t="shared" si="109"/>
        <v>371715</v>
      </c>
      <c r="AI27" s="98">
        <f t="shared" si="109"/>
        <v>767816</v>
      </c>
      <c r="AJ27" s="98">
        <f t="shared" si="109"/>
        <v>284269</v>
      </c>
      <c r="AK27" s="98">
        <f t="shared" si="109"/>
        <v>300108</v>
      </c>
      <c r="AL27" s="98">
        <f t="shared" si="109"/>
        <v>584377</v>
      </c>
      <c r="AM27" s="98">
        <f t="shared" si="179"/>
        <v>39953</v>
      </c>
      <c r="AN27" s="98">
        <f t="shared" si="224"/>
        <v>29738</v>
      </c>
      <c r="AO27" s="98">
        <f t="shared" si="224"/>
        <v>69691</v>
      </c>
      <c r="AP27" s="98">
        <f t="shared" si="110"/>
        <v>324222</v>
      </c>
      <c r="AQ27" s="98">
        <f t="shared" si="110"/>
        <v>329846</v>
      </c>
      <c r="AR27" s="98">
        <f t="shared" si="110"/>
        <v>654068</v>
      </c>
      <c r="AS27" s="116">
        <f t="shared" si="180"/>
        <v>0.81853365681985146</v>
      </c>
      <c r="AT27" s="116">
        <f t="shared" si="180"/>
        <v>0.88736262997188708</v>
      </c>
      <c r="AU27" s="116">
        <f t="shared" si="180"/>
        <v>0.85185513195869844</v>
      </c>
      <c r="AV27" s="96">
        <v>70891</v>
      </c>
      <c r="AW27" s="96">
        <v>66975</v>
      </c>
      <c r="AX27" s="96">
        <f t="shared" si="420"/>
        <v>137866</v>
      </c>
      <c r="AY27" s="96">
        <v>49448</v>
      </c>
      <c r="AZ27" s="96">
        <v>50294</v>
      </c>
      <c r="BA27" s="96">
        <f t="shared" si="421"/>
        <v>99742</v>
      </c>
      <c r="BB27" s="96">
        <v>8262</v>
      </c>
      <c r="BC27" s="96">
        <v>6709</v>
      </c>
      <c r="BD27" s="96">
        <f t="shared" si="440"/>
        <v>14971</v>
      </c>
      <c r="BE27" s="97">
        <f t="shared" si="325"/>
        <v>57710</v>
      </c>
      <c r="BF27" s="98">
        <f t="shared" si="326"/>
        <v>57003</v>
      </c>
      <c r="BG27" s="98">
        <f t="shared" si="327"/>
        <v>114713</v>
      </c>
      <c r="BH27" s="116">
        <f t="shared" si="384"/>
        <v>0.81406666572625586</v>
      </c>
      <c r="BI27" s="116">
        <f t="shared" si="385"/>
        <v>0.85110862262038078</v>
      </c>
      <c r="BJ27" s="116">
        <f t="shared" si="361"/>
        <v>0.83206156702885414</v>
      </c>
      <c r="BK27" s="96">
        <v>4413</v>
      </c>
      <c r="BL27" s="96">
        <v>1378</v>
      </c>
      <c r="BM27" s="96">
        <f t="shared" si="423"/>
        <v>5791</v>
      </c>
      <c r="BN27" s="96">
        <v>81</v>
      </c>
      <c r="BO27" s="96">
        <v>35</v>
      </c>
      <c r="BP27" s="96">
        <f t="shared" si="424"/>
        <v>116</v>
      </c>
      <c r="BQ27" s="96">
        <v>242</v>
      </c>
      <c r="BR27" s="96">
        <v>96</v>
      </c>
      <c r="BS27" s="96">
        <f t="shared" si="441"/>
        <v>338</v>
      </c>
      <c r="BT27" s="97">
        <f t="shared" si="328"/>
        <v>323</v>
      </c>
      <c r="BU27" s="98">
        <f t="shared" si="329"/>
        <v>131</v>
      </c>
      <c r="BV27" s="98">
        <f t="shared" si="330"/>
        <v>454</v>
      </c>
      <c r="BW27" s="116">
        <f t="shared" si="386"/>
        <v>7.3192839338318605E-2</v>
      </c>
      <c r="BX27" s="116">
        <f t="shared" si="387"/>
        <v>9.5065312046444125E-2</v>
      </c>
      <c r="BY27" s="116">
        <f t="shared" si="388"/>
        <v>7.8397513382835432E-2</v>
      </c>
      <c r="BZ27" s="98">
        <f t="shared" si="186"/>
        <v>75304</v>
      </c>
      <c r="CA27" s="98">
        <f t="shared" si="186"/>
        <v>68353</v>
      </c>
      <c r="CB27" s="98">
        <f t="shared" si="186"/>
        <v>143657</v>
      </c>
      <c r="CC27" s="98">
        <f t="shared" si="186"/>
        <v>49529</v>
      </c>
      <c r="CD27" s="98">
        <f t="shared" si="186"/>
        <v>50329</v>
      </c>
      <c r="CE27" s="98">
        <f t="shared" si="186"/>
        <v>99858</v>
      </c>
      <c r="CF27" s="98">
        <f t="shared" si="331"/>
        <v>8504</v>
      </c>
      <c r="CG27" s="98">
        <f t="shared" si="331"/>
        <v>6805</v>
      </c>
      <c r="CH27" s="98">
        <f t="shared" si="331"/>
        <v>15309</v>
      </c>
      <c r="CI27" s="98">
        <f t="shared" si="331"/>
        <v>58033</v>
      </c>
      <c r="CJ27" s="98">
        <f t="shared" si="438"/>
        <v>57134</v>
      </c>
      <c r="CK27" s="98">
        <f t="shared" si="438"/>
        <v>115167</v>
      </c>
      <c r="CL27" s="116">
        <f t="shared" si="389"/>
        <v>0.770649633485605</v>
      </c>
      <c r="CM27" s="116">
        <f t="shared" si="187"/>
        <v>0.83586675054496506</v>
      </c>
      <c r="CN27" s="116">
        <f t="shared" si="187"/>
        <v>0.80168039148805836</v>
      </c>
      <c r="CO27" s="96">
        <v>26583</v>
      </c>
      <c r="CP27" s="96">
        <v>25049</v>
      </c>
      <c r="CQ27" s="96">
        <f t="shared" si="426"/>
        <v>51632</v>
      </c>
      <c r="CR27" s="96">
        <v>18940</v>
      </c>
      <c r="CS27" s="96">
        <v>19490</v>
      </c>
      <c r="CT27" s="96">
        <f t="shared" si="427"/>
        <v>38430</v>
      </c>
      <c r="CU27" s="96">
        <v>2873</v>
      </c>
      <c r="CV27" s="96">
        <v>2243</v>
      </c>
      <c r="CW27" s="96">
        <f t="shared" si="445"/>
        <v>5116</v>
      </c>
      <c r="CX27" s="97">
        <f t="shared" si="332"/>
        <v>21813</v>
      </c>
      <c r="CY27" s="98">
        <f t="shared" si="333"/>
        <v>21733</v>
      </c>
      <c r="CZ27" s="98">
        <f t="shared" si="334"/>
        <v>43546</v>
      </c>
      <c r="DA27" s="116">
        <f t="shared" si="390"/>
        <v>0.82056201331678136</v>
      </c>
      <c r="DB27" s="116">
        <f t="shared" si="391"/>
        <v>0.86761946584694005</v>
      </c>
      <c r="DC27" s="116">
        <f t="shared" si="362"/>
        <v>0.84339169507282308</v>
      </c>
      <c r="DD27" s="96">
        <v>1308</v>
      </c>
      <c r="DE27" s="96">
        <v>380</v>
      </c>
      <c r="DF27" s="96">
        <f t="shared" si="429"/>
        <v>1688</v>
      </c>
      <c r="DG27" s="96">
        <v>28</v>
      </c>
      <c r="DH27" s="96">
        <v>8</v>
      </c>
      <c r="DI27" s="96">
        <f t="shared" si="430"/>
        <v>36</v>
      </c>
      <c r="DJ27" s="96">
        <v>80</v>
      </c>
      <c r="DK27" s="96">
        <v>35</v>
      </c>
      <c r="DL27" s="96">
        <f t="shared" si="446"/>
        <v>115</v>
      </c>
      <c r="DM27" s="97">
        <f t="shared" si="335"/>
        <v>108</v>
      </c>
      <c r="DN27" s="98">
        <f t="shared" si="336"/>
        <v>43</v>
      </c>
      <c r="DO27" s="98">
        <f t="shared" si="337"/>
        <v>151</v>
      </c>
      <c r="DP27" s="116">
        <f t="shared" si="392"/>
        <v>8.2568807339449546E-2</v>
      </c>
      <c r="DQ27" s="116">
        <f t="shared" si="393"/>
        <v>0.11315789473684211</v>
      </c>
      <c r="DR27" s="116">
        <f t="shared" si="363"/>
        <v>8.9454976303317529E-2</v>
      </c>
      <c r="DS27" s="98">
        <f t="shared" si="125"/>
        <v>27891</v>
      </c>
      <c r="DT27" s="98">
        <f t="shared" si="125"/>
        <v>25429</v>
      </c>
      <c r="DU27" s="98">
        <f t="shared" si="125"/>
        <v>53320</v>
      </c>
      <c r="DV27" s="98">
        <f t="shared" si="125"/>
        <v>18968</v>
      </c>
      <c r="DW27" s="98">
        <f t="shared" si="125"/>
        <v>19498</v>
      </c>
      <c r="DX27" s="98">
        <f t="shared" si="125"/>
        <v>38466</v>
      </c>
      <c r="DY27" s="98">
        <f t="shared" si="364"/>
        <v>2953</v>
      </c>
      <c r="DZ27" s="98">
        <f t="shared" si="364"/>
        <v>2278</v>
      </c>
      <c r="EA27" s="98">
        <f t="shared" si="364"/>
        <v>5231</v>
      </c>
      <c r="EB27" s="98">
        <f t="shared" si="192"/>
        <v>21921</v>
      </c>
      <c r="EC27" s="98">
        <f t="shared" si="192"/>
        <v>21776</v>
      </c>
      <c r="ED27" s="98">
        <f t="shared" si="192"/>
        <v>43697</v>
      </c>
      <c r="EE27" s="116">
        <f t="shared" si="394"/>
        <v>0.78595245778208023</v>
      </c>
      <c r="EF27" s="116">
        <f t="shared" si="193"/>
        <v>0.85634511777891387</v>
      </c>
      <c r="EG27" s="116">
        <f t="shared" si="193"/>
        <v>0.81952363090772695</v>
      </c>
      <c r="EH27" s="96">
        <v>252075</v>
      </c>
      <c r="EI27" s="96">
        <v>249347</v>
      </c>
      <c r="EJ27" s="96">
        <f t="shared" si="432"/>
        <v>501422</v>
      </c>
      <c r="EK27" s="96">
        <v>193147</v>
      </c>
      <c r="EL27" s="96">
        <v>208460</v>
      </c>
      <c r="EM27" s="96">
        <f t="shared" si="433"/>
        <v>401607</v>
      </c>
      <c r="EN27" s="96">
        <v>25113</v>
      </c>
      <c r="EO27" s="96">
        <v>18747</v>
      </c>
      <c r="EP27" s="96">
        <f t="shared" si="450"/>
        <v>43860</v>
      </c>
      <c r="EQ27" s="97">
        <f t="shared" si="339"/>
        <v>218260</v>
      </c>
      <c r="ER27" s="98">
        <f t="shared" si="340"/>
        <v>227207</v>
      </c>
      <c r="ES27" s="98">
        <f t="shared" si="341"/>
        <v>445467</v>
      </c>
      <c r="ET27" s="116">
        <f t="shared" si="395"/>
        <v>0.86585341664187243</v>
      </c>
      <c r="EU27" s="116">
        <f t="shared" si="396"/>
        <v>0.91120807549318816</v>
      </c>
      <c r="EV27" s="116">
        <f t="shared" si="365"/>
        <v>0.88840736944130894</v>
      </c>
      <c r="EW27" s="96">
        <v>230</v>
      </c>
      <c r="EX27" s="96">
        <v>76</v>
      </c>
      <c r="EY27" s="96">
        <f t="shared" si="435"/>
        <v>306</v>
      </c>
      <c r="EZ27" s="393">
        <v>0</v>
      </c>
      <c r="FA27" s="393">
        <v>0</v>
      </c>
      <c r="FB27" s="393">
        <v>0</v>
      </c>
      <c r="FC27" s="96">
        <v>14</v>
      </c>
      <c r="FD27" s="96">
        <v>7</v>
      </c>
      <c r="FE27" s="96">
        <f t="shared" si="451"/>
        <v>21</v>
      </c>
      <c r="FF27" s="97">
        <f t="shared" si="342"/>
        <v>14</v>
      </c>
      <c r="FG27" s="98">
        <f t="shared" si="343"/>
        <v>7</v>
      </c>
      <c r="FH27" s="98">
        <f t="shared" si="344"/>
        <v>21</v>
      </c>
      <c r="FI27" s="116">
        <f t="shared" si="397"/>
        <v>6.0869565217391307E-2</v>
      </c>
      <c r="FJ27" s="116">
        <f t="shared" si="398"/>
        <v>9.2105263157894732E-2</v>
      </c>
      <c r="FK27" s="116">
        <f t="shared" si="366"/>
        <v>6.8627450980392163E-2</v>
      </c>
      <c r="FL27" s="98">
        <f t="shared" si="452"/>
        <v>252305</v>
      </c>
      <c r="FM27" s="98">
        <f t="shared" si="453"/>
        <v>249423</v>
      </c>
      <c r="FN27" s="98">
        <f t="shared" si="454"/>
        <v>501728</v>
      </c>
      <c r="FO27" s="98">
        <f t="shared" si="455"/>
        <v>193147</v>
      </c>
      <c r="FP27" s="98">
        <f t="shared" si="456"/>
        <v>208460</v>
      </c>
      <c r="FQ27" s="98">
        <f t="shared" si="457"/>
        <v>401607</v>
      </c>
      <c r="FR27" s="98">
        <f t="shared" ref="FR27:FR31" si="471">EN27+FC27</f>
        <v>25127</v>
      </c>
      <c r="FS27" s="98">
        <f t="shared" ref="FS27:FS31" si="472">EO27+FD27</f>
        <v>18754</v>
      </c>
      <c r="FT27" s="98">
        <f t="shared" ref="FT27:FT31" si="473">EP27+FE27</f>
        <v>43881</v>
      </c>
      <c r="FU27" s="98">
        <f t="shared" si="461"/>
        <v>218274</v>
      </c>
      <c r="FV27" s="98">
        <f t="shared" si="462"/>
        <v>227214</v>
      </c>
      <c r="FW27" s="98">
        <f t="shared" si="463"/>
        <v>445488</v>
      </c>
      <c r="FX27" s="116">
        <f t="shared" si="464"/>
        <v>0.86511959731277621</v>
      </c>
      <c r="FY27" s="116">
        <f t="shared" si="465"/>
        <v>0.91095849219999758</v>
      </c>
      <c r="FZ27" s="116">
        <f t="shared" si="466"/>
        <v>0.88790739205306457</v>
      </c>
      <c r="GA27" s="98">
        <f t="shared" si="207"/>
        <v>324222</v>
      </c>
      <c r="GB27" s="98">
        <f t="shared" si="207"/>
        <v>329846</v>
      </c>
      <c r="GC27" s="98">
        <f t="shared" si="207"/>
        <v>654068</v>
      </c>
      <c r="GD27" s="98">
        <v>212730</v>
      </c>
      <c r="GE27" s="98">
        <v>254464</v>
      </c>
      <c r="GF27" s="98">
        <f t="shared" si="208"/>
        <v>467194</v>
      </c>
      <c r="GG27" s="100">
        <f t="shared" si="209"/>
        <v>65.612450728204749</v>
      </c>
      <c r="GH27" s="100">
        <f t="shared" si="209"/>
        <v>77.146304639134627</v>
      </c>
      <c r="GI27" s="100">
        <f t="shared" si="209"/>
        <v>71.428964572490941</v>
      </c>
      <c r="GJ27" s="98">
        <f t="shared" si="210"/>
        <v>58033</v>
      </c>
      <c r="GK27" s="98">
        <f t="shared" si="210"/>
        <v>57134</v>
      </c>
      <c r="GL27" s="98">
        <f t="shared" si="210"/>
        <v>115167</v>
      </c>
      <c r="GM27" s="98">
        <v>34932</v>
      </c>
      <c r="GN27" s="98">
        <v>39421</v>
      </c>
      <c r="GO27" s="98">
        <f t="shared" si="211"/>
        <v>74353</v>
      </c>
      <c r="GP27" s="100">
        <f t="shared" si="212"/>
        <v>60.193338273051538</v>
      </c>
      <c r="GQ27" s="100">
        <f t="shared" si="212"/>
        <v>68.997444603913607</v>
      </c>
      <c r="GR27" s="100">
        <f t="shared" si="212"/>
        <v>64.561028766921083</v>
      </c>
      <c r="GS27" s="98">
        <f t="shared" si="213"/>
        <v>21921</v>
      </c>
      <c r="GT27" s="98">
        <f t="shared" si="213"/>
        <v>21776</v>
      </c>
      <c r="GU27" s="98">
        <f t="shared" si="213"/>
        <v>43697</v>
      </c>
      <c r="GV27" s="98">
        <v>13321</v>
      </c>
      <c r="GW27" s="98">
        <v>15545</v>
      </c>
      <c r="GX27" s="98">
        <f t="shared" si="214"/>
        <v>28866</v>
      </c>
      <c r="GY27" s="100">
        <f t="shared" si="244"/>
        <v>60.768213128963097</v>
      </c>
      <c r="GZ27" s="100">
        <f t="shared" si="215"/>
        <v>71.38592946362968</v>
      </c>
      <c r="HA27" s="100">
        <f t="shared" si="215"/>
        <v>66.059454882486207</v>
      </c>
      <c r="HB27" s="98">
        <f t="shared" si="167"/>
        <v>218274</v>
      </c>
      <c r="HC27" s="98">
        <f t="shared" si="168"/>
        <v>227214</v>
      </c>
      <c r="HD27" s="98">
        <f t="shared" si="169"/>
        <v>445488</v>
      </c>
      <c r="HE27" s="98">
        <v>146474</v>
      </c>
      <c r="HF27" s="98">
        <v>180128</v>
      </c>
      <c r="HG27" s="98">
        <f t="shared" si="467"/>
        <v>326602</v>
      </c>
      <c r="HH27" s="100">
        <f t="shared" si="468"/>
        <v>67.105564565637678</v>
      </c>
      <c r="HI27" s="100">
        <f t="shared" si="469"/>
        <v>79.276805126444671</v>
      </c>
      <c r="HJ27" s="100">
        <f t="shared" si="470"/>
        <v>73.313310347304522</v>
      </c>
    </row>
    <row r="28" spans="1:219">
      <c r="A28" s="420">
        <v>20</v>
      </c>
      <c r="B28" s="118" t="s">
        <v>286</v>
      </c>
      <c r="C28" s="96">
        <v>223682</v>
      </c>
      <c r="D28" s="96">
        <v>215664</v>
      </c>
      <c r="E28" s="96">
        <f t="shared" si="176"/>
        <v>439346</v>
      </c>
      <c r="F28" s="403"/>
      <c r="G28" s="403"/>
      <c r="H28" s="96">
        <v>431162</v>
      </c>
      <c r="I28" s="403"/>
      <c r="J28" s="403"/>
      <c r="K28" s="403"/>
      <c r="L28" s="404"/>
      <c r="M28" s="404"/>
      <c r="N28" s="98">
        <f t="shared" si="319"/>
        <v>431162</v>
      </c>
      <c r="O28" s="116" t="s">
        <v>319</v>
      </c>
      <c r="P28" s="116" t="s">
        <v>319</v>
      </c>
      <c r="Q28" s="116">
        <f t="shared" si="178"/>
        <v>0.98137231248264467</v>
      </c>
      <c r="R28" s="403"/>
      <c r="S28" s="403"/>
      <c r="T28" s="96">
        <v>2754</v>
      </c>
      <c r="U28" s="403"/>
      <c r="V28" s="403"/>
      <c r="W28" s="96">
        <v>2084</v>
      </c>
      <c r="X28" s="403"/>
      <c r="Y28" s="403"/>
      <c r="Z28" s="403"/>
      <c r="AA28" s="404"/>
      <c r="AB28" s="404"/>
      <c r="AC28" s="98">
        <f t="shared" si="322"/>
        <v>2084</v>
      </c>
      <c r="AD28" s="405"/>
      <c r="AE28" s="405"/>
      <c r="AF28" s="116">
        <f t="shared" si="382"/>
        <v>0.75671750181554098</v>
      </c>
      <c r="AG28" s="98">
        <f t="shared" si="179"/>
        <v>223682</v>
      </c>
      <c r="AH28" s="98">
        <f t="shared" si="179"/>
        <v>215664</v>
      </c>
      <c r="AI28" s="98">
        <f t="shared" si="179"/>
        <v>442100</v>
      </c>
      <c r="AJ28" s="404"/>
      <c r="AK28" s="404"/>
      <c r="AL28" s="98">
        <f t="shared" si="179"/>
        <v>433246</v>
      </c>
      <c r="AM28" s="404"/>
      <c r="AN28" s="404"/>
      <c r="AO28" s="404"/>
      <c r="AP28" s="404"/>
      <c r="AQ28" s="404"/>
      <c r="AR28" s="98">
        <f t="shared" si="224"/>
        <v>433246</v>
      </c>
      <c r="AS28" s="493" t="s">
        <v>319</v>
      </c>
      <c r="AT28" s="493" t="s">
        <v>319</v>
      </c>
      <c r="AU28" s="116">
        <f t="shared" si="180"/>
        <v>0.97997285681972401</v>
      </c>
      <c r="AV28" s="403"/>
      <c r="AW28" s="403"/>
      <c r="AX28" s="96">
        <v>43985</v>
      </c>
      <c r="AY28" s="403"/>
      <c r="AZ28" s="403"/>
      <c r="BA28" s="96">
        <v>41873</v>
      </c>
      <c r="BB28" s="403"/>
      <c r="BC28" s="403"/>
      <c r="BD28" s="403"/>
      <c r="BE28" s="404"/>
      <c r="BF28" s="404"/>
      <c r="BG28" s="392">
        <f t="shared" si="327"/>
        <v>41873</v>
      </c>
      <c r="BH28" s="405"/>
      <c r="BI28" s="405"/>
      <c r="BJ28" s="116">
        <f t="shared" si="361"/>
        <v>0.95198363078322157</v>
      </c>
      <c r="BK28" s="403"/>
      <c r="BL28" s="403"/>
      <c r="BM28" s="403"/>
      <c r="BN28" s="403"/>
      <c r="BO28" s="403"/>
      <c r="BP28" s="403"/>
      <c r="BQ28" s="403"/>
      <c r="BR28" s="403"/>
      <c r="BS28" s="403"/>
      <c r="BT28" s="404"/>
      <c r="BU28" s="404"/>
      <c r="BV28" s="404"/>
      <c r="BW28" s="405"/>
      <c r="BX28" s="405"/>
      <c r="BY28" s="405"/>
      <c r="BZ28" s="404"/>
      <c r="CA28" s="404"/>
      <c r="CB28" s="98">
        <f t="shared" si="186"/>
        <v>43985</v>
      </c>
      <c r="CC28" s="404"/>
      <c r="CD28" s="404"/>
      <c r="CE28" s="98">
        <f t="shared" si="186"/>
        <v>41873</v>
      </c>
      <c r="CF28" s="404"/>
      <c r="CG28" s="404"/>
      <c r="CH28" s="404"/>
      <c r="CI28" s="404"/>
      <c r="CJ28" s="404"/>
      <c r="CK28" s="98">
        <f t="shared" si="438"/>
        <v>41873</v>
      </c>
      <c r="CL28" s="405"/>
      <c r="CM28" s="405"/>
      <c r="CN28" s="116">
        <f t="shared" si="187"/>
        <v>0.95198363078322157</v>
      </c>
      <c r="CO28" s="403"/>
      <c r="CP28" s="403"/>
      <c r="CQ28" s="96">
        <v>8108</v>
      </c>
      <c r="CR28" s="403"/>
      <c r="CS28" s="403"/>
      <c r="CT28" s="96">
        <v>7055</v>
      </c>
      <c r="CU28" s="403"/>
      <c r="CV28" s="403"/>
      <c r="CW28" s="403"/>
      <c r="CX28" s="404"/>
      <c r="CY28" s="404"/>
      <c r="CZ28" s="98">
        <f t="shared" si="334"/>
        <v>7055</v>
      </c>
      <c r="DA28" s="405"/>
      <c r="DB28" s="405"/>
      <c r="DC28" s="116">
        <f t="shared" si="362"/>
        <v>0.87012826837691171</v>
      </c>
      <c r="DD28" s="403"/>
      <c r="DE28" s="403"/>
      <c r="DF28" s="403"/>
      <c r="DG28" s="403"/>
      <c r="DH28" s="403"/>
      <c r="DI28" s="403"/>
      <c r="DJ28" s="403"/>
      <c r="DK28" s="403"/>
      <c r="DL28" s="403"/>
      <c r="DM28" s="404"/>
      <c r="DN28" s="404"/>
      <c r="DO28" s="404"/>
      <c r="DP28" s="405"/>
      <c r="DQ28" s="405"/>
      <c r="DR28" s="405"/>
      <c r="DS28" s="404"/>
      <c r="DT28" s="404"/>
      <c r="DU28" s="98">
        <f t="shared" ref="DS28:ED43" si="474">CQ28+DF28</f>
        <v>8108</v>
      </c>
      <c r="DV28" s="404"/>
      <c r="DW28" s="404"/>
      <c r="DX28" s="98">
        <f t="shared" si="474"/>
        <v>7055</v>
      </c>
      <c r="DY28" s="404"/>
      <c r="DZ28" s="404"/>
      <c r="EA28" s="404"/>
      <c r="EB28" s="404"/>
      <c r="EC28" s="404"/>
      <c r="ED28" s="98">
        <f t="shared" si="192"/>
        <v>7055</v>
      </c>
      <c r="EE28" s="405"/>
      <c r="EF28" s="405"/>
      <c r="EG28" s="116">
        <f t="shared" si="193"/>
        <v>0.87012826837691171</v>
      </c>
      <c r="EH28" s="403"/>
      <c r="EI28" s="403"/>
      <c r="EJ28" s="96">
        <v>296020</v>
      </c>
      <c r="EK28" s="403"/>
      <c r="EL28" s="403"/>
      <c r="EM28" s="96">
        <v>290499</v>
      </c>
      <c r="EN28" s="403"/>
      <c r="EO28" s="403"/>
      <c r="EP28" s="403"/>
      <c r="EQ28" s="404"/>
      <c r="ER28" s="404"/>
      <c r="ES28" s="98">
        <f t="shared" si="341"/>
        <v>290499</v>
      </c>
      <c r="ET28" s="405"/>
      <c r="EU28" s="405"/>
      <c r="EV28" s="116">
        <f t="shared" si="365"/>
        <v>0.98134923315992162</v>
      </c>
      <c r="EW28" s="403"/>
      <c r="EX28" s="403"/>
      <c r="EY28" s="403"/>
      <c r="EZ28" s="403"/>
      <c r="FA28" s="403"/>
      <c r="FB28" s="403"/>
      <c r="FC28" s="403"/>
      <c r="FD28" s="403"/>
      <c r="FE28" s="403"/>
      <c r="FF28" s="404"/>
      <c r="FG28" s="404"/>
      <c r="FH28" s="404"/>
      <c r="FI28" s="405"/>
      <c r="FJ28" s="405"/>
      <c r="FK28" s="405"/>
      <c r="FL28" s="404"/>
      <c r="FM28" s="404"/>
      <c r="FN28" s="98">
        <f t="shared" si="454"/>
        <v>296020</v>
      </c>
      <c r="FO28" s="404"/>
      <c r="FP28" s="404"/>
      <c r="FQ28" s="98">
        <f t="shared" si="457"/>
        <v>290499</v>
      </c>
      <c r="FR28" s="404"/>
      <c r="FS28" s="404"/>
      <c r="FT28" s="404"/>
      <c r="FU28" s="404"/>
      <c r="FV28" s="404"/>
      <c r="FW28" s="98">
        <f t="shared" si="463"/>
        <v>290499</v>
      </c>
      <c r="FX28" s="405"/>
      <c r="FY28" s="405"/>
      <c r="FZ28" s="116">
        <f t="shared" si="466"/>
        <v>0.98134923315992162</v>
      </c>
      <c r="GA28" s="404"/>
      <c r="GB28" s="404"/>
      <c r="GC28" s="98">
        <f t="shared" si="207"/>
        <v>433246</v>
      </c>
      <c r="GD28" s="404"/>
      <c r="GE28" s="404"/>
      <c r="GF28" s="98">
        <v>154447</v>
      </c>
      <c r="GG28" s="110"/>
      <c r="GH28" s="110"/>
      <c r="GI28" s="100">
        <f t="shared" si="209"/>
        <v>35.648799988920842</v>
      </c>
      <c r="GJ28" s="404"/>
      <c r="GK28" s="404"/>
      <c r="GL28" s="98">
        <f t="shared" si="210"/>
        <v>41873</v>
      </c>
      <c r="GM28" s="404"/>
      <c r="GN28" s="404"/>
      <c r="GO28" s="404"/>
      <c r="GP28" s="404"/>
      <c r="GQ28" s="404"/>
      <c r="GR28" s="407"/>
      <c r="GS28" s="404"/>
      <c r="GT28" s="404"/>
      <c r="GU28" s="98">
        <f t="shared" si="213"/>
        <v>7055</v>
      </c>
      <c r="GV28" s="103"/>
      <c r="GW28" s="103"/>
      <c r="GX28" s="404"/>
      <c r="GY28" s="103"/>
      <c r="GZ28" s="103"/>
      <c r="HA28" s="407"/>
      <c r="HB28" s="404"/>
      <c r="HC28" s="404"/>
      <c r="HD28" s="98">
        <f t="shared" si="169"/>
        <v>290499</v>
      </c>
      <c r="HE28" s="103"/>
      <c r="HF28" s="103"/>
      <c r="HG28" s="404"/>
      <c r="HH28" s="404"/>
      <c r="HI28" s="404"/>
      <c r="HJ28" s="407"/>
    </row>
    <row r="29" spans="1:219" ht="42.75">
      <c r="A29" s="420">
        <v>21</v>
      </c>
      <c r="B29" s="118" t="s">
        <v>380</v>
      </c>
      <c r="C29" s="96">
        <v>935098</v>
      </c>
      <c r="D29" s="96">
        <v>760876</v>
      </c>
      <c r="E29" s="96">
        <f>C29+D29</f>
        <v>1695974</v>
      </c>
      <c r="F29" s="96">
        <v>792681</v>
      </c>
      <c r="G29" s="96">
        <v>690716</v>
      </c>
      <c r="H29" s="96">
        <f>F29+G29</f>
        <v>1483397</v>
      </c>
      <c r="I29" s="96">
        <v>17545</v>
      </c>
      <c r="J29" s="96">
        <v>9289</v>
      </c>
      <c r="K29" s="96">
        <f>I29+J29</f>
        <v>26834</v>
      </c>
      <c r="L29" s="97">
        <f>F29+I29</f>
        <v>810226</v>
      </c>
      <c r="M29" s="98">
        <f>G29+J29</f>
        <v>700005</v>
      </c>
      <c r="N29" s="98">
        <f>H29+K29</f>
        <v>1510231</v>
      </c>
      <c r="O29" s="116">
        <f>L29/C29</f>
        <v>0.86646105541879037</v>
      </c>
      <c r="P29" s="116">
        <f>M29/D29</f>
        <v>0.91999879086736869</v>
      </c>
      <c r="Q29" s="116">
        <f>N29/E29</f>
        <v>0.89048004273650416</v>
      </c>
      <c r="R29" s="96">
        <v>30283</v>
      </c>
      <c r="S29" s="96">
        <v>12366</v>
      </c>
      <c r="T29" s="96">
        <f>R29+S29</f>
        <v>42649</v>
      </c>
      <c r="U29" s="96">
        <v>14862</v>
      </c>
      <c r="V29" s="96">
        <v>7255</v>
      </c>
      <c r="W29" s="96">
        <f>U29+V29</f>
        <v>22117</v>
      </c>
      <c r="X29" s="96">
        <v>1303</v>
      </c>
      <c r="Y29" s="96">
        <v>504</v>
      </c>
      <c r="Z29" s="96">
        <f>X29+Y29</f>
        <v>1807</v>
      </c>
      <c r="AA29" s="97">
        <f>U29+X29</f>
        <v>16165</v>
      </c>
      <c r="AB29" s="98">
        <f>V29+Y29</f>
        <v>7759</v>
      </c>
      <c r="AC29" s="98">
        <f>W29+Z29</f>
        <v>23924</v>
      </c>
      <c r="AD29" s="116">
        <f>AA29/R29</f>
        <v>0.53379784037248623</v>
      </c>
      <c r="AE29" s="116">
        <f>AB29/S29</f>
        <v>0.62744622351609247</v>
      </c>
      <c r="AF29" s="116">
        <f>AC29/T29</f>
        <v>0.56095101878121412</v>
      </c>
      <c r="AG29" s="98">
        <f t="shared" si="179"/>
        <v>965381</v>
      </c>
      <c r="AH29" s="98">
        <f t="shared" si="179"/>
        <v>773242</v>
      </c>
      <c r="AI29" s="98">
        <f t="shared" si="179"/>
        <v>1738623</v>
      </c>
      <c r="AJ29" s="98">
        <f t="shared" si="179"/>
        <v>807543</v>
      </c>
      <c r="AK29" s="98">
        <f t="shared" si="179"/>
        <v>697971</v>
      </c>
      <c r="AL29" s="98">
        <f t="shared" si="179"/>
        <v>1505514</v>
      </c>
      <c r="AM29" s="98">
        <f t="shared" si="179"/>
        <v>18848</v>
      </c>
      <c r="AN29" s="98">
        <f t="shared" si="179"/>
        <v>9793</v>
      </c>
      <c r="AO29" s="98">
        <f t="shared" si="179"/>
        <v>28641</v>
      </c>
      <c r="AP29" s="98">
        <f t="shared" si="179"/>
        <v>826391</v>
      </c>
      <c r="AQ29" s="98">
        <f t="shared" si="179"/>
        <v>707764</v>
      </c>
      <c r="AR29" s="98">
        <f t="shared" si="179"/>
        <v>1534155</v>
      </c>
      <c r="AS29" s="116">
        <f>AP29/AG29</f>
        <v>0.85602575563430394</v>
      </c>
      <c r="AT29" s="116">
        <f>AQ29/AH29</f>
        <v>0.9153201714340401</v>
      </c>
      <c r="AU29" s="116">
        <f>AR29/AI29</f>
        <v>0.88239658626395712</v>
      </c>
      <c r="AV29" s="96">
        <v>135171</v>
      </c>
      <c r="AW29" s="96">
        <v>110861</v>
      </c>
      <c r="AX29" s="96">
        <f>AV29+AW29</f>
        <v>246032</v>
      </c>
      <c r="AY29" s="96">
        <v>107089</v>
      </c>
      <c r="AZ29" s="96">
        <v>95393</v>
      </c>
      <c r="BA29" s="96">
        <f>AY29+AZ29</f>
        <v>202482</v>
      </c>
      <c r="BB29" s="96">
        <v>3525</v>
      </c>
      <c r="BC29" s="96">
        <v>2275</v>
      </c>
      <c r="BD29" s="96">
        <f>BB29+BC29</f>
        <v>5800</v>
      </c>
      <c r="BE29" s="97">
        <f>AY29+BB29</f>
        <v>110614</v>
      </c>
      <c r="BF29" s="98">
        <f>AZ29+BC29</f>
        <v>97668</v>
      </c>
      <c r="BG29" s="98">
        <f>BA29+BD29</f>
        <v>208282</v>
      </c>
      <c r="BH29" s="116">
        <f>BE29/AV29</f>
        <v>0.8183264161691487</v>
      </c>
      <c r="BI29" s="116">
        <f>BF29/AW29</f>
        <v>0.88099512001515412</v>
      </c>
      <c r="BJ29" s="116">
        <f>BG29/AX29</f>
        <v>0.8465646745138844</v>
      </c>
      <c r="BK29" s="96">
        <v>3830</v>
      </c>
      <c r="BL29" s="96">
        <v>1928</v>
      </c>
      <c r="BM29" s="96">
        <f>BK29+BL29</f>
        <v>5758</v>
      </c>
      <c r="BN29" s="96">
        <v>1687</v>
      </c>
      <c r="BO29" s="96">
        <v>1010</v>
      </c>
      <c r="BP29" s="96">
        <f>BN29+BO29</f>
        <v>2697</v>
      </c>
      <c r="BQ29" s="96">
        <v>178</v>
      </c>
      <c r="BR29" s="96">
        <v>78</v>
      </c>
      <c r="BS29" s="96">
        <f>BQ29+BR29</f>
        <v>256</v>
      </c>
      <c r="BT29" s="97">
        <f>BN29+BQ29</f>
        <v>1865</v>
      </c>
      <c r="BU29" s="98">
        <f>BO29+BR29</f>
        <v>1088</v>
      </c>
      <c r="BV29" s="98">
        <f>BP29+BS29</f>
        <v>2953</v>
      </c>
      <c r="BW29" s="116">
        <f>BT29/BK29</f>
        <v>0.48694516971279372</v>
      </c>
      <c r="BX29" s="116">
        <f>BU29/BL29</f>
        <v>0.56431535269709543</v>
      </c>
      <c r="BY29" s="116">
        <f>BV29/BM29</f>
        <v>0.5128516846127128</v>
      </c>
      <c r="BZ29" s="98">
        <f t="shared" si="186"/>
        <v>139001</v>
      </c>
      <c r="CA29" s="98">
        <f t="shared" si="186"/>
        <v>112789</v>
      </c>
      <c r="CB29" s="98">
        <f t="shared" si="186"/>
        <v>251790</v>
      </c>
      <c r="CC29" s="98">
        <f t="shared" si="186"/>
        <v>108776</v>
      </c>
      <c r="CD29" s="98">
        <f t="shared" si="186"/>
        <v>96403</v>
      </c>
      <c r="CE29" s="98">
        <f t="shared" si="186"/>
        <v>205179</v>
      </c>
      <c r="CF29" s="98">
        <f t="shared" si="186"/>
        <v>3703</v>
      </c>
      <c r="CG29" s="98">
        <f t="shared" si="186"/>
        <v>2353</v>
      </c>
      <c r="CH29" s="98">
        <f t="shared" si="186"/>
        <v>6056</v>
      </c>
      <c r="CI29" s="98">
        <f t="shared" si="186"/>
        <v>112479</v>
      </c>
      <c r="CJ29" s="98">
        <f t="shared" si="186"/>
        <v>98756</v>
      </c>
      <c r="CK29" s="98">
        <f t="shared" si="186"/>
        <v>211235</v>
      </c>
      <c r="CL29" s="116">
        <f>CI29/BZ29</f>
        <v>0.80919561729771727</v>
      </c>
      <c r="CM29" s="116">
        <f>CJ29/CA29</f>
        <v>0.87558183865447869</v>
      </c>
      <c r="CN29" s="116">
        <f>CK29/CB29</f>
        <v>0.83893323801580677</v>
      </c>
      <c r="CO29" s="96">
        <v>84507</v>
      </c>
      <c r="CP29" s="96">
        <v>68420</v>
      </c>
      <c r="CQ29" s="96">
        <f>CO29+CP29</f>
        <v>152927</v>
      </c>
      <c r="CR29" s="96">
        <v>65085</v>
      </c>
      <c r="CS29" s="96">
        <v>56419</v>
      </c>
      <c r="CT29" s="96">
        <f>CR29+CS29</f>
        <v>121504</v>
      </c>
      <c r="CU29" s="96">
        <v>1568</v>
      </c>
      <c r="CV29" s="96">
        <v>1072</v>
      </c>
      <c r="CW29" s="96">
        <f>CU29+CV29</f>
        <v>2640</v>
      </c>
      <c r="CX29" s="97">
        <f>CR29+CU29</f>
        <v>66653</v>
      </c>
      <c r="CY29" s="98">
        <f>CS29+CV29</f>
        <v>57491</v>
      </c>
      <c r="CZ29" s="98">
        <f>CT29+CW29</f>
        <v>124144</v>
      </c>
      <c r="DA29" s="116">
        <f>CX29/CO29</f>
        <v>0.78872756103044717</v>
      </c>
      <c r="DB29" s="116">
        <f>CY29/CP29</f>
        <v>0.84026600409237062</v>
      </c>
      <c r="DC29" s="116">
        <f>CZ29/CQ29</f>
        <v>0.81178601554990293</v>
      </c>
      <c r="DD29" s="96">
        <v>1377</v>
      </c>
      <c r="DE29" s="96">
        <v>659</v>
      </c>
      <c r="DF29" s="96">
        <f>DD29+DE29</f>
        <v>2036</v>
      </c>
      <c r="DG29" s="96">
        <v>684</v>
      </c>
      <c r="DH29" s="96">
        <v>375</v>
      </c>
      <c r="DI29" s="96">
        <f>DG29+DH29</f>
        <v>1059</v>
      </c>
      <c r="DJ29" s="96">
        <v>26</v>
      </c>
      <c r="DK29" s="96">
        <v>21</v>
      </c>
      <c r="DL29" s="96">
        <f>DJ29+DK29</f>
        <v>47</v>
      </c>
      <c r="DM29" s="97">
        <f>DG29+DJ29</f>
        <v>710</v>
      </c>
      <c r="DN29" s="98">
        <f>DH29+DK29</f>
        <v>396</v>
      </c>
      <c r="DO29" s="98">
        <f>DI29+DL29</f>
        <v>1106</v>
      </c>
      <c r="DP29" s="116">
        <f>DM29/DD29</f>
        <v>0.51561365286855487</v>
      </c>
      <c r="DQ29" s="116">
        <f>DN29/DE29</f>
        <v>0.60091047040971168</v>
      </c>
      <c r="DR29" s="116">
        <f>DO29/DF29</f>
        <v>0.54322200392927311</v>
      </c>
      <c r="DS29" s="98">
        <f t="shared" si="474"/>
        <v>85884</v>
      </c>
      <c r="DT29" s="98">
        <f t="shared" si="474"/>
        <v>69079</v>
      </c>
      <c r="DU29" s="98">
        <f t="shared" si="474"/>
        <v>154963</v>
      </c>
      <c r="DV29" s="98">
        <f t="shared" si="474"/>
        <v>65769</v>
      </c>
      <c r="DW29" s="98">
        <f t="shared" si="474"/>
        <v>56794</v>
      </c>
      <c r="DX29" s="98">
        <f t="shared" si="474"/>
        <v>122563</v>
      </c>
      <c r="DY29" s="98">
        <f t="shared" si="474"/>
        <v>1594</v>
      </c>
      <c r="DZ29" s="98">
        <f t="shared" si="474"/>
        <v>1093</v>
      </c>
      <c r="EA29" s="98">
        <f t="shared" si="474"/>
        <v>2687</v>
      </c>
      <c r="EB29" s="98">
        <f t="shared" si="474"/>
        <v>67363</v>
      </c>
      <c r="EC29" s="98">
        <f t="shared" si="474"/>
        <v>57887</v>
      </c>
      <c r="ED29" s="98">
        <f t="shared" si="474"/>
        <v>125250</v>
      </c>
      <c r="EE29" s="116">
        <f>EB29/DS29</f>
        <v>0.7843486563271389</v>
      </c>
      <c r="EF29" s="116">
        <f>EC29/DT29</f>
        <v>0.83798259963230504</v>
      </c>
      <c r="EG29" s="116">
        <f>ED29/DU29</f>
        <v>0.80825745500538837</v>
      </c>
      <c r="EH29" s="96">
        <v>346147</v>
      </c>
      <c r="EI29" s="96">
        <v>277027</v>
      </c>
      <c r="EJ29" s="96">
        <f>EH29+EI29</f>
        <v>623174</v>
      </c>
      <c r="EK29" s="96">
        <v>296582</v>
      </c>
      <c r="EL29" s="96">
        <v>253698</v>
      </c>
      <c r="EM29" s="96">
        <f>EK29+EL29</f>
        <v>550280</v>
      </c>
      <c r="EN29" s="96">
        <v>6625</v>
      </c>
      <c r="EO29" s="96">
        <v>3476</v>
      </c>
      <c r="EP29" s="96">
        <f>EN29+EO29</f>
        <v>10101</v>
      </c>
      <c r="EQ29" s="97">
        <f>EK29+EN29</f>
        <v>303207</v>
      </c>
      <c r="ER29" s="98">
        <f>EL29+EO29</f>
        <v>257174</v>
      </c>
      <c r="ES29" s="98">
        <f>EM29+EP29</f>
        <v>560381</v>
      </c>
      <c r="ET29" s="116">
        <f>EQ29/EH29</f>
        <v>0.87594865765122909</v>
      </c>
      <c r="EU29" s="116">
        <f>ER29/EI29</f>
        <v>0.92833550520346397</v>
      </c>
      <c r="EV29" s="116">
        <f>ES29/EJ29</f>
        <v>0.89923681026486979</v>
      </c>
      <c r="EW29" s="96">
        <v>4890</v>
      </c>
      <c r="EX29" s="96">
        <v>1931</v>
      </c>
      <c r="EY29" s="96">
        <f>EW29+EX29</f>
        <v>6821</v>
      </c>
      <c r="EZ29" s="96">
        <v>2344</v>
      </c>
      <c r="FA29" s="96">
        <v>1150</v>
      </c>
      <c r="FB29" s="96">
        <f>EZ29+FA29</f>
        <v>3494</v>
      </c>
      <c r="FC29" s="96">
        <v>241</v>
      </c>
      <c r="FD29" s="96">
        <v>91</v>
      </c>
      <c r="FE29" s="96">
        <f>FC29+FD29</f>
        <v>332</v>
      </c>
      <c r="FF29" s="97">
        <f>EZ29+FC29</f>
        <v>2585</v>
      </c>
      <c r="FG29" s="98">
        <f>FA29+FD29</f>
        <v>1241</v>
      </c>
      <c r="FH29" s="98">
        <f>FB29+FE29</f>
        <v>3826</v>
      </c>
      <c r="FI29" s="116">
        <f>FF29/EW29</f>
        <v>0.52862985685071573</v>
      </c>
      <c r="FJ29" s="116">
        <f>FG29/EX29</f>
        <v>0.64267219057483171</v>
      </c>
      <c r="FK29" s="116">
        <f>FH29/EY29</f>
        <v>0.56091482187362551</v>
      </c>
      <c r="FL29" s="98">
        <f t="shared" si="452"/>
        <v>351037</v>
      </c>
      <c r="FM29" s="98">
        <f t="shared" si="453"/>
        <v>278958</v>
      </c>
      <c r="FN29" s="98">
        <f t="shared" si="454"/>
        <v>629995</v>
      </c>
      <c r="FO29" s="98">
        <f t="shared" si="455"/>
        <v>298926</v>
      </c>
      <c r="FP29" s="98">
        <f t="shared" si="456"/>
        <v>254848</v>
      </c>
      <c r="FQ29" s="98">
        <f t="shared" si="457"/>
        <v>553774</v>
      </c>
      <c r="FR29" s="98">
        <f t="shared" si="471"/>
        <v>6866</v>
      </c>
      <c r="FS29" s="98">
        <f t="shared" si="472"/>
        <v>3567</v>
      </c>
      <c r="FT29" s="98">
        <f t="shared" si="473"/>
        <v>10433</v>
      </c>
      <c r="FU29" s="98">
        <f t="shared" si="461"/>
        <v>305792</v>
      </c>
      <c r="FV29" s="98">
        <f t="shared" si="462"/>
        <v>258415</v>
      </c>
      <c r="FW29" s="98">
        <f t="shared" si="463"/>
        <v>564207</v>
      </c>
      <c r="FX29" s="116">
        <f>FU29/FL29</f>
        <v>0.87111045274429766</v>
      </c>
      <c r="FY29" s="116">
        <f>FV29/FM29</f>
        <v>0.92635808974827749</v>
      </c>
      <c r="FZ29" s="116">
        <f>FW29/FN29</f>
        <v>0.89557377439503483</v>
      </c>
      <c r="GA29" s="98">
        <f>+AP29</f>
        <v>826391</v>
      </c>
      <c r="GB29" s="98">
        <f>+AQ29</f>
        <v>707764</v>
      </c>
      <c r="GC29" s="98">
        <f>+AR29</f>
        <v>1534155</v>
      </c>
      <c r="GD29" s="98">
        <v>466008</v>
      </c>
      <c r="GE29" s="98">
        <v>480854</v>
      </c>
      <c r="GF29" s="98">
        <f>GD29+GE29</f>
        <v>946862</v>
      </c>
      <c r="GG29" s="100">
        <f>+GD29*100/GA29</f>
        <v>56.390739976597033</v>
      </c>
      <c r="GH29" s="100">
        <f>+GE29*100/GB29</f>
        <v>67.939878264506248</v>
      </c>
      <c r="GI29" s="100">
        <f>+GF29*100/GC29</f>
        <v>61.718796340656581</v>
      </c>
      <c r="GJ29" s="98">
        <f>+CI29</f>
        <v>112479</v>
      </c>
      <c r="GK29" s="98">
        <f>+CJ29</f>
        <v>98756</v>
      </c>
      <c r="GL29" s="98">
        <f>+CK29</f>
        <v>211235</v>
      </c>
      <c r="GM29" s="98">
        <v>53915</v>
      </c>
      <c r="GN29" s="98">
        <v>59010</v>
      </c>
      <c r="GO29" s="98">
        <f>GM29+GN29</f>
        <v>112925</v>
      </c>
      <c r="GP29" s="100">
        <f>+GM29*100/GJ29</f>
        <v>47.933392010953156</v>
      </c>
      <c r="GQ29" s="100">
        <f>+GN29*100/GK29</f>
        <v>59.753331443152824</v>
      </c>
      <c r="GR29" s="100">
        <f>+GO29*100/GL29</f>
        <v>53.459417236726871</v>
      </c>
      <c r="GS29" s="98">
        <f>+EB29</f>
        <v>67363</v>
      </c>
      <c r="GT29" s="98">
        <f>+EC29</f>
        <v>57887</v>
      </c>
      <c r="GU29" s="98">
        <f>+ED29</f>
        <v>125250</v>
      </c>
      <c r="GV29" s="98">
        <v>28997</v>
      </c>
      <c r="GW29" s="98">
        <v>29056</v>
      </c>
      <c r="GX29" s="98">
        <f>GV29+GW29</f>
        <v>58053</v>
      </c>
      <c r="GY29" s="100">
        <f>+GV29*100/GS29</f>
        <v>43.04588572361682</v>
      </c>
      <c r="GZ29" s="100">
        <f>+GW29*100/GT29</f>
        <v>50.194344153264119</v>
      </c>
      <c r="HA29" s="100">
        <f>+GX29*100/GU29</f>
        <v>46.349700598802393</v>
      </c>
      <c r="HB29" s="98">
        <f t="shared" si="167"/>
        <v>305792</v>
      </c>
      <c r="HC29" s="98">
        <f t="shared" si="168"/>
        <v>258415</v>
      </c>
      <c r="HD29" s="98">
        <f t="shared" si="169"/>
        <v>564207</v>
      </c>
      <c r="HE29" s="98">
        <v>177415</v>
      </c>
      <c r="HF29" s="98">
        <v>179571</v>
      </c>
      <c r="HG29" s="98">
        <f>HE29+HF29</f>
        <v>356986</v>
      </c>
      <c r="HH29" s="100">
        <f>+HE29*100/HB29</f>
        <v>58.018195374633741</v>
      </c>
      <c r="HI29" s="100">
        <f>+HF29*100/HC29</f>
        <v>69.489387225973729</v>
      </c>
      <c r="HJ29" s="100">
        <f>+HG29*100/HD29</f>
        <v>63.272167839108697</v>
      </c>
    </row>
    <row r="30" spans="1:219" s="397" customFormat="1" ht="28.5">
      <c r="A30" s="420">
        <v>22</v>
      </c>
      <c r="B30" s="396" t="s">
        <v>381</v>
      </c>
      <c r="C30" s="99">
        <v>437875</v>
      </c>
      <c r="D30" s="99">
        <v>381042</v>
      </c>
      <c r="E30" s="99">
        <f t="shared" si="176"/>
        <v>818917</v>
      </c>
      <c r="F30" s="99">
        <v>280115</v>
      </c>
      <c r="G30" s="99">
        <v>263617</v>
      </c>
      <c r="H30" s="99">
        <f t="shared" si="177"/>
        <v>543732</v>
      </c>
      <c r="I30" s="99">
        <v>29157</v>
      </c>
      <c r="J30" s="99">
        <v>27078</v>
      </c>
      <c r="K30" s="99">
        <f t="shared" si="416"/>
        <v>56235</v>
      </c>
      <c r="L30" s="98">
        <f t="shared" si="319"/>
        <v>309272</v>
      </c>
      <c r="M30" s="98">
        <f t="shared" si="319"/>
        <v>290695</v>
      </c>
      <c r="N30" s="98">
        <f t="shared" si="319"/>
        <v>599967</v>
      </c>
      <c r="O30" s="116">
        <f t="shared" si="178"/>
        <v>0.70630202683414212</v>
      </c>
      <c r="P30" s="116">
        <f t="shared" si="178"/>
        <v>0.76289490397384019</v>
      </c>
      <c r="Q30" s="116">
        <f t="shared" si="178"/>
        <v>0.73263468703177492</v>
      </c>
      <c r="R30" s="99">
        <v>167613</v>
      </c>
      <c r="S30" s="99">
        <v>115993</v>
      </c>
      <c r="T30" s="99">
        <f t="shared" ref="T30" si="475">R30+S30</f>
        <v>283606</v>
      </c>
      <c r="U30" s="99">
        <v>37148</v>
      </c>
      <c r="V30" s="99">
        <v>26779</v>
      </c>
      <c r="W30" s="99">
        <f t="shared" ref="W30" si="476">U30+V30</f>
        <v>63927</v>
      </c>
      <c r="X30" s="99">
        <v>13322</v>
      </c>
      <c r="Y30" s="99">
        <v>11004</v>
      </c>
      <c r="Z30" s="99">
        <f t="shared" ref="Z30" si="477">X30+Y30</f>
        <v>24326</v>
      </c>
      <c r="AA30" s="98">
        <f t="shared" ref="AA30" si="478">U30+X30</f>
        <v>50470</v>
      </c>
      <c r="AB30" s="98">
        <f t="shared" ref="AB30" si="479">V30+Y30</f>
        <v>37783</v>
      </c>
      <c r="AC30" s="98">
        <f t="shared" ref="AC30" si="480">W30+Z30</f>
        <v>88253</v>
      </c>
      <c r="AD30" s="116">
        <f t="shared" ref="AD30" si="481">AA30/R30</f>
        <v>0.30111029574078385</v>
      </c>
      <c r="AE30" s="116">
        <f t="shared" ref="AE30" si="482">AB30/S30</f>
        <v>0.32573517367427346</v>
      </c>
      <c r="AF30" s="116">
        <f t="shared" ref="AF30" si="483">AC30/T30</f>
        <v>0.31118170983688637</v>
      </c>
      <c r="AG30" s="98">
        <f t="shared" si="179"/>
        <v>605488</v>
      </c>
      <c r="AH30" s="98">
        <f t="shared" si="179"/>
        <v>497035</v>
      </c>
      <c r="AI30" s="98">
        <f t="shared" si="179"/>
        <v>1102523</v>
      </c>
      <c r="AJ30" s="98">
        <f t="shared" si="179"/>
        <v>317263</v>
      </c>
      <c r="AK30" s="98">
        <f t="shared" si="179"/>
        <v>290396</v>
      </c>
      <c r="AL30" s="98">
        <f t="shared" si="179"/>
        <v>607659</v>
      </c>
      <c r="AM30" s="98">
        <f t="shared" si="179"/>
        <v>42479</v>
      </c>
      <c r="AN30" s="98">
        <f t="shared" si="224"/>
        <v>38082</v>
      </c>
      <c r="AO30" s="98">
        <f t="shared" si="224"/>
        <v>80561</v>
      </c>
      <c r="AP30" s="98">
        <f t="shared" si="224"/>
        <v>359742</v>
      </c>
      <c r="AQ30" s="98">
        <f t="shared" si="224"/>
        <v>328478</v>
      </c>
      <c r="AR30" s="98">
        <f t="shared" si="224"/>
        <v>688220</v>
      </c>
      <c r="AS30" s="116">
        <f t="shared" si="180"/>
        <v>0.59413563935205982</v>
      </c>
      <c r="AT30" s="116">
        <f t="shared" si="180"/>
        <v>0.66087498868288952</v>
      </c>
      <c r="AU30" s="116">
        <f t="shared" si="180"/>
        <v>0.62422280532923125</v>
      </c>
      <c r="AV30" s="99">
        <v>78914</v>
      </c>
      <c r="AW30" s="99">
        <v>60725</v>
      </c>
      <c r="AX30" s="99">
        <f t="shared" ref="AX30" si="484">AV30+AW30</f>
        <v>139639</v>
      </c>
      <c r="AY30" s="99">
        <v>46425</v>
      </c>
      <c r="AZ30" s="99">
        <v>38628</v>
      </c>
      <c r="BA30" s="99">
        <f t="shared" ref="BA30" si="485">AY30+AZ30</f>
        <v>85053</v>
      </c>
      <c r="BB30" s="99">
        <v>5260</v>
      </c>
      <c r="BC30" s="99">
        <v>4587</v>
      </c>
      <c r="BD30" s="99">
        <f t="shared" ref="BD30" si="486">BB30+BC30</f>
        <v>9847</v>
      </c>
      <c r="BE30" s="98">
        <f t="shared" ref="BE30" si="487">AY30+BB30</f>
        <v>51685</v>
      </c>
      <c r="BF30" s="98">
        <f t="shared" ref="BF30" si="488">AZ30+BC30</f>
        <v>43215</v>
      </c>
      <c r="BG30" s="98">
        <f t="shared" ref="BG30" si="489">BA30+BD30</f>
        <v>94900</v>
      </c>
      <c r="BH30" s="116">
        <f t="shared" ref="BH30" si="490">BE30/AV30</f>
        <v>0.65495349367666067</v>
      </c>
      <c r="BI30" s="116">
        <f t="shared" ref="BI30" si="491">BF30/AW30</f>
        <v>0.71165088513791686</v>
      </c>
      <c r="BJ30" s="116">
        <f t="shared" ref="BJ30" si="492">BG30/AX30</f>
        <v>0.67960956466316713</v>
      </c>
      <c r="BK30" s="99">
        <v>35007</v>
      </c>
      <c r="BL30" s="99">
        <v>24381</v>
      </c>
      <c r="BM30" s="99">
        <f t="shared" ref="BM30" si="493">BK30+BL30</f>
        <v>59388</v>
      </c>
      <c r="BN30" s="99">
        <v>7550</v>
      </c>
      <c r="BO30" s="99">
        <v>5315</v>
      </c>
      <c r="BP30" s="99">
        <f t="shared" ref="BP30" si="494">BN30+BO30</f>
        <v>12865</v>
      </c>
      <c r="BQ30" s="99">
        <v>2735</v>
      </c>
      <c r="BR30" s="99">
        <v>2364</v>
      </c>
      <c r="BS30" s="99">
        <f t="shared" ref="BS30" si="495">BQ30+BR30</f>
        <v>5099</v>
      </c>
      <c r="BT30" s="98">
        <f t="shared" ref="BT30" si="496">BN30+BQ30</f>
        <v>10285</v>
      </c>
      <c r="BU30" s="98">
        <f t="shared" ref="BU30" si="497">BO30+BR30</f>
        <v>7679</v>
      </c>
      <c r="BV30" s="98">
        <f t="shared" ref="BV30" si="498">BP30+BS30</f>
        <v>17964</v>
      </c>
      <c r="BW30" s="116">
        <f t="shared" ref="BW30" si="499">BT30/BK30</f>
        <v>0.29379838318050677</v>
      </c>
      <c r="BX30" s="116">
        <f t="shared" ref="BX30" si="500">BU30/BL30</f>
        <v>0.3149583692219351</v>
      </c>
      <c r="BY30" s="116">
        <f t="shared" ref="BY30" si="501">BV30/BM30</f>
        <v>0.30248535057587389</v>
      </c>
      <c r="BZ30" s="98">
        <f t="shared" si="186"/>
        <v>113921</v>
      </c>
      <c r="CA30" s="98">
        <f t="shared" si="186"/>
        <v>85106</v>
      </c>
      <c r="CB30" s="98">
        <f t="shared" si="186"/>
        <v>199027</v>
      </c>
      <c r="CC30" s="98">
        <f t="shared" si="186"/>
        <v>53975</v>
      </c>
      <c r="CD30" s="98">
        <f t="shared" si="186"/>
        <v>43943</v>
      </c>
      <c r="CE30" s="98">
        <f t="shared" si="186"/>
        <v>97918</v>
      </c>
      <c r="CF30" s="98">
        <f t="shared" si="331"/>
        <v>7995</v>
      </c>
      <c r="CG30" s="98">
        <f t="shared" si="331"/>
        <v>6951</v>
      </c>
      <c r="CH30" s="98">
        <f t="shared" si="331"/>
        <v>14946</v>
      </c>
      <c r="CI30" s="98">
        <f t="shared" si="331"/>
        <v>61970</v>
      </c>
      <c r="CJ30" s="98">
        <f t="shared" si="438"/>
        <v>50894</v>
      </c>
      <c r="CK30" s="98">
        <f t="shared" si="438"/>
        <v>112864</v>
      </c>
      <c r="CL30" s="116">
        <f t="shared" si="389"/>
        <v>0.54397345528919161</v>
      </c>
      <c r="CM30" s="116">
        <f>CJ30/CA30</f>
        <v>0.59800719103235966</v>
      </c>
      <c r="CN30" s="116">
        <f t="shared" si="187"/>
        <v>0.56707883854954355</v>
      </c>
      <c r="CO30" s="99">
        <v>61436</v>
      </c>
      <c r="CP30" s="99">
        <v>64686</v>
      </c>
      <c r="CQ30" s="99">
        <f t="shared" ref="CQ30" si="502">CO30+CP30</f>
        <v>126122</v>
      </c>
      <c r="CR30" s="99">
        <v>37784</v>
      </c>
      <c r="CS30" s="99">
        <v>38955</v>
      </c>
      <c r="CT30" s="99">
        <f t="shared" ref="CT30" si="503">CR30+CS30</f>
        <v>76739</v>
      </c>
      <c r="CU30" s="99">
        <v>4576</v>
      </c>
      <c r="CV30" s="99">
        <v>5545</v>
      </c>
      <c r="CW30" s="99">
        <f t="shared" ref="CW30" si="504">CU30+CV30</f>
        <v>10121</v>
      </c>
      <c r="CX30" s="98">
        <f t="shared" ref="CX30" si="505">CR30+CU30</f>
        <v>42360</v>
      </c>
      <c r="CY30" s="98">
        <f t="shared" ref="CY30" si="506">CS30+CV30</f>
        <v>44500</v>
      </c>
      <c r="CZ30" s="98">
        <f t="shared" ref="CZ30" si="507">CT30+CW30</f>
        <v>86860</v>
      </c>
      <c r="DA30" s="116">
        <f t="shared" ref="DA30" si="508">CX30/CO30</f>
        <v>0.68949801419363244</v>
      </c>
      <c r="DB30" s="116">
        <f t="shared" ref="DB30" si="509">CY30/CP30</f>
        <v>0.68793865751476357</v>
      </c>
      <c r="DC30" s="116">
        <f t="shared" ref="DC30" si="510">CZ30/CQ30</f>
        <v>0.68869824455685769</v>
      </c>
      <c r="DD30" s="99">
        <v>37448</v>
      </c>
      <c r="DE30" s="99">
        <v>28861</v>
      </c>
      <c r="DF30" s="99">
        <f t="shared" ref="DF30" si="511">DD30+DE30</f>
        <v>66309</v>
      </c>
      <c r="DG30" s="99">
        <v>7491</v>
      </c>
      <c r="DH30" s="99">
        <v>5616</v>
      </c>
      <c r="DI30" s="99">
        <f t="shared" ref="DI30" si="512">DG30+DH30</f>
        <v>13107</v>
      </c>
      <c r="DJ30" s="99">
        <v>2909</v>
      </c>
      <c r="DK30" s="99">
        <v>2478</v>
      </c>
      <c r="DL30" s="99">
        <f t="shared" ref="DL30" si="513">DJ30+DK30</f>
        <v>5387</v>
      </c>
      <c r="DM30" s="98">
        <f t="shared" ref="DM30" si="514">DG30+DJ30</f>
        <v>10400</v>
      </c>
      <c r="DN30" s="98">
        <f t="shared" ref="DN30" si="515">DH30+DK30</f>
        <v>8094</v>
      </c>
      <c r="DO30" s="98">
        <f t="shared" ref="DO30" si="516">DI30+DL30</f>
        <v>18494</v>
      </c>
      <c r="DP30" s="116">
        <f t="shared" ref="DP30" si="517">DM30/DD30</f>
        <v>0.27771843623157444</v>
      </c>
      <c r="DQ30" s="116">
        <f t="shared" ref="DQ30" si="518">DN30/DE30</f>
        <v>0.28044766293614221</v>
      </c>
      <c r="DR30" s="116">
        <f t="shared" ref="DR30" si="519">DO30/DF30</f>
        <v>0.27890633247372154</v>
      </c>
      <c r="DS30" s="98">
        <f t="shared" si="474"/>
        <v>98884</v>
      </c>
      <c r="DT30" s="98">
        <f t="shared" si="474"/>
        <v>93547</v>
      </c>
      <c r="DU30" s="98">
        <f t="shared" si="474"/>
        <v>192431</v>
      </c>
      <c r="DV30" s="98">
        <f t="shared" si="474"/>
        <v>45275</v>
      </c>
      <c r="DW30" s="98">
        <f t="shared" si="474"/>
        <v>44571</v>
      </c>
      <c r="DX30" s="98">
        <f t="shared" si="474"/>
        <v>89846</v>
      </c>
      <c r="DY30" s="98">
        <f t="shared" si="474"/>
        <v>7485</v>
      </c>
      <c r="DZ30" s="98">
        <f t="shared" si="474"/>
        <v>8023</v>
      </c>
      <c r="EA30" s="98">
        <f t="shared" si="474"/>
        <v>15508</v>
      </c>
      <c r="EB30" s="98">
        <f t="shared" si="474"/>
        <v>52760</v>
      </c>
      <c r="EC30" s="98">
        <f t="shared" si="474"/>
        <v>52594</v>
      </c>
      <c r="ED30" s="98">
        <f t="shared" si="474"/>
        <v>105354</v>
      </c>
      <c r="EE30" s="116">
        <f t="shared" si="394"/>
        <v>0.53355446786133243</v>
      </c>
      <c r="EF30" s="116">
        <f t="shared" si="193"/>
        <v>0.56222006050434536</v>
      </c>
      <c r="EG30" s="116">
        <f t="shared" si="193"/>
        <v>0.54748974957257401</v>
      </c>
      <c r="EH30" s="99">
        <v>224141</v>
      </c>
      <c r="EI30" s="99">
        <v>192076</v>
      </c>
      <c r="EJ30" s="99">
        <f t="shared" ref="EJ30" si="520">EH30+EI30</f>
        <v>416217</v>
      </c>
      <c r="EK30" s="99">
        <v>145803</v>
      </c>
      <c r="EL30" s="99">
        <v>137715</v>
      </c>
      <c r="EM30" s="99">
        <f t="shared" ref="EM30" si="521">EK30+EL30</f>
        <v>283518</v>
      </c>
      <c r="EN30" s="99">
        <v>14792</v>
      </c>
      <c r="EO30" s="99">
        <v>13068</v>
      </c>
      <c r="EP30" s="99">
        <f t="shared" ref="EP30" si="522">EN30+EO30</f>
        <v>27860</v>
      </c>
      <c r="EQ30" s="98">
        <f t="shared" ref="EQ30" si="523">EK30+EN30</f>
        <v>160595</v>
      </c>
      <c r="ER30" s="98">
        <f t="shared" ref="ER30" si="524">EL30+EO30</f>
        <v>150783</v>
      </c>
      <c r="ES30" s="98">
        <f t="shared" ref="ES30" si="525">EM30+EP30</f>
        <v>311378</v>
      </c>
      <c r="ET30" s="116">
        <f t="shared" ref="ET30" si="526">EQ30/EH30</f>
        <v>0.71649095881610236</v>
      </c>
      <c r="EU30" s="116">
        <f t="shared" ref="EU30" si="527">ER30/EI30</f>
        <v>0.78501738895020723</v>
      </c>
      <c r="EV30" s="116">
        <f t="shared" ref="EV30" si="528">ES30/EJ30</f>
        <v>0.74811456523880571</v>
      </c>
      <c r="EW30" s="99">
        <v>77172</v>
      </c>
      <c r="EX30" s="99">
        <v>50373</v>
      </c>
      <c r="EY30" s="99">
        <f t="shared" ref="EY30" si="529">EW30+EX30</f>
        <v>127545</v>
      </c>
      <c r="EZ30" s="99">
        <v>17633</v>
      </c>
      <c r="FA30" s="99">
        <v>12339</v>
      </c>
      <c r="FB30" s="99">
        <f t="shared" ref="FB30:FB31" si="530">EZ30+FA30</f>
        <v>29972</v>
      </c>
      <c r="FC30" s="99">
        <v>6114</v>
      </c>
      <c r="FD30" s="99">
        <v>4873</v>
      </c>
      <c r="FE30" s="99">
        <f t="shared" ref="FE30:FE31" si="531">FC30+FD30</f>
        <v>10987</v>
      </c>
      <c r="FF30" s="98">
        <f t="shared" ref="FF30:FF31" si="532">EZ30+FC30</f>
        <v>23747</v>
      </c>
      <c r="FG30" s="98">
        <f t="shared" ref="FG30:FG31" si="533">FA30+FD30</f>
        <v>17212</v>
      </c>
      <c r="FH30" s="98">
        <f t="shared" ref="FH30:FH31" si="534">FB30+FE30</f>
        <v>40959</v>
      </c>
      <c r="FI30" s="116">
        <f t="shared" ref="FI30:FI31" si="535">FF30/EW30</f>
        <v>0.30771523350437985</v>
      </c>
      <c r="FJ30" s="116">
        <f t="shared" ref="FJ30:FJ31" si="536">FG30/EX30</f>
        <v>0.34169098525003472</v>
      </c>
      <c r="FK30" s="116">
        <f t="shared" ref="FK30:FK31" si="537">FH30/EY30</f>
        <v>0.32113371751146652</v>
      </c>
      <c r="FL30" s="98">
        <f t="shared" si="452"/>
        <v>301313</v>
      </c>
      <c r="FM30" s="98">
        <f t="shared" si="453"/>
        <v>242449</v>
      </c>
      <c r="FN30" s="98">
        <f t="shared" si="454"/>
        <v>543762</v>
      </c>
      <c r="FO30" s="98">
        <f t="shared" si="455"/>
        <v>163436</v>
      </c>
      <c r="FP30" s="98">
        <f t="shared" si="456"/>
        <v>150054</v>
      </c>
      <c r="FQ30" s="98">
        <f t="shared" si="457"/>
        <v>313490</v>
      </c>
      <c r="FR30" s="98">
        <f t="shared" si="471"/>
        <v>20906</v>
      </c>
      <c r="FS30" s="98">
        <f t="shared" si="472"/>
        <v>17941</v>
      </c>
      <c r="FT30" s="98">
        <f t="shared" si="473"/>
        <v>38847</v>
      </c>
      <c r="FU30" s="98">
        <f t="shared" si="461"/>
        <v>184342</v>
      </c>
      <c r="FV30" s="98">
        <f t="shared" si="462"/>
        <v>167995</v>
      </c>
      <c r="FW30" s="98">
        <f t="shared" si="463"/>
        <v>352337</v>
      </c>
      <c r="FX30" s="116">
        <f t="shared" ref="FX30" si="538">FU30/FL30</f>
        <v>0.61179570745371092</v>
      </c>
      <c r="FY30" s="116">
        <f t="shared" ref="FY30" si="539">FV30/FM30</f>
        <v>0.69290861170802931</v>
      </c>
      <c r="FZ30" s="116">
        <f t="shared" ref="FZ30" si="540">FW30/FN30</f>
        <v>0.64796179210757643</v>
      </c>
      <c r="GA30" s="98">
        <f t="shared" si="207"/>
        <v>359742</v>
      </c>
      <c r="GB30" s="98">
        <f t="shared" si="207"/>
        <v>328478</v>
      </c>
      <c r="GC30" s="98">
        <f t="shared" si="207"/>
        <v>688220</v>
      </c>
      <c r="GD30" s="101">
        <v>143626</v>
      </c>
      <c r="GE30" s="101">
        <v>143814</v>
      </c>
      <c r="GF30" s="98">
        <f t="shared" si="208"/>
        <v>287440</v>
      </c>
      <c r="GG30" s="100">
        <f t="shared" si="209"/>
        <v>39.924723829855843</v>
      </c>
      <c r="GH30" s="100">
        <f t="shared" si="209"/>
        <v>43.781927556792233</v>
      </c>
      <c r="GI30" s="100">
        <f t="shared" si="209"/>
        <v>41.765714451774144</v>
      </c>
      <c r="GJ30" s="98">
        <f t="shared" si="210"/>
        <v>61970</v>
      </c>
      <c r="GK30" s="98">
        <f t="shared" si="210"/>
        <v>50894</v>
      </c>
      <c r="GL30" s="98">
        <f t="shared" si="210"/>
        <v>112864</v>
      </c>
      <c r="GM30" s="101">
        <v>22460</v>
      </c>
      <c r="GN30" s="101">
        <v>18859</v>
      </c>
      <c r="GO30" s="98">
        <f t="shared" si="211"/>
        <v>41319</v>
      </c>
      <c r="GP30" s="100">
        <f t="shared" si="212"/>
        <v>36.243343553332259</v>
      </c>
      <c r="GQ30" s="100">
        <f t="shared" si="212"/>
        <v>37.05544857940032</v>
      </c>
      <c r="GR30" s="100">
        <f t="shared" si="212"/>
        <v>36.609547774312446</v>
      </c>
      <c r="GS30" s="98">
        <f t="shared" si="213"/>
        <v>52760</v>
      </c>
      <c r="GT30" s="98">
        <f t="shared" si="213"/>
        <v>52594</v>
      </c>
      <c r="GU30" s="98">
        <f t="shared" si="213"/>
        <v>105354</v>
      </c>
      <c r="GV30" s="101">
        <v>14241</v>
      </c>
      <c r="GW30" s="101">
        <v>13832</v>
      </c>
      <c r="GX30" s="98">
        <f t="shared" si="214"/>
        <v>28073</v>
      </c>
      <c r="GY30" s="100">
        <f t="shared" si="244"/>
        <v>26.992039423805913</v>
      </c>
      <c r="GZ30" s="100">
        <f t="shared" si="215"/>
        <v>26.299577898619614</v>
      </c>
      <c r="HA30" s="100">
        <f t="shared" si="215"/>
        <v>26.64635419632857</v>
      </c>
      <c r="HB30" s="98">
        <f t="shared" si="167"/>
        <v>184342</v>
      </c>
      <c r="HC30" s="98">
        <f t="shared" si="168"/>
        <v>167995</v>
      </c>
      <c r="HD30" s="98">
        <f t="shared" si="169"/>
        <v>352337</v>
      </c>
      <c r="HE30" s="101">
        <v>77250</v>
      </c>
      <c r="HF30" s="101">
        <v>79471</v>
      </c>
      <c r="HG30" s="98">
        <f t="shared" ref="HG30" si="541">HE30+HF30</f>
        <v>156721</v>
      </c>
      <c r="HH30" s="100">
        <f t="shared" ref="HH30" si="542">+HE30*100/HB30</f>
        <v>41.905805513664816</v>
      </c>
      <c r="HI30" s="100">
        <f t="shared" ref="HI30" si="543">+HF30*100/HC30</f>
        <v>47.305574570671745</v>
      </c>
      <c r="HJ30" s="100">
        <f t="shared" ref="HJ30" si="544">+HG30*100/HD30</f>
        <v>44.480426409942751</v>
      </c>
    </row>
    <row r="31" spans="1:219" ht="28.5">
      <c r="A31" s="420">
        <v>23</v>
      </c>
      <c r="B31" s="118" t="s">
        <v>141</v>
      </c>
      <c r="C31" s="96">
        <v>18819</v>
      </c>
      <c r="D31" s="96">
        <v>18532</v>
      </c>
      <c r="E31" s="96">
        <f>C31+D31</f>
        <v>37351</v>
      </c>
      <c r="F31" s="96">
        <v>13992</v>
      </c>
      <c r="G31" s="96">
        <v>13139</v>
      </c>
      <c r="H31" s="96">
        <f>F31+G31</f>
        <v>27131</v>
      </c>
      <c r="I31" s="96">
        <v>1737</v>
      </c>
      <c r="J31" s="96">
        <v>1950</v>
      </c>
      <c r="K31" s="96">
        <f>I31+J31</f>
        <v>3687</v>
      </c>
      <c r="L31" s="97">
        <f>F31+I31</f>
        <v>15729</v>
      </c>
      <c r="M31" s="98">
        <f>G31+J31</f>
        <v>15089</v>
      </c>
      <c r="N31" s="98">
        <f>H31+K31</f>
        <v>30818</v>
      </c>
      <c r="O31" s="116">
        <f>L31/C31</f>
        <v>0.83580424039534518</v>
      </c>
      <c r="P31" s="116">
        <f>M31/D31</f>
        <v>0.81421325275199652</v>
      </c>
      <c r="Q31" s="116">
        <f>N31/E31</f>
        <v>0.82509169767877699</v>
      </c>
      <c r="R31" s="96">
        <v>8</v>
      </c>
      <c r="S31" s="96">
        <v>5</v>
      </c>
      <c r="T31" s="96">
        <f>R31+S31</f>
        <v>13</v>
      </c>
      <c r="U31" s="96">
        <v>3</v>
      </c>
      <c r="V31" s="96">
        <v>1</v>
      </c>
      <c r="W31" s="96">
        <f>U31+V31</f>
        <v>4</v>
      </c>
      <c r="X31" s="393">
        <v>0</v>
      </c>
      <c r="Y31" s="96">
        <v>1</v>
      </c>
      <c r="Z31" s="96">
        <f>X31+Y31</f>
        <v>1</v>
      </c>
      <c r="AA31" s="97">
        <f>U31+X31</f>
        <v>3</v>
      </c>
      <c r="AB31" s="98">
        <f>V31+Y31</f>
        <v>2</v>
      </c>
      <c r="AC31" s="98">
        <f>W31+Z31</f>
        <v>5</v>
      </c>
      <c r="AD31" s="116">
        <f>AA31/R31</f>
        <v>0.375</v>
      </c>
      <c r="AE31" s="116">
        <f>AB31/S31</f>
        <v>0.4</v>
      </c>
      <c r="AF31" s="116">
        <f>AC31/T31</f>
        <v>0.38461538461538464</v>
      </c>
      <c r="AG31" s="98">
        <f t="shared" si="179"/>
        <v>18827</v>
      </c>
      <c r="AH31" s="98">
        <f t="shared" si="179"/>
        <v>18537</v>
      </c>
      <c r="AI31" s="98">
        <f t="shared" si="179"/>
        <v>37364</v>
      </c>
      <c r="AJ31" s="98">
        <f t="shared" si="179"/>
        <v>13995</v>
      </c>
      <c r="AK31" s="98">
        <f t="shared" si="179"/>
        <v>13140</v>
      </c>
      <c r="AL31" s="98">
        <f t="shared" si="179"/>
        <v>27135</v>
      </c>
      <c r="AM31" s="98">
        <f t="shared" si="179"/>
        <v>1737</v>
      </c>
      <c r="AN31" s="98">
        <f t="shared" si="179"/>
        <v>1951</v>
      </c>
      <c r="AO31" s="98">
        <f t="shared" si="179"/>
        <v>3688</v>
      </c>
      <c r="AP31" s="98">
        <f t="shared" si="179"/>
        <v>15732</v>
      </c>
      <c r="AQ31" s="98">
        <f t="shared" si="179"/>
        <v>15091</v>
      </c>
      <c r="AR31" s="98">
        <f t="shared" si="179"/>
        <v>30823</v>
      </c>
      <c r="AS31" s="116">
        <f>AP31/AG31</f>
        <v>0.83560843469485313</v>
      </c>
      <c r="AT31" s="116">
        <f>AQ31/AH31</f>
        <v>0.81410152667637703</v>
      </c>
      <c r="AU31" s="116">
        <f>AR31/AI31</f>
        <v>0.82493844342147526</v>
      </c>
      <c r="AV31" s="96">
        <v>804</v>
      </c>
      <c r="AW31" s="96">
        <v>808</v>
      </c>
      <c r="AX31" s="96">
        <f>AV31+AW31</f>
        <v>1612</v>
      </c>
      <c r="AY31" s="96">
        <v>641</v>
      </c>
      <c r="AZ31" s="96">
        <v>590</v>
      </c>
      <c r="BA31" s="96">
        <f>AY31+AZ31</f>
        <v>1231</v>
      </c>
      <c r="BB31" s="96">
        <v>60</v>
      </c>
      <c r="BC31" s="96">
        <v>73</v>
      </c>
      <c r="BD31" s="96">
        <f>BB31+BC31</f>
        <v>133</v>
      </c>
      <c r="BE31" s="97">
        <f>AY31+BB31</f>
        <v>701</v>
      </c>
      <c r="BF31" s="98">
        <f>AZ31+BC31</f>
        <v>663</v>
      </c>
      <c r="BG31" s="98">
        <f>BA31+BD31</f>
        <v>1364</v>
      </c>
      <c r="BH31" s="116">
        <f>BE31/AV31</f>
        <v>0.87189054726368154</v>
      </c>
      <c r="BI31" s="116">
        <f>BF31/AW31</f>
        <v>0.8205445544554455</v>
      </c>
      <c r="BJ31" s="116">
        <f>BG31/AX31</f>
        <v>0.84615384615384615</v>
      </c>
      <c r="BK31" s="403"/>
      <c r="BL31" s="403"/>
      <c r="BM31" s="403"/>
      <c r="BN31" s="403"/>
      <c r="BO31" s="403"/>
      <c r="BP31" s="403"/>
      <c r="BQ31" s="403"/>
      <c r="BR31" s="403"/>
      <c r="BS31" s="403"/>
      <c r="BT31" s="404"/>
      <c r="BU31" s="404"/>
      <c r="BV31" s="404"/>
      <c r="BW31" s="405"/>
      <c r="BX31" s="405"/>
      <c r="BY31" s="405"/>
      <c r="BZ31" s="98">
        <f t="shared" ref="BZ31:CK43" si="545">AV31+BK31</f>
        <v>804</v>
      </c>
      <c r="CA31" s="98">
        <f t="shared" si="545"/>
        <v>808</v>
      </c>
      <c r="CB31" s="98">
        <f t="shared" si="545"/>
        <v>1612</v>
      </c>
      <c r="CC31" s="98">
        <f t="shared" si="545"/>
        <v>641</v>
      </c>
      <c r="CD31" s="98">
        <f t="shared" si="545"/>
        <v>590</v>
      </c>
      <c r="CE31" s="98">
        <f t="shared" si="545"/>
        <v>1231</v>
      </c>
      <c r="CF31" s="98">
        <f t="shared" si="545"/>
        <v>60</v>
      </c>
      <c r="CG31" s="98">
        <f t="shared" si="545"/>
        <v>73</v>
      </c>
      <c r="CH31" s="98">
        <f t="shared" si="545"/>
        <v>133</v>
      </c>
      <c r="CI31" s="98">
        <f t="shared" si="331"/>
        <v>701</v>
      </c>
      <c r="CJ31" s="98">
        <f t="shared" si="438"/>
        <v>663</v>
      </c>
      <c r="CK31" s="98">
        <f t="shared" si="438"/>
        <v>1364</v>
      </c>
      <c r="CL31" s="116">
        <f>CI31/BZ31</f>
        <v>0.87189054726368154</v>
      </c>
      <c r="CM31" s="116">
        <f>CJ31/CA31</f>
        <v>0.8205445544554455</v>
      </c>
      <c r="CN31" s="116">
        <f>CK31/CB31</f>
        <v>0.84615384615384615</v>
      </c>
      <c r="CO31" s="96">
        <v>7127</v>
      </c>
      <c r="CP31" s="96">
        <v>7263</v>
      </c>
      <c r="CQ31" s="96">
        <f>CO31+CP31</f>
        <v>14390</v>
      </c>
      <c r="CR31" s="96">
        <v>5266</v>
      </c>
      <c r="CS31" s="96">
        <v>5119</v>
      </c>
      <c r="CT31" s="96">
        <f>CR31+CS31</f>
        <v>10385</v>
      </c>
      <c r="CU31" s="96">
        <v>746</v>
      </c>
      <c r="CV31" s="96">
        <v>875</v>
      </c>
      <c r="CW31" s="96">
        <f>CU31+CV31</f>
        <v>1621</v>
      </c>
      <c r="CX31" s="97">
        <f>CR31+CU31</f>
        <v>6012</v>
      </c>
      <c r="CY31" s="98">
        <f>CS31+CV31</f>
        <v>5994</v>
      </c>
      <c r="CZ31" s="98">
        <f>CT31+CW31</f>
        <v>12006</v>
      </c>
      <c r="DA31" s="116">
        <f>CX31/CO31</f>
        <v>0.84355268696506247</v>
      </c>
      <c r="DB31" s="116">
        <f>CY31/CP31</f>
        <v>0.82527881040892193</v>
      </c>
      <c r="DC31" s="116">
        <f>CZ31/CQ31</f>
        <v>0.83432939541348161</v>
      </c>
      <c r="DD31" s="96">
        <v>4</v>
      </c>
      <c r="DE31" s="96">
        <v>1</v>
      </c>
      <c r="DF31" s="96">
        <f>DD31+DE31</f>
        <v>5</v>
      </c>
      <c r="DG31" s="96">
        <v>3</v>
      </c>
      <c r="DH31" s="393">
        <v>0</v>
      </c>
      <c r="DI31" s="96">
        <f>DG31+DH31</f>
        <v>3</v>
      </c>
      <c r="DJ31" s="403"/>
      <c r="DK31" s="403"/>
      <c r="DL31" s="403"/>
      <c r="DM31" s="97">
        <f>DG31+DJ31</f>
        <v>3</v>
      </c>
      <c r="DN31" s="97">
        <f>DH31+DK31</f>
        <v>0</v>
      </c>
      <c r="DO31" s="98">
        <f>DI31+DL31</f>
        <v>3</v>
      </c>
      <c r="DP31" s="116">
        <f>DM31/DD31</f>
        <v>0.75</v>
      </c>
      <c r="DQ31" s="116">
        <f>DN31/DE31</f>
        <v>0</v>
      </c>
      <c r="DR31" s="116">
        <f>DO31/DF31</f>
        <v>0.6</v>
      </c>
      <c r="DS31" s="98">
        <f t="shared" si="474"/>
        <v>7131</v>
      </c>
      <c r="DT31" s="98">
        <f t="shared" si="474"/>
        <v>7264</v>
      </c>
      <c r="DU31" s="98">
        <f t="shared" si="474"/>
        <v>14395</v>
      </c>
      <c r="DV31" s="98">
        <f t="shared" si="474"/>
        <v>5269</v>
      </c>
      <c r="DW31" s="98">
        <f t="shared" si="474"/>
        <v>5119</v>
      </c>
      <c r="DX31" s="98">
        <f t="shared" si="474"/>
        <v>10388</v>
      </c>
      <c r="DY31" s="98">
        <f t="shared" si="474"/>
        <v>746</v>
      </c>
      <c r="DZ31" s="98">
        <f t="shared" si="474"/>
        <v>875</v>
      </c>
      <c r="EA31" s="98">
        <f t="shared" si="474"/>
        <v>1621</v>
      </c>
      <c r="EB31" s="98">
        <f t="shared" si="474"/>
        <v>6015</v>
      </c>
      <c r="EC31" s="98">
        <f t="shared" si="474"/>
        <v>5994</v>
      </c>
      <c r="ED31" s="98">
        <f t="shared" si="474"/>
        <v>12009</v>
      </c>
      <c r="EE31" s="116">
        <f>EB31/DS31</f>
        <v>0.84350021034917966</v>
      </c>
      <c r="EF31" s="116">
        <f>EC31/DT31</f>
        <v>0.82516519823788548</v>
      </c>
      <c r="EG31" s="116">
        <f>ED31/DU31</f>
        <v>0.83424800277874267</v>
      </c>
      <c r="EH31" s="96">
        <v>6088</v>
      </c>
      <c r="EI31" s="96">
        <v>5417</v>
      </c>
      <c r="EJ31" s="96">
        <f>EH31+EI31</f>
        <v>11505</v>
      </c>
      <c r="EK31" s="96">
        <v>4799</v>
      </c>
      <c r="EL31" s="96">
        <v>4198</v>
      </c>
      <c r="EM31" s="96">
        <f>EK31+EL31</f>
        <v>8997</v>
      </c>
      <c r="EN31" s="96">
        <v>500</v>
      </c>
      <c r="EO31" s="96">
        <v>468</v>
      </c>
      <c r="EP31" s="96">
        <f>EN31+EO31</f>
        <v>968</v>
      </c>
      <c r="EQ31" s="97">
        <f>EK31+EN31</f>
        <v>5299</v>
      </c>
      <c r="ER31" s="98">
        <f>EL31+EO31</f>
        <v>4666</v>
      </c>
      <c r="ES31" s="98">
        <f>EM31+EP31</f>
        <v>9965</v>
      </c>
      <c r="ET31" s="116">
        <f>EQ31/EH31</f>
        <v>0.87040078843626811</v>
      </c>
      <c r="EU31" s="116">
        <f>ER31/EI31</f>
        <v>0.86136237769983381</v>
      </c>
      <c r="EV31" s="116">
        <f>ES31/EJ31</f>
        <v>0.86614515428074745</v>
      </c>
      <c r="EW31" s="96">
        <v>2</v>
      </c>
      <c r="EX31" s="96">
        <v>1</v>
      </c>
      <c r="EY31" s="96">
        <f>EW31+EX31</f>
        <v>3</v>
      </c>
      <c r="EZ31" s="393">
        <v>0</v>
      </c>
      <c r="FA31" s="393">
        <v>0</v>
      </c>
      <c r="FB31" s="99">
        <f t="shared" si="530"/>
        <v>0</v>
      </c>
      <c r="FC31" s="393">
        <v>0</v>
      </c>
      <c r="FD31" s="393">
        <v>0</v>
      </c>
      <c r="FE31" s="393">
        <f t="shared" si="531"/>
        <v>0</v>
      </c>
      <c r="FF31" s="392">
        <f t="shared" si="532"/>
        <v>0</v>
      </c>
      <c r="FG31" s="392">
        <f t="shared" si="533"/>
        <v>0</v>
      </c>
      <c r="FH31" s="392">
        <f t="shared" si="534"/>
        <v>0</v>
      </c>
      <c r="FI31" s="426">
        <f t="shared" si="535"/>
        <v>0</v>
      </c>
      <c r="FJ31" s="426">
        <f t="shared" si="536"/>
        <v>0</v>
      </c>
      <c r="FK31" s="426">
        <f t="shared" si="537"/>
        <v>0</v>
      </c>
      <c r="FL31" s="98">
        <f t="shared" si="452"/>
        <v>6090</v>
      </c>
      <c r="FM31" s="98">
        <f t="shared" si="453"/>
        <v>5418</v>
      </c>
      <c r="FN31" s="98">
        <f t="shared" si="454"/>
        <v>11508</v>
      </c>
      <c r="FO31" s="98">
        <f t="shared" si="455"/>
        <v>4799</v>
      </c>
      <c r="FP31" s="98">
        <f t="shared" si="456"/>
        <v>4198</v>
      </c>
      <c r="FQ31" s="98">
        <f t="shared" si="457"/>
        <v>8997</v>
      </c>
      <c r="FR31" s="98">
        <f t="shared" si="471"/>
        <v>500</v>
      </c>
      <c r="FS31" s="98">
        <f t="shared" si="472"/>
        <v>468</v>
      </c>
      <c r="FT31" s="98">
        <f t="shared" si="473"/>
        <v>968</v>
      </c>
      <c r="FU31" s="98">
        <f t="shared" si="461"/>
        <v>5299</v>
      </c>
      <c r="FV31" s="98">
        <f t="shared" si="462"/>
        <v>4666</v>
      </c>
      <c r="FW31" s="98">
        <f t="shared" si="463"/>
        <v>9965</v>
      </c>
      <c r="FX31" s="116">
        <f>FU31/FL31</f>
        <v>0.87011494252873567</v>
      </c>
      <c r="FY31" s="116">
        <f>FV31/FM31</f>
        <v>0.86120339608711705</v>
      </c>
      <c r="FZ31" s="116">
        <f>FW31/FN31</f>
        <v>0.86591936044490792</v>
      </c>
      <c r="GA31" s="98">
        <f>+AP31</f>
        <v>15732</v>
      </c>
      <c r="GB31" s="98">
        <f>+AQ31</f>
        <v>15091</v>
      </c>
      <c r="GC31" s="98">
        <f>+AR31</f>
        <v>30823</v>
      </c>
      <c r="GD31" s="98">
        <v>5852</v>
      </c>
      <c r="GE31" s="98">
        <v>5701</v>
      </c>
      <c r="GF31" s="98">
        <f>GD31+GE31</f>
        <v>11553</v>
      </c>
      <c r="GG31" s="100">
        <f>+GD31*100/GA31</f>
        <v>37.19806763285024</v>
      </c>
      <c r="GH31" s="100">
        <f>+GE31*100/GB31</f>
        <v>37.777483268173086</v>
      </c>
      <c r="GI31" s="100">
        <f>+GF31*100/GC31</f>
        <v>37.48175064075528</v>
      </c>
      <c r="GJ31" s="98">
        <f>+CI31</f>
        <v>701</v>
      </c>
      <c r="GK31" s="98">
        <f>+CJ31</f>
        <v>663</v>
      </c>
      <c r="GL31" s="98">
        <f>+CK31</f>
        <v>1364</v>
      </c>
      <c r="GM31" s="98">
        <v>319</v>
      </c>
      <c r="GN31" s="98">
        <v>280</v>
      </c>
      <c r="GO31" s="98">
        <f>GM31+GN31</f>
        <v>599</v>
      </c>
      <c r="GP31" s="100">
        <f>+GM31*100/GJ31</f>
        <v>45.506419400855918</v>
      </c>
      <c r="GQ31" s="100">
        <f>+GN31*100/GK31</f>
        <v>42.232277526395173</v>
      </c>
      <c r="GR31" s="100">
        <f>+GO31*100/GL31</f>
        <v>43.914956011730204</v>
      </c>
      <c r="GS31" s="98">
        <f>+EB31</f>
        <v>6015</v>
      </c>
      <c r="GT31" s="98">
        <f>+EC31</f>
        <v>5994</v>
      </c>
      <c r="GU31" s="98">
        <f>+ED31</f>
        <v>12009</v>
      </c>
      <c r="GV31" s="98">
        <v>1754</v>
      </c>
      <c r="GW31" s="98">
        <v>1870</v>
      </c>
      <c r="GX31" s="98">
        <f>GV31+GW31</f>
        <v>3624</v>
      </c>
      <c r="GY31" s="100">
        <f>+GV31*100/GS31</f>
        <v>29.160432252701579</v>
      </c>
      <c r="GZ31" s="100">
        <f>+GW31*100/GT31</f>
        <v>31.197864531197865</v>
      </c>
      <c r="HA31" s="100">
        <f>+GX31*100/GU31</f>
        <v>30.177366974768923</v>
      </c>
      <c r="HB31" s="98">
        <f t="shared" si="167"/>
        <v>5299</v>
      </c>
      <c r="HC31" s="98">
        <f t="shared" si="168"/>
        <v>4666</v>
      </c>
      <c r="HD31" s="98">
        <f t="shared" si="169"/>
        <v>9965</v>
      </c>
      <c r="HE31" s="98">
        <v>2478</v>
      </c>
      <c r="HF31" s="98">
        <v>2142</v>
      </c>
      <c r="HG31" s="98">
        <f>HE31+HF31</f>
        <v>4620</v>
      </c>
      <c r="HH31" s="100">
        <f>+HE31*100/HB31</f>
        <v>46.763540290620874</v>
      </c>
      <c r="HI31" s="100">
        <f>+HF31*100/HC31</f>
        <v>45.906558079725677</v>
      </c>
      <c r="HJ31" s="100">
        <f>+HG31*100/HD31</f>
        <v>46.362267937782235</v>
      </c>
    </row>
    <row r="32" spans="1:219" ht="28.5">
      <c r="A32" s="420">
        <v>24</v>
      </c>
      <c r="B32" s="118" t="s">
        <v>158</v>
      </c>
      <c r="C32" s="96">
        <v>9621</v>
      </c>
      <c r="D32" s="96">
        <v>12113</v>
      </c>
      <c r="E32" s="96">
        <f t="shared" ref="E32" si="546">C32+D32</f>
        <v>21734</v>
      </c>
      <c r="F32" s="96">
        <v>8128</v>
      </c>
      <c r="G32" s="96">
        <v>10119</v>
      </c>
      <c r="H32" s="96">
        <f t="shared" ref="H32" si="547">F32+G32</f>
        <v>18247</v>
      </c>
      <c r="I32" s="104"/>
      <c r="J32" s="104"/>
      <c r="K32" s="104"/>
      <c r="L32" s="97">
        <f t="shared" ref="L32:N32" si="548">F32+I32</f>
        <v>8128</v>
      </c>
      <c r="M32" s="98">
        <f t="shared" si="548"/>
        <v>10119</v>
      </c>
      <c r="N32" s="98">
        <f t="shared" si="548"/>
        <v>18247</v>
      </c>
      <c r="O32" s="116">
        <f t="shared" ref="O32:Q32" si="549">L32/C32</f>
        <v>0.84481862592246126</v>
      </c>
      <c r="P32" s="116">
        <f t="shared" si="549"/>
        <v>0.83538347230248489</v>
      </c>
      <c r="Q32" s="116">
        <f t="shared" si="549"/>
        <v>0.83956013619214132</v>
      </c>
      <c r="R32" s="96">
        <v>13283</v>
      </c>
      <c r="S32" s="96">
        <v>15059</v>
      </c>
      <c r="T32" s="96">
        <f t="shared" ref="T32" si="550">R32+S32</f>
        <v>28342</v>
      </c>
      <c r="U32" s="96">
        <v>4505</v>
      </c>
      <c r="V32" s="96">
        <v>5692</v>
      </c>
      <c r="W32" s="96">
        <f t="shared" ref="W32" si="551">U32+V32</f>
        <v>10197</v>
      </c>
      <c r="X32" s="104"/>
      <c r="Y32" s="104"/>
      <c r="Z32" s="104"/>
      <c r="AA32" s="97">
        <f t="shared" ref="AA32:AC32" si="552">U32+X32</f>
        <v>4505</v>
      </c>
      <c r="AB32" s="98">
        <f t="shared" si="552"/>
        <v>5692</v>
      </c>
      <c r="AC32" s="98">
        <f t="shared" si="552"/>
        <v>10197</v>
      </c>
      <c r="AD32" s="116">
        <f t="shared" ref="AD32:AF32" si="553">AA32/R32</f>
        <v>0.33915531130015808</v>
      </c>
      <c r="AE32" s="116">
        <f t="shared" si="553"/>
        <v>0.37797994554751313</v>
      </c>
      <c r="AF32" s="116">
        <f t="shared" si="553"/>
        <v>0.3597840660503846</v>
      </c>
      <c r="AG32" s="98">
        <f t="shared" si="179"/>
        <v>22904</v>
      </c>
      <c r="AH32" s="98">
        <f t="shared" si="179"/>
        <v>27172</v>
      </c>
      <c r="AI32" s="98">
        <f t="shared" si="179"/>
        <v>50076</v>
      </c>
      <c r="AJ32" s="98">
        <f>F32+U32</f>
        <v>12633</v>
      </c>
      <c r="AK32" s="98">
        <f t="shared" si="179"/>
        <v>15811</v>
      </c>
      <c r="AL32" s="98">
        <f t="shared" si="179"/>
        <v>28444</v>
      </c>
      <c r="AM32" s="103"/>
      <c r="AN32" s="103"/>
      <c r="AO32" s="103"/>
      <c r="AP32" s="98">
        <f>L32+AA32</f>
        <v>12633</v>
      </c>
      <c r="AQ32" s="98">
        <f t="shared" si="179"/>
        <v>15811</v>
      </c>
      <c r="AR32" s="98">
        <f t="shared" si="179"/>
        <v>28444</v>
      </c>
      <c r="AS32" s="116">
        <f t="shared" ref="AS32:AT32" si="554">AP32/AG32</f>
        <v>0.55156304575619974</v>
      </c>
      <c r="AT32" s="116">
        <f t="shared" si="554"/>
        <v>0.58188576475783893</v>
      </c>
      <c r="AU32" s="116">
        <f>AR32/AI32</f>
        <v>0.56801661474558673</v>
      </c>
      <c r="AV32" s="96">
        <v>77</v>
      </c>
      <c r="AW32" s="96">
        <v>65</v>
      </c>
      <c r="AX32" s="96">
        <f t="shared" ref="AX32" si="555">AV32+AW32</f>
        <v>142</v>
      </c>
      <c r="AY32" s="96">
        <v>70</v>
      </c>
      <c r="AZ32" s="96">
        <v>51</v>
      </c>
      <c r="BA32" s="96">
        <f t="shared" ref="BA32" si="556">AY32+AZ32</f>
        <v>121</v>
      </c>
      <c r="BB32" s="104"/>
      <c r="BC32" s="104"/>
      <c r="BD32" s="104"/>
      <c r="BE32" s="97">
        <f t="shared" ref="BE32:BG32" si="557">AY32+BB32</f>
        <v>70</v>
      </c>
      <c r="BF32" s="98">
        <f t="shared" si="557"/>
        <v>51</v>
      </c>
      <c r="BG32" s="98">
        <f t="shared" si="557"/>
        <v>121</v>
      </c>
      <c r="BH32" s="116">
        <f t="shared" ref="BH32:BJ32" si="558">BE32/AV32</f>
        <v>0.90909090909090906</v>
      </c>
      <c r="BI32" s="116">
        <f t="shared" si="558"/>
        <v>0.7846153846153846</v>
      </c>
      <c r="BJ32" s="116">
        <f t="shared" si="558"/>
        <v>0.852112676056338</v>
      </c>
      <c r="BK32" s="96">
        <v>48</v>
      </c>
      <c r="BL32" s="96">
        <v>47</v>
      </c>
      <c r="BM32" s="96">
        <f t="shared" ref="BM32" si="559">BK32+BL32</f>
        <v>95</v>
      </c>
      <c r="BN32" s="96">
        <v>22</v>
      </c>
      <c r="BO32" s="96">
        <v>26</v>
      </c>
      <c r="BP32" s="96">
        <f t="shared" ref="BP32" si="560">BN32+BO32</f>
        <v>48</v>
      </c>
      <c r="BQ32" s="104"/>
      <c r="BR32" s="104"/>
      <c r="BS32" s="104"/>
      <c r="BT32" s="97">
        <f t="shared" ref="BT32:BV32" si="561">BN32+BQ32</f>
        <v>22</v>
      </c>
      <c r="BU32" s="98">
        <f t="shared" si="561"/>
        <v>26</v>
      </c>
      <c r="BV32" s="98">
        <f t="shared" si="561"/>
        <v>48</v>
      </c>
      <c r="BW32" s="116">
        <f t="shared" ref="BW32:BY32" si="562">BT32/BK32</f>
        <v>0.45833333333333331</v>
      </c>
      <c r="BX32" s="116">
        <f t="shared" si="562"/>
        <v>0.55319148936170215</v>
      </c>
      <c r="BY32" s="116">
        <f t="shared" si="562"/>
        <v>0.50526315789473686</v>
      </c>
      <c r="BZ32" s="98">
        <f t="shared" si="545"/>
        <v>125</v>
      </c>
      <c r="CA32" s="98">
        <f t="shared" si="545"/>
        <v>112</v>
      </c>
      <c r="CB32" s="98">
        <f t="shared" si="545"/>
        <v>237</v>
      </c>
      <c r="CC32" s="98">
        <f t="shared" si="545"/>
        <v>92</v>
      </c>
      <c r="CD32" s="98">
        <f t="shared" si="545"/>
        <v>77</v>
      </c>
      <c r="CE32" s="98">
        <f t="shared" si="545"/>
        <v>169</v>
      </c>
      <c r="CF32" s="103"/>
      <c r="CG32" s="103"/>
      <c r="CH32" s="103"/>
      <c r="CI32" s="98">
        <f t="shared" si="331"/>
        <v>92</v>
      </c>
      <c r="CJ32" s="98">
        <f t="shared" si="438"/>
        <v>77</v>
      </c>
      <c r="CK32" s="98">
        <f t="shared" si="438"/>
        <v>169</v>
      </c>
      <c r="CL32" s="116">
        <f t="shared" ref="CL32:CN32" si="563">CI32/BZ32</f>
        <v>0.73599999999999999</v>
      </c>
      <c r="CM32" s="116">
        <f t="shared" si="563"/>
        <v>0.6875</v>
      </c>
      <c r="CN32" s="116">
        <f t="shared" si="563"/>
        <v>0.71308016877637126</v>
      </c>
      <c r="CO32" s="96">
        <v>8531</v>
      </c>
      <c r="CP32" s="96">
        <v>11010</v>
      </c>
      <c r="CQ32" s="96">
        <f t="shared" ref="CQ32" si="564">CO32+CP32</f>
        <v>19541</v>
      </c>
      <c r="CR32" s="96">
        <v>7129</v>
      </c>
      <c r="CS32" s="96">
        <v>9149</v>
      </c>
      <c r="CT32" s="96">
        <f t="shared" ref="CT32" si="565">CR32+CS32</f>
        <v>16278</v>
      </c>
      <c r="CU32" s="104"/>
      <c r="CV32" s="104"/>
      <c r="CW32" s="104"/>
      <c r="CX32" s="97">
        <f t="shared" ref="CX32:CZ32" si="566">CR32+CU32</f>
        <v>7129</v>
      </c>
      <c r="CY32" s="98">
        <f t="shared" si="566"/>
        <v>9149</v>
      </c>
      <c r="CZ32" s="98">
        <f t="shared" si="566"/>
        <v>16278</v>
      </c>
      <c r="DA32" s="116">
        <f t="shared" ref="DA32:DC32" si="567">CX32/CO32</f>
        <v>0.83565818778572265</v>
      </c>
      <c r="DB32" s="116">
        <f t="shared" si="567"/>
        <v>0.83097184377838329</v>
      </c>
      <c r="DC32" s="116">
        <f t="shared" si="567"/>
        <v>0.83301775753543827</v>
      </c>
      <c r="DD32" s="96">
        <v>10475</v>
      </c>
      <c r="DE32" s="96">
        <v>11878</v>
      </c>
      <c r="DF32" s="96">
        <f t="shared" ref="DF32" si="568">DD32+DE32</f>
        <v>22353</v>
      </c>
      <c r="DG32" s="96">
        <v>2902</v>
      </c>
      <c r="DH32" s="96">
        <v>3629</v>
      </c>
      <c r="DI32" s="96">
        <f t="shared" ref="DI32" si="569">DG32+DH32</f>
        <v>6531</v>
      </c>
      <c r="DJ32" s="104"/>
      <c r="DK32" s="104"/>
      <c r="DL32" s="104"/>
      <c r="DM32" s="97">
        <f>DG32+DN35</f>
        <v>2902</v>
      </c>
      <c r="DN32" s="98">
        <f t="shared" ref="DN32:DO32" si="570">DH32+DK32</f>
        <v>3629</v>
      </c>
      <c r="DO32" s="98">
        <f t="shared" si="570"/>
        <v>6531</v>
      </c>
      <c r="DP32" s="116">
        <f t="shared" ref="DP32:DR32" si="571">DM32/DD32</f>
        <v>0.27704057279236277</v>
      </c>
      <c r="DQ32" s="116">
        <f t="shared" si="571"/>
        <v>0.30552281528876918</v>
      </c>
      <c r="DR32" s="116">
        <f t="shared" si="571"/>
        <v>0.29217554690645553</v>
      </c>
      <c r="DS32" s="98">
        <f t="shared" si="474"/>
        <v>19006</v>
      </c>
      <c r="DT32" s="98">
        <f t="shared" si="474"/>
        <v>22888</v>
      </c>
      <c r="DU32" s="98">
        <f t="shared" si="474"/>
        <v>41894</v>
      </c>
      <c r="DV32" s="98">
        <f t="shared" si="474"/>
        <v>10031</v>
      </c>
      <c r="DW32" s="98">
        <f t="shared" si="474"/>
        <v>12778</v>
      </c>
      <c r="DX32" s="98">
        <f t="shared" si="474"/>
        <v>22809</v>
      </c>
      <c r="DY32" s="103"/>
      <c r="DZ32" s="103"/>
      <c r="EA32" s="103"/>
      <c r="EB32" s="98">
        <f t="shared" si="474"/>
        <v>10031</v>
      </c>
      <c r="EC32" s="98">
        <f t="shared" si="474"/>
        <v>12778</v>
      </c>
      <c r="ED32" s="98">
        <f t="shared" si="474"/>
        <v>22809</v>
      </c>
      <c r="EE32" s="116">
        <f t="shared" ref="EE32:EG32" si="572">EB32/DS32</f>
        <v>0.52778070083131645</v>
      </c>
      <c r="EF32" s="116">
        <f t="shared" si="572"/>
        <v>0.55828381684725625</v>
      </c>
      <c r="EG32" s="116">
        <f t="shared" si="572"/>
        <v>0.54444550532295799</v>
      </c>
      <c r="EH32" s="96">
        <v>108</v>
      </c>
      <c r="EI32" s="96">
        <v>110</v>
      </c>
      <c r="EJ32" s="96">
        <f t="shared" ref="EJ32" si="573">EH32+EI32</f>
        <v>218</v>
      </c>
      <c r="EK32" s="96">
        <v>96</v>
      </c>
      <c r="EL32" s="96">
        <v>105</v>
      </c>
      <c r="EM32" s="96">
        <f t="shared" ref="EM32" si="574">EK32+EL32</f>
        <v>201</v>
      </c>
      <c r="EN32" s="104"/>
      <c r="EO32" s="104"/>
      <c r="EP32" s="104"/>
      <c r="EQ32" s="97">
        <f t="shared" ref="EQ32:ES32" si="575">EK32+EN32</f>
        <v>96</v>
      </c>
      <c r="ER32" s="98">
        <f t="shared" si="575"/>
        <v>105</v>
      </c>
      <c r="ES32" s="98">
        <f t="shared" si="575"/>
        <v>201</v>
      </c>
      <c r="ET32" s="116">
        <f t="shared" ref="ET32:EV32" si="576">EQ32/EH32</f>
        <v>0.88888888888888884</v>
      </c>
      <c r="EU32" s="116">
        <f t="shared" si="576"/>
        <v>0.95454545454545459</v>
      </c>
      <c r="EV32" s="116">
        <f t="shared" si="576"/>
        <v>0.92201834862385323</v>
      </c>
      <c r="EW32" s="96">
        <v>95</v>
      </c>
      <c r="EX32" s="96">
        <v>68</v>
      </c>
      <c r="EY32" s="96">
        <f t="shared" ref="EY32" si="577">EW32+EX32</f>
        <v>163</v>
      </c>
      <c r="EZ32" s="96">
        <v>44</v>
      </c>
      <c r="FA32" s="96">
        <v>42</v>
      </c>
      <c r="FB32" s="96">
        <f t="shared" ref="FB32" si="578">EZ32+FA32</f>
        <v>86</v>
      </c>
      <c r="FC32" s="104"/>
      <c r="FD32" s="104"/>
      <c r="FE32" s="104"/>
      <c r="FF32" s="97">
        <f t="shared" ref="FF32:FH32" si="579">EZ32+FC32</f>
        <v>44</v>
      </c>
      <c r="FG32" s="98">
        <f t="shared" si="579"/>
        <v>42</v>
      </c>
      <c r="FH32" s="98">
        <f t="shared" si="579"/>
        <v>86</v>
      </c>
      <c r="FI32" s="116">
        <f t="shared" ref="FI32:FK32" si="580">FF32/EW32</f>
        <v>0.4631578947368421</v>
      </c>
      <c r="FJ32" s="116">
        <f t="shared" si="580"/>
        <v>0.61764705882352944</v>
      </c>
      <c r="FK32" s="116">
        <f t="shared" si="580"/>
        <v>0.52760736196319014</v>
      </c>
      <c r="FL32" s="98">
        <f>EH32+EW32</f>
        <v>203</v>
      </c>
      <c r="FM32" s="98">
        <f>EI32+EX32</f>
        <v>178</v>
      </c>
      <c r="FN32" s="98">
        <f t="shared" si="454"/>
        <v>381</v>
      </c>
      <c r="FO32" s="98">
        <f t="shared" si="455"/>
        <v>140</v>
      </c>
      <c r="FP32" s="98">
        <f t="shared" si="455"/>
        <v>147</v>
      </c>
      <c r="FQ32" s="98">
        <f t="shared" si="457"/>
        <v>287</v>
      </c>
      <c r="FR32" s="103"/>
      <c r="FS32" s="103"/>
      <c r="FT32" s="103"/>
      <c r="FU32" s="98">
        <f t="shared" si="461"/>
        <v>140</v>
      </c>
      <c r="FV32" s="98">
        <f t="shared" si="462"/>
        <v>147</v>
      </c>
      <c r="FW32" s="98">
        <f t="shared" si="463"/>
        <v>287</v>
      </c>
      <c r="FX32" s="116">
        <f t="shared" ref="FX32:FZ32" si="581">FU32/FL32</f>
        <v>0.68965517241379315</v>
      </c>
      <c r="FY32" s="116">
        <f t="shared" si="581"/>
        <v>0.8258426966292135</v>
      </c>
      <c r="FZ32" s="116">
        <f t="shared" si="581"/>
        <v>0.75328083989501315</v>
      </c>
      <c r="GA32" s="98">
        <f t="shared" ref="GA32:GC32" si="582">+AP32</f>
        <v>12633</v>
      </c>
      <c r="GB32" s="98">
        <f t="shared" si="582"/>
        <v>15811</v>
      </c>
      <c r="GC32" s="98">
        <f t="shared" si="582"/>
        <v>28444</v>
      </c>
      <c r="GD32" s="98">
        <v>2803</v>
      </c>
      <c r="GE32" s="98">
        <v>3634</v>
      </c>
      <c r="GF32" s="98">
        <f t="shared" ref="GF32" si="583">GD32+GE32</f>
        <v>6437</v>
      </c>
      <c r="GG32" s="100">
        <f t="shared" ref="GG32:GI32" si="584">+GD32*100/GA32</f>
        <v>22.187920525607534</v>
      </c>
      <c r="GH32" s="100">
        <f t="shared" si="584"/>
        <v>22.983998482069445</v>
      </c>
      <c r="GI32" s="100">
        <f t="shared" si="584"/>
        <v>22.630431725495711</v>
      </c>
      <c r="GJ32" s="98">
        <f t="shared" ref="GJ32:GL32" si="585">+CI32</f>
        <v>92</v>
      </c>
      <c r="GK32" s="98">
        <f t="shared" si="585"/>
        <v>77</v>
      </c>
      <c r="GL32" s="98">
        <f t="shared" si="585"/>
        <v>169</v>
      </c>
      <c r="GM32" s="98">
        <v>36</v>
      </c>
      <c r="GN32" s="98">
        <v>26</v>
      </c>
      <c r="GO32" s="98">
        <f t="shared" ref="GO32" si="586">GM32+GN32</f>
        <v>62</v>
      </c>
      <c r="GP32" s="100">
        <f t="shared" ref="GP32:GR32" si="587">+GM32*100/GJ32</f>
        <v>39.130434782608695</v>
      </c>
      <c r="GQ32" s="100">
        <f t="shared" si="587"/>
        <v>33.766233766233768</v>
      </c>
      <c r="GR32" s="100">
        <f t="shared" si="587"/>
        <v>36.68639053254438</v>
      </c>
      <c r="GS32" s="98">
        <f t="shared" ref="GS32:GU32" si="588">+EB32</f>
        <v>10031</v>
      </c>
      <c r="GT32" s="98">
        <f t="shared" si="588"/>
        <v>12778</v>
      </c>
      <c r="GU32" s="98">
        <f t="shared" si="588"/>
        <v>22809</v>
      </c>
      <c r="GV32" s="98">
        <v>2364</v>
      </c>
      <c r="GW32" s="98">
        <v>3146</v>
      </c>
      <c r="GX32" s="98">
        <f t="shared" ref="GX32" si="589">GV32+GW32</f>
        <v>5510</v>
      </c>
      <c r="GY32" s="100">
        <f t="shared" ref="GY32:HA32" si="590">+GV32*100/GS32</f>
        <v>23.566942478317216</v>
      </c>
      <c r="GZ32" s="100">
        <f t="shared" si="590"/>
        <v>24.620441383628112</v>
      </c>
      <c r="HA32" s="100">
        <f t="shared" si="590"/>
        <v>24.157130957078348</v>
      </c>
      <c r="HB32" s="98">
        <f t="shared" si="167"/>
        <v>140</v>
      </c>
      <c r="HC32" s="98">
        <f t="shared" si="168"/>
        <v>147</v>
      </c>
      <c r="HD32" s="98">
        <f t="shared" si="169"/>
        <v>287</v>
      </c>
      <c r="HE32" s="98">
        <v>44</v>
      </c>
      <c r="HF32" s="98">
        <v>49</v>
      </c>
      <c r="HG32" s="98">
        <f t="shared" ref="HG32" si="591">HE32+HF32</f>
        <v>93</v>
      </c>
      <c r="HH32" s="100">
        <f t="shared" ref="HH32:HJ32" si="592">+HE32*100/HB32</f>
        <v>31.428571428571427</v>
      </c>
      <c r="HI32" s="100">
        <f t="shared" si="592"/>
        <v>33.333333333333336</v>
      </c>
      <c r="HJ32" s="100">
        <f t="shared" si="592"/>
        <v>32.404181184668992</v>
      </c>
    </row>
    <row r="33" spans="1:220" ht="28.5">
      <c r="A33" s="420">
        <v>25</v>
      </c>
      <c r="B33" s="118" t="s">
        <v>159</v>
      </c>
      <c r="C33" s="96">
        <v>8261</v>
      </c>
      <c r="D33" s="96">
        <v>9105</v>
      </c>
      <c r="E33" s="96">
        <f t="shared" si="176"/>
        <v>17366</v>
      </c>
      <c r="F33" s="96">
        <v>6406</v>
      </c>
      <c r="G33" s="96">
        <v>7007</v>
      </c>
      <c r="H33" s="96">
        <f t="shared" si="177"/>
        <v>13413</v>
      </c>
      <c r="I33" s="96">
        <v>121</v>
      </c>
      <c r="J33" s="96">
        <v>133</v>
      </c>
      <c r="K33" s="96">
        <f t="shared" si="416"/>
        <v>254</v>
      </c>
      <c r="L33" s="97">
        <v>6527</v>
      </c>
      <c r="M33" s="98">
        <f t="shared" si="319"/>
        <v>7140</v>
      </c>
      <c r="N33" s="98">
        <f>L33+M33</f>
        <v>13667</v>
      </c>
      <c r="O33" s="116">
        <f t="shared" si="178"/>
        <v>0.79009805108340392</v>
      </c>
      <c r="P33" s="116">
        <f t="shared" si="178"/>
        <v>0.78418451400329492</v>
      </c>
      <c r="Q33" s="116">
        <f t="shared" si="178"/>
        <v>0.78699758148105492</v>
      </c>
      <c r="R33" s="96">
        <v>161</v>
      </c>
      <c r="S33" s="96">
        <v>168</v>
      </c>
      <c r="T33" s="96">
        <f t="shared" ref="T33:T34" si="593">R33+S33</f>
        <v>329</v>
      </c>
      <c r="U33" s="96">
        <v>89</v>
      </c>
      <c r="V33" s="96">
        <v>82</v>
      </c>
      <c r="W33" s="96">
        <f t="shared" ref="W33:W34" si="594">U33+V33</f>
        <v>171</v>
      </c>
      <c r="X33" s="96">
        <v>2</v>
      </c>
      <c r="Y33" s="96">
        <v>1</v>
      </c>
      <c r="Z33" s="96">
        <f t="shared" ref="Z33" si="595">X33+Y33</f>
        <v>3</v>
      </c>
      <c r="AA33" s="97">
        <f t="shared" ref="AA33:AA34" si="596">U33+X33</f>
        <v>91</v>
      </c>
      <c r="AB33" s="98">
        <f t="shared" ref="AB33:AB34" si="597">V33+Y33</f>
        <v>83</v>
      </c>
      <c r="AC33" s="98">
        <f t="shared" ref="AC33:AC34" si="598">W33+Z33</f>
        <v>174</v>
      </c>
      <c r="AD33" s="116">
        <f t="shared" ref="AD33:AD34" si="599">AA33/R33</f>
        <v>0.56521739130434778</v>
      </c>
      <c r="AE33" s="116">
        <f t="shared" ref="AE33:AE34" si="600">AB33/S33</f>
        <v>0.49404761904761907</v>
      </c>
      <c r="AF33" s="116">
        <f t="shared" ref="AF33:AF34" si="601">AC33/T33</f>
        <v>0.52887537993920974</v>
      </c>
      <c r="AG33" s="98">
        <f t="shared" si="179"/>
        <v>8422</v>
      </c>
      <c r="AH33" s="98">
        <f t="shared" si="179"/>
        <v>9273</v>
      </c>
      <c r="AI33" s="98">
        <f t="shared" si="179"/>
        <v>17695</v>
      </c>
      <c r="AJ33" s="98">
        <f t="shared" si="179"/>
        <v>6495</v>
      </c>
      <c r="AK33" s="98">
        <f t="shared" si="179"/>
        <v>7089</v>
      </c>
      <c r="AL33" s="98">
        <f t="shared" si="179"/>
        <v>13584</v>
      </c>
      <c r="AM33" s="98">
        <f t="shared" si="179"/>
        <v>123</v>
      </c>
      <c r="AN33" s="98">
        <f t="shared" si="224"/>
        <v>134</v>
      </c>
      <c r="AO33" s="98">
        <f t="shared" si="224"/>
        <v>257</v>
      </c>
      <c r="AP33" s="98">
        <f t="shared" si="224"/>
        <v>6618</v>
      </c>
      <c r="AQ33" s="98">
        <f t="shared" si="224"/>
        <v>7223</v>
      </c>
      <c r="AR33" s="98">
        <f t="shared" si="224"/>
        <v>13841</v>
      </c>
      <c r="AS33" s="116">
        <f t="shared" si="180"/>
        <v>0.78579909760151978</v>
      </c>
      <c r="AT33" s="116">
        <f t="shared" si="180"/>
        <v>0.7789280707430174</v>
      </c>
      <c r="AU33" s="116">
        <f t="shared" si="180"/>
        <v>0.78219836111896013</v>
      </c>
      <c r="AV33" s="96">
        <v>25</v>
      </c>
      <c r="AW33" s="96">
        <v>24</v>
      </c>
      <c r="AX33" s="96">
        <f t="shared" ref="AX33:AX34" si="602">AV33+AW33</f>
        <v>49</v>
      </c>
      <c r="AY33" s="96">
        <v>23</v>
      </c>
      <c r="AZ33" s="96">
        <v>20</v>
      </c>
      <c r="BA33" s="96">
        <f t="shared" ref="BA33:BA34" si="603">AY33+AZ33</f>
        <v>43</v>
      </c>
      <c r="BB33" s="403"/>
      <c r="BC33" s="96">
        <v>1</v>
      </c>
      <c r="BD33" s="96">
        <f t="shared" ref="BD33" si="604">BB33+BC33</f>
        <v>1</v>
      </c>
      <c r="BE33" s="97">
        <f t="shared" ref="BE33:BE34" si="605">AY33+BB33</f>
        <v>23</v>
      </c>
      <c r="BF33" s="98">
        <f t="shared" ref="BF33:BF34" si="606">AZ33+BC33</f>
        <v>21</v>
      </c>
      <c r="BG33" s="98">
        <f t="shared" ref="BG33:BG34" si="607">BA33+BD33</f>
        <v>44</v>
      </c>
      <c r="BH33" s="116">
        <f t="shared" ref="BH33:BH34" si="608">BE33/AV33</f>
        <v>0.92</v>
      </c>
      <c r="BI33" s="116">
        <f t="shared" ref="BI33:BI34" si="609">BF33/AW33</f>
        <v>0.875</v>
      </c>
      <c r="BJ33" s="116">
        <f t="shared" ref="BJ33:BJ34" si="610">BG33/AX33</f>
        <v>0.89795918367346939</v>
      </c>
      <c r="BK33" s="403"/>
      <c r="BL33" s="403"/>
      <c r="BM33" s="403"/>
      <c r="BN33" s="403"/>
      <c r="BO33" s="403"/>
      <c r="BP33" s="403"/>
      <c r="BQ33" s="403"/>
      <c r="BR33" s="403"/>
      <c r="BS33" s="403"/>
      <c r="BT33" s="404"/>
      <c r="BU33" s="404"/>
      <c r="BV33" s="404"/>
      <c r="BW33" s="405"/>
      <c r="BX33" s="405"/>
      <c r="BY33" s="405"/>
      <c r="BZ33" s="98">
        <f t="shared" si="545"/>
        <v>25</v>
      </c>
      <c r="CA33" s="98">
        <f t="shared" si="545"/>
        <v>24</v>
      </c>
      <c r="CB33" s="98">
        <f t="shared" si="545"/>
        <v>49</v>
      </c>
      <c r="CC33" s="98">
        <f t="shared" si="545"/>
        <v>23</v>
      </c>
      <c r="CD33" s="98">
        <f t="shared" si="545"/>
        <v>20</v>
      </c>
      <c r="CE33" s="98">
        <f t="shared" si="545"/>
        <v>43</v>
      </c>
      <c r="CF33" s="404"/>
      <c r="CG33" s="98">
        <f t="shared" si="331"/>
        <v>1</v>
      </c>
      <c r="CH33" s="98">
        <f t="shared" si="331"/>
        <v>1</v>
      </c>
      <c r="CI33" s="98">
        <f t="shared" si="331"/>
        <v>23</v>
      </c>
      <c r="CJ33" s="98">
        <f t="shared" si="438"/>
        <v>21</v>
      </c>
      <c r="CK33" s="98">
        <f t="shared" si="438"/>
        <v>44</v>
      </c>
      <c r="CL33" s="116">
        <f t="shared" si="389"/>
        <v>0.92</v>
      </c>
      <c r="CM33" s="116">
        <f t="shared" si="389"/>
        <v>0.875</v>
      </c>
      <c r="CN33" s="116">
        <f t="shared" si="389"/>
        <v>0.89795918367346939</v>
      </c>
      <c r="CO33" s="96">
        <v>8150</v>
      </c>
      <c r="CP33" s="96">
        <v>8961</v>
      </c>
      <c r="CQ33" s="96">
        <f t="shared" ref="CQ33:CQ34" si="611">CO33+CP33</f>
        <v>17111</v>
      </c>
      <c r="CR33" s="96">
        <v>6312</v>
      </c>
      <c r="CS33" s="96">
        <v>6900</v>
      </c>
      <c r="CT33" s="96">
        <f t="shared" ref="CT33:CT34" si="612">CR33+CS33</f>
        <v>13212</v>
      </c>
      <c r="CU33" s="96">
        <v>121</v>
      </c>
      <c r="CV33" s="96">
        <v>126</v>
      </c>
      <c r="CW33" s="96">
        <f t="shared" ref="CW33" si="613">CU33+CV33</f>
        <v>247</v>
      </c>
      <c r="CX33" s="97">
        <f t="shared" ref="CX33:CX34" si="614">CR33+CU33</f>
        <v>6433</v>
      </c>
      <c r="CY33" s="98">
        <f t="shared" ref="CY33:CY34" si="615">CS33+CV33</f>
        <v>7026</v>
      </c>
      <c r="CZ33" s="98">
        <f t="shared" ref="CZ33:CZ34" si="616">CT33+CW33</f>
        <v>13459</v>
      </c>
      <c r="DA33" s="116">
        <f t="shared" ref="DA33:DA34" si="617">CX33/CO33</f>
        <v>0.78932515337423315</v>
      </c>
      <c r="DB33" s="116">
        <f t="shared" ref="DB33:DB34" si="618">CY33/CP33</f>
        <v>0.78406427854034144</v>
      </c>
      <c r="DC33" s="116">
        <f t="shared" ref="DC33:DC34" si="619">CZ33/CQ33</f>
        <v>0.78657004266261465</v>
      </c>
      <c r="DD33" s="96">
        <v>161</v>
      </c>
      <c r="DE33" s="96">
        <v>165</v>
      </c>
      <c r="DF33" s="96">
        <f t="shared" ref="DF33:DF34" si="620">DD33+DE33</f>
        <v>326</v>
      </c>
      <c r="DG33" s="96">
        <v>89</v>
      </c>
      <c r="DH33" s="96">
        <v>82</v>
      </c>
      <c r="DI33" s="96">
        <f t="shared" ref="DI33:DI34" si="621">DG33+DH33</f>
        <v>171</v>
      </c>
      <c r="DJ33" s="96">
        <v>2</v>
      </c>
      <c r="DK33" s="96">
        <v>1</v>
      </c>
      <c r="DL33" s="96">
        <f t="shared" ref="DL33" si="622">DJ33+DK33</f>
        <v>3</v>
      </c>
      <c r="DM33" s="97">
        <f t="shared" ref="DM33:DM34" si="623">DG33+DJ33</f>
        <v>91</v>
      </c>
      <c r="DN33" s="98">
        <f t="shared" ref="DN33:DN34" si="624">DH33+DK33</f>
        <v>83</v>
      </c>
      <c r="DO33" s="98">
        <f t="shared" ref="DO33:DO34" si="625">DI33+DL33</f>
        <v>174</v>
      </c>
      <c r="DP33" s="116">
        <f t="shared" ref="DP33:DP34" si="626">DM33/DD33</f>
        <v>0.56521739130434778</v>
      </c>
      <c r="DQ33" s="116">
        <f t="shared" ref="DQ33:DQ34" si="627">DN33/DE33</f>
        <v>0.50303030303030305</v>
      </c>
      <c r="DR33" s="116">
        <f t="shared" ref="DR33:DR34" si="628">DO33/DF33</f>
        <v>0.53374233128834359</v>
      </c>
      <c r="DS33" s="98">
        <f t="shared" si="474"/>
        <v>8311</v>
      </c>
      <c r="DT33" s="98">
        <f t="shared" si="474"/>
        <v>9126</v>
      </c>
      <c r="DU33" s="98">
        <f t="shared" si="474"/>
        <v>17437</v>
      </c>
      <c r="DV33" s="98">
        <f t="shared" si="474"/>
        <v>6401</v>
      </c>
      <c r="DW33" s="98">
        <f t="shared" si="474"/>
        <v>6982</v>
      </c>
      <c r="DX33" s="98">
        <f t="shared" si="474"/>
        <v>13383</v>
      </c>
      <c r="DY33" s="98">
        <f t="shared" si="364"/>
        <v>123</v>
      </c>
      <c r="DZ33" s="98">
        <f t="shared" si="364"/>
        <v>127</v>
      </c>
      <c r="EA33" s="98">
        <f t="shared" si="364"/>
        <v>250</v>
      </c>
      <c r="EB33" s="98">
        <f t="shared" si="192"/>
        <v>6524</v>
      </c>
      <c r="EC33" s="98">
        <f t="shared" si="192"/>
        <v>7109</v>
      </c>
      <c r="ED33" s="98">
        <f t="shared" si="192"/>
        <v>13633</v>
      </c>
      <c r="EE33" s="116">
        <f t="shared" si="394"/>
        <v>0.78498375646733243</v>
      </c>
      <c r="EF33" s="116">
        <f t="shared" si="193"/>
        <v>0.77898312513697132</v>
      </c>
      <c r="EG33" s="116">
        <f t="shared" si="193"/>
        <v>0.78184320697367671</v>
      </c>
      <c r="EH33" s="96">
        <v>12</v>
      </c>
      <c r="EI33" s="96">
        <v>16</v>
      </c>
      <c r="EJ33" s="96">
        <f t="shared" ref="EJ33:EJ34" si="629">EH33+EI33</f>
        <v>28</v>
      </c>
      <c r="EK33" s="96">
        <v>11</v>
      </c>
      <c r="EL33" s="96">
        <v>13</v>
      </c>
      <c r="EM33" s="96">
        <f t="shared" ref="EM33:EM34" si="630">EK33+EL33</f>
        <v>24</v>
      </c>
      <c r="EN33" s="403"/>
      <c r="EO33" s="403"/>
      <c r="EP33" s="403"/>
      <c r="EQ33" s="97">
        <f t="shared" ref="EQ33:EQ34" si="631">EK33+EN33</f>
        <v>11</v>
      </c>
      <c r="ER33" s="98">
        <f t="shared" ref="ER33:ER34" si="632">EL33+EO33</f>
        <v>13</v>
      </c>
      <c r="ES33" s="98">
        <f t="shared" ref="ES33:ES34" si="633">EM33+EP33</f>
        <v>24</v>
      </c>
      <c r="ET33" s="116">
        <f t="shared" ref="ET33:ET34" si="634">EQ33/EH33</f>
        <v>0.91666666666666663</v>
      </c>
      <c r="EU33" s="116">
        <f t="shared" ref="EU33:EU34" si="635">ER33/EI33</f>
        <v>0.8125</v>
      </c>
      <c r="EV33" s="116">
        <f t="shared" ref="EV33:EV34" si="636">ES33/EJ33</f>
        <v>0.8571428571428571</v>
      </c>
      <c r="EW33" s="403"/>
      <c r="EX33" s="403"/>
      <c r="EY33" s="403"/>
      <c r="EZ33" s="403"/>
      <c r="FA33" s="403"/>
      <c r="FB33" s="403"/>
      <c r="FC33" s="403"/>
      <c r="FD33" s="403"/>
      <c r="FE33" s="403"/>
      <c r="FF33" s="404"/>
      <c r="FG33" s="404"/>
      <c r="FH33" s="404"/>
      <c r="FI33" s="405"/>
      <c r="FJ33" s="405"/>
      <c r="FK33" s="405"/>
      <c r="FL33" s="98">
        <f t="shared" si="452"/>
        <v>12</v>
      </c>
      <c r="FM33" s="98">
        <f t="shared" si="453"/>
        <v>16</v>
      </c>
      <c r="FN33" s="98">
        <f t="shared" si="454"/>
        <v>28</v>
      </c>
      <c r="FO33" s="98">
        <f t="shared" ref="FO33:FP36" si="637">EK33+EZ33</f>
        <v>11</v>
      </c>
      <c r="FP33" s="98">
        <f t="shared" si="637"/>
        <v>13</v>
      </c>
      <c r="FQ33" s="98">
        <f t="shared" si="457"/>
        <v>24</v>
      </c>
      <c r="FR33" s="404"/>
      <c r="FS33" s="404"/>
      <c r="FT33" s="404"/>
      <c r="FU33" s="98">
        <f t="shared" si="461"/>
        <v>11</v>
      </c>
      <c r="FV33" s="98">
        <f t="shared" si="462"/>
        <v>13</v>
      </c>
      <c r="FW33" s="98">
        <f t="shared" si="463"/>
        <v>24</v>
      </c>
      <c r="FX33" s="116">
        <f t="shared" ref="FX33:FX34" si="638">FU33/FL33</f>
        <v>0.91666666666666663</v>
      </c>
      <c r="FY33" s="116">
        <f t="shared" ref="FY33:FY34" si="639">FV33/FM33</f>
        <v>0.8125</v>
      </c>
      <c r="FZ33" s="116">
        <f t="shared" ref="FZ33:FZ34" si="640">FW33/FN33</f>
        <v>0.8571428571428571</v>
      </c>
      <c r="GA33" s="98">
        <f t="shared" si="207"/>
        <v>6618</v>
      </c>
      <c r="GB33" s="98">
        <f t="shared" si="207"/>
        <v>7223</v>
      </c>
      <c r="GC33" s="98">
        <f t="shared" si="207"/>
        <v>13841</v>
      </c>
      <c r="GD33" s="98">
        <v>2225</v>
      </c>
      <c r="GE33" s="98">
        <v>2580</v>
      </c>
      <c r="GF33" s="98">
        <f t="shared" si="208"/>
        <v>4805</v>
      </c>
      <c r="GG33" s="100">
        <f t="shared" ref="GG33:GI43" si="641">+GD33*100/GA33</f>
        <v>33.620429132668477</v>
      </c>
      <c r="GH33" s="100">
        <f t="shared" si="641"/>
        <v>35.719230236743734</v>
      </c>
      <c r="GI33" s="100">
        <f t="shared" si="641"/>
        <v>34.715699732678274</v>
      </c>
      <c r="GJ33" s="98">
        <f t="shared" si="210"/>
        <v>23</v>
      </c>
      <c r="GK33" s="98">
        <f t="shared" si="210"/>
        <v>21</v>
      </c>
      <c r="GL33" s="98">
        <f t="shared" si="210"/>
        <v>44</v>
      </c>
      <c r="GM33" s="98">
        <v>14</v>
      </c>
      <c r="GN33" s="98">
        <v>9</v>
      </c>
      <c r="GO33" s="98">
        <f t="shared" si="211"/>
        <v>23</v>
      </c>
      <c r="GP33" s="100">
        <f t="shared" ref="GP33:GR43" si="642">+GM33*100/GJ33</f>
        <v>60.869565217391305</v>
      </c>
      <c r="GQ33" s="100">
        <f t="shared" si="642"/>
        <v>42.857142857142854</v>
      </c>
      <c r="GR33" s="100">
        <f t="shared" si="642"/>
        <v>52.272727272727273</v>
      </c>
      <c r="GS33" s="98">
        <f t="shared" si="213"/>
        <v>6524</v>
      </c>
      <c r="GT33" s="98">
        <f t="shared" si="213"/>
        <v>7109</v>
      </c>
      <c r="GU33" s="98">
        <f t="shared" si="213"/>
        <v>13633</v>
      </c>
      <c r="GV33" s="98">
        <v>2173</v>
      </c>
      <c r="GW33" s="98">
        <v>2524</v>
      </c>
      <c r="GX33" s="98">
        <f t="shared" si="214"/>
        <v>4697</v>
      </c>
      <c r="GY33" s="100">
        <f t="shared" ref="GY33:HA43" si="643">+GV33*100/GS33</f>
        <v>33.307786633966892</v>
      </c>
      <c r="GZ33" s="100">
        <f t="shared" si="643"/>
        <v>35.504290336193556</v>
      </c>
      <c r="HA33" s="100">
        <f t="shared" si="643"/>
        <v>34.45316511406147</v>
      </c>
      <c r="HB33" s="98">
        <f t="shared" si="167"/>
        <v>11</v>
      </c>
      <c r="HC33" s="98">
        <f t="shared" si="168"/>
        <v>13</v>
      </c>
      <c r="HD33" s="98">
        <f t="shared" si="169"/>
        <v>24</v>
      </c>
      <c r="HE33" s="98">
        <v>8</v>
      </c>
      <c r="HF33" s="98">
        <v>10</v>
      </c>
      <c r="HG33" s="98">
        <f t="shared" ref="HG33:HG34" si="644">HE33+HF33</f>
        <v>18</v>
      </c>
      <c r="HH33" s="100">
        <f t="shared" ref="HH33:HH34" si="645">+HE33*100/HB33</f>
        <v>72.727272727272734</v>
      </c>
      <c r="HI33" s="100">
        <f t="shared" ref="HI33:HI34" si="646">+HF33*100/HC33</f>
        <v>76.92307692307692</v>
      </c>
      <c r="HJ33" s="100">
        <f t="shared" ref="HJ33:HJ34" si="647">+HG33*100/HD33</f>
        <v>75</v>
      </c>
      <c r="HL33" t="s">
        <v>367</v>
      </c>
    </row>
    <row r="34" spans="1:220" ht="28.5">
      <c r="A34" s="420">
        <v>26</v>
      </c>
      <c r="B34" s="118" t="s">
        <v>160</v>
      </c>
      <c r="C34" s="96">
        <v>9069</v>
      </c>
      <c r="D34" s="96">
        <v>9803</v>
      </c>
      <c r="E34" s="96">
        <f t="shared" si="176"/>
        <v>18872</v>
      </c>
      <c r="F34" s="96">
        <v>6658</v>
      </c>
      <c r="G34" s="96">
        <v>7200</v>
      </c>
      <c r="H34" s="96">
        <f t="shared" si="177"/>
        <v>13858</v>
      </c>
      <c r="I34" s="104"/>
      <c r="J34" s="104"/>
      <c r="K34" s="104"/>
      <c r="L34" s="97">
        <f t="shared" ref="L34:N48" si="648">F34+I34</f>
        <v>6658</v>
      </c>
      <c r="M34" s="98">
        <f t="shared" si="648"/>
        <v>7200</v>
      </c>
      <c r="N34" s="98">
        <f>H34+K34</f>
        <v>13858</v>
      </c>
      <c r="O34" s="116">
        <f t="shared" si="178"/>
        <v>0.73414929981254828</v>
      </c>
      <c r="P34" s="116">
        <f t="shared" si="178"/>
        <v>0.73446904008976843</v>
      </c>
      <c r="Q34" s="116">
        <f t="shared" si="178"/>
        <v>0.73431538787621875</v>
      </c>
      <c r="R34" s="96">
        <v>1368</v>
      </c>
      <c r="S34" s="96">
        <v>1475</v>
      </c>
      <c r="T34" s="96">
        <f t="shared" si="593"/>
        <v>2843</v>
      </c>
      <c r="U34" s="96">
        <v>229</v>
      </c>
      <c r="V34" s="96">
        <v>248</v>
      </c>
      <c r="W34" s="96">
        <f t="shared" si="594"/>
        <v>477</v>
      </c>
      <c r="X34" s="104"/>
      <c r="Y34" s="104"/>
      <c r="Z34" s="104"/>
      <c r="AA34" s="97">
        <f t="shared" si="596"/>
        <v>229</v>
      </c>
      <c r="AB34" s="98">
        <f t="shared" si="597"/>
        <v>248</v>
      </c>
      <c r="AC34" s="98">
        <f t="shared" si="598"/>
        <v>477</v>
      </c>
      <c r="AD34" s="116">
        <f t="shared" si="599"/>
        <v>0.16739766081871346</v>
      </c>
      <c r="AE34" s="116">
        <f t="shared" si="600"/>
        <v>0.168135593220339</v>
      </c>
      <c r="AF34" s="116">
        <f t="shared" si="601"/>
        <v>0.16778051354203308</v>
      </c>
      <c r="AG34" s="98">
        <f t="shared" si="179"/>
        <v>10437</v>
      </c>
      <c r="AH34" s="98">
        <f t="shared" si="179"/>
        <v>11278</v>
      </c>
      <c r="AI34" s="98">
        <f t="shared" si="179"/>
        <v>21715</v>
      </c>
      <c r="AJ34" s="98">
        <f t="shared" si="179"/>
        <v>6887</v>
      </c>
      <c r="AK34" s="98">
        <f t="shared" si="179"/>
        <v>7448</v>
      </c>
      <c r="AL34" s="98">
        <f t="shared" si="179"/>
        <v>14335</v>
      </c>
      <c r="AM34" s="103"/>
      <c r="AN34" s="103"/>
      <c r="AO34" s="103"/>
      <c r="AP34" s="98">
        <f t="shared" si="224"/>
        <v>6887</v>
      </c>
      <c r="AQ34" s="98">
        <f t="shared" si="224"/>
        <v>7448</v>
      </c>
      <c r="AR34" s="98">
        <f t="shared" si="224"/>
        <v>14335</v>
      </c>
      <c r="AS34" s="116">
        <f t="shared" si="180"/>
        <v>0.65986394557823125</v>
      </c>
      <c r="AT34" s="116">
        <f t="shared" si="180"/>
        <v>0.66040078028019156</v>
      </c>
      <c r="AU34" s="116">
        <f t="shared" si="180"/>
        <v>0.66014275846189274</v>
      </c>
      <c r="AV34" s="96">
        <v>83</v>
      </c>
      <c r="AW34" s="96">
        <v>88</v>
      </c>
      <c r="AX34" s="96">
        <f t="shared" si="602"/>
        <v>171</v>
      </c>
      <c r="AY34" s="96">
        <v>64</v>
      </c>
      <c r="AZ34" s="96">
        <v>71</v>
      </c>
      <c r="BA34" s="96">
        <f t="shared" si="603"/>
        <v>135</v>
      </c>
      <c r="BB34" s="104"/>
      <c r="BC34" s="104"/>
      <c r="BD34" s="104"/>
      <c r="BE34" s="97">
        <f t="shared" si="605"/>
        <v>64</v>
      </c>
      <c r="BF34" s="98">
        <f t="shared" si="606"/>
        <v>71</v>
      </c>
      <c r="BG34" s="98">
        <f t="shared" si="607"/>
        <v>135</v>
      </c>
      <c r="BH34" s="116">
        <f t="shared" si="608"/>
        <v>0.77108433734939763</v>
      </c>
      <c r="BI34" s="116">
        <f t="shared" si="609"/>
        <v>0.80681818181818177</v>
      </c>
      <c r="BJ34" s="116">
        <f t="shared" si="610"/>
        <v>0.78947368421052633</v>
      </c>
      <c r="BK34" s="96">
        <v>12</v>
      </c>
      <c r="BL34" s="96">
        <v>7</v>
      </c>
      <c r="BM34" s="96">
        <f t="shared" ref="BM34" si="649">BK34+BL34</f>
        <v>19</v>
      </c>
      <c r="BN34" s="96">
        <v>3</v>
      </c>
      <c r="BO34" s="403"/>
      <c r="BP34" s="96">
        <f t="shared" ref="BP34" si="650">BN34+BO34</f>
        <v>3</v>
      </c>
      <c r="BQ34" s="104"/>
      <c r="BR34" s="104"/>
      <c r="BS34" s="104"/>
      <c r="BT34" s="97">
        <f t="shared" ref="BT34" si="651">BN34+BQ34</f>
        <v>3</v>
      </c>
      <c r="BU34" s="404"/>
      <c r="BV34" s="98">
        <f t="shared" ref="BV34" si="652">BP34+BS34</f>
        <v>3</v>
      </c>
      <c r="BW34" s="116">
        <f t="shared" ref="BW34" si="653">BT34/BK34</f>
        <v>0.25</v>
      </c>
      <c r="BX34" s="116">
        <f t="shared" ref="BX34" si="654">BU34/BL34</f>
        <v>0</v>
      </c>
      <c r="BY34" s="116">
        <f t="shared" ref="BY34" si="655">BV34/BM34</f>
        <v>0.15789473684210525</v>
      </c>
      <c r="BZ34" s="98">
        <f t="shared" si="545"/>
        <v>95</v>
      </c>
      <c r="CA34" s="98">
        <f t="shared" si="545"/>
        <v>95</v>
      </c>
      <c r="CB34" s="98">
        <f t="shared" si="545"/>
        <v>190</v>
      </c>
      <c r="CC34" s="98">
        <f t="shared" si="545"/>
        <v>67</v>
      </c>
      <c r="CD34" s="98">
        <f t="shared" si="545"/>
        <v>71</v>
      </c>
      <c r="CE34" s="98">
        <f t="shared" si="545"/>
        <v>138</v>
      </c>
      <c r="CF34" s="103"/>
      <c r="CG34" s="103"/>
      <c r="CH34" s="103"/>
      <c r="CI34" s="98">
        <f t="shared" ref="CI34" si="656">BE34+BT34</f>
        <v>67</v>
      </c>
      <c r="CJ34" s="98">
        <f t="shared" si="438"/>
        <v>71</v>
      </c>
      <c r="CK34" s="98">
        <f t="shared" si="438"/>
        <v>138</v>
      </c>
      <c r="CL34" s="116">
        <f t="shared" si="389"/>
        <v>0.70526315789473681</v>
      </c>
      <c r="CM34" s="116">
        <f t="shared" si="389"/>
        <v>0.74736842105263157</v>
      </c>
      <c r="CN34" s="116">
        <f t="shared" si="389"/>
        <v>0.72631578947368425</v>
      </c>
      <c r="CO34" s="96">
        <v>8070</v>
      </c>
      <c r="CP34" s="96">
        <v>8840</v>
      </c>
      <c r="CQ34" s="96">
        <f t="shared" si="611"/>
        <v>16910</v>
      </c>
      <c r="CR34" s="96">
        <v>5853</v>
      </c>
      <c r="CS34" s="96">
        <v>6420</v>
      </c>
      <c r="CT34" s="96">
        <f t="shared" si="612"/>
        <v>12273</v>
      </c>
      <c r="CU34" s="104"/>
      <c r="CV34" s="104"/>
      <c r="CW34" s="104"/>
      <c r="CX34" s="97">
        <f t="shared" si="614"/>
        <v>5853</v>
      </c>
      <c r="CY34" s="98">
        <f t="shared" si="615"/>
        <v>6420</v>
      </c>
      <c r="CZ34" s="98">
        <f t="shared" si="616"/>
        <v>12273</v>
      </c>
      <c r="DA34" s="116">
        <f t="shared" si="617"/>
        <v>0.72527881040892195</v>
      </c>
      <c r="DB34" s="116">
        <f t="shared" si="618"/>
        <v>0.72624434389140269</v>
      </c>
      <c r="DC34" s="116">
        <f t="shared" si="619"/>
        <v>0.72578356002365463</v>
      </c>
      <c r="DD34" s="96">
        <v>1269</v>
      </c>
      <c r="DE34" s="96">
        <v>1384</v>
      </c>
      <c r="DF34" s="96">
        <f t="shared" si="620"/>
        <v>2653</v>
      </c>
      <c r="DG34" s="96">
        <v>211</v>
      </c>
      <c r="DH34" s="96">
        <v>231</v>
      </c>
      <c r="DI34" s="96">
        <f t="shared" si="621"/>
        <v>442</v>
      </c>
      <c r="DJ34" s="104"/>
      <c r="DK34" s="104"/>
      <c r="DL34" s="104"/>
      <c r="DM34" s="97">
        <f t="shared" si="623"/>
        <v>211</v>
      </c>
      <c r="DN34" s="98">
        <f t="shared" si="624"/>
        <v>231</v>
      </c>
      <c r="DO34" s="98">
        <f t="shared" si="625"/>
        <v>442</v>
      </c>
      <c r="DP34" s="116">
        <f t="shared" si="626"/>
        <v>0.16627265563435775</v>
      </c>
      <c r="DQ34" s="116">
        <f t="shared" si="627"/>
        <v>0.16690751445086704</v>
      </c>
      <c r="DR34" s="116">
        <f t="shared" si="628"/>
        <v>0.16660384470410855</v>
      </c>
      <c r="DS34" s="98">
        <f t="shared" si="474"/>
        <v>9339</v>
      </c>
      <c r="DT34" s="98">
        <f t="shared" si="474"/>
        <v>10224</v>
      </c>
      <c r="DU34" s="98">
        <f t="shared" si="474"/>
        <v>19563</v>
      </c>
      <c r="DV34" s="98">
        <f t="shared" si="474"/>
        <v>6064</v>
      </c>
      <c r="DW34" s="98">
        <f t="shared" si="474"/>
        <v>6651</v>
      </c>
      <c r="DX34" s="98">
        <f t="shared" si="474"/>
        <v>12715</v>
      </c>
      <c r="DY34" s="103"/>
      <c r="DZ34" s="103"/>
      <c r="EA34" s="103"/>
      <c r="EB34" s="98">
        <f t="shared" si="192"/>
        <v>6064</v>
      </c>
      <c r="EC34" s="98">
        <f t="shared" si="192"/>
        <v>6651</v>
      </c>
      <c r="ED34" s="98">
        <f t="shared" si="192"/>
        <v>12715</v>
      </c>
      <c r="EE34" s="116">
        <f t="shared" si="394"/>
        <v>0.64932005568047968</v>
      </c>
      <c r="EF34" s="116">
        <f t="shared" si="193"/>
        <v>0.6505281690140845</v>
      </c>
      <c r="EG34" s="116">
        <f t="shared" si="193"/>
        <v>0.64995143894085772</v>
      </c>
      <c r="EH34" s="428">
        <v>113</v>
      </c>
      <c r="EI34" s="428">
        <v>148</v>
      </c>
      <c r="EJ34" s="428">
        <f t="shared" si="629"/>
        <v>261</v>
      </c>
      <c r="EK34" s="428">
        <v>159</v>
      </c>
      <c r="EL34" s="428">
        <v>129</v>
      </c>
      <c r="EM34" s="428">
        <f t="shared" si="630"/>
        <v>288</v>
      </c>
      <c r="EN34" s="428"/>
      <c r="EO34" s="428"/>
      <c r="EP34" s="428"/>
      <c r="EQ34" s="429">
        <f t="shared" si="631"/>
        <v>159</v>
      </c>
      <c r="ER34" s="429">
        <f t="shared" si="632"/>
        <v>129</v>
      </c>
      <c r="ES34" s="429">
        <f t="shared" si="633"/>
        <v>288</v>
      </c>
      <c r="ET34" s="399">
        <f t="shared" si="634"/>
        <v>1.4070796460176991</v>
      </c>
      <c r="EU34" s="399">
        <f t="shared" si="635"/>
        <v>0.8716216216216216</v>
      </c>
      <c r="EV34" s="399">
        <f t="shared" si="636"/>
        <v>1.103448275862069</v>
      </c>
      <c r="EW34" s="96">
        <v>21</v>
      </c>
      <c r="EX34" s="96">
        <v>9</v>
      </c>
      <c r="EY34" s="96">
        <f t="shared" ref="EY34" si="657">EW34+EX34</f>
        <v>30</v>
      </c>
      <c r="EZ34" s="96">
        <v>3</v>
      </c>
      <c r="FA34" s="96">
        <v>2</v>
      </c>
      <c r="FB34" s="96">
        <f t="shared" ref="FB34" si="658">EZ34+FA34</f>
        <v>5</v>
      </c>
      <c r="FC34" s="104"/>
      <c r="FD34" s="104"/>
      <c r="FE34" s="104"/>
      <c r="FF34" s="97">
        <f t="shared" ref="FF34" si="659">EZ34+FC34</f>
        <v>3</v>
      </c>
      <c r="FG34" s="98">
        <f t="shared" ref="FG34" si="660">FA34+FD34</f>
        <v>2</v>
      </c>
      <c r="FH34" s="98">
        <f t="shared" ref="FH34" si="661">FB34+FE34</f>
        <v>5</v>
      </c>
      <c r="FI34" s="116">
        <f t="shared" ref="FI34" si="662">FF34/EW34</f>
        <v>0.14285714285714285</v>
      </c>
      <c r="FJ34" s="116">
        <f t="shared" ref="FJ34" si="663">FG34/EX34</f>
        <v>0.22222222222222221</v>
      </c>
      <c r="FK34" s="116">
        <f t="shared" ref="FK34" si="664">FH34/EY34</f>
        <v>0.16666666666666666</v>
      </c>
      <c r="FL34" s="98">
        <f t="shared" si="452"/>
        <v>134</v>
      </c>
      <c r="FM34" s="98">
        <f t="shared" si="453"/>
        <v>157</v>
      </c>
      <c r="FN34" s="98">
        <f t="shared" si="454"/>
        <v>291</v>
      </c>
      <c r="FO34" s="98">
        <f t="shared" si="637"/>
        <v>162</v>
      </c>
      <c r="FP34" s="98">
        <f t="shared" si="637"/>
        <v>131</v>
      </c>
      <c r="FQ34" s="98">
        <f t="shared" si="457"/>
        <v>293</v>
      </c>
      <c r="FR34" s="404"/>
      <c r="FS34" s="404"/>
      <c r="FT34" s="404"/>
      <c r="FU34" s="98">
        <f t="shared" si="461"/>
        <v>162</v>
      </c>
      <c r="FV34" s="98">
        <f t="shared" si="462"/>
        <v>131</v>
      </c>
      <c r="FW34" s="98">
        <f t="shared" si="463"/>
        <v>293</v>
      </c>
      <c r="FX34" s="399">
        <f t="shared" si="638"/>
        <v>1.208955223880597</v>
      </c>
      <c r="FY34" s="399">
        <f t="shared" si="639"/>
        <v>0.83439490445859876</v>
      </c>
      <c r="FZ34" s="399">
        <f t="shared" si="640"/>
        <v>1.006872852233677</v>
      </c>
      <c r="GA34" s="98">
        <f t="shared" si="207"/>
        <v>6887</v>
      </c>
      <c r="GB34" s="98">
        <f t="shared" si="207"/>
        <v>7448</v>
      </c>
      <c r="GC34" s="98">
        <f t="shared" si="207"/>
        <v>14335</v>
      </c>
      <c r="GD34" s="101">
        <v>2801</v>
      </c>
      <c r="GE34" s="101">
        <v>3573</v>
      </c>
      <c r="GF34" s="98">
        <f t="shared" si="208"/>
        <v>6374</v>
      </c>
      <c r="GG34" s="100">
        <f t="shared" si="641"/>
        <v>40.670829098301148</v>
      </c>
      <c r="GH34" s="100">
        <f t="shared" si="641"/>
        <v>47.972610096670245</v>
      </c>
      <c r="GI34" s="100">
        <f t="shared" si="641"/>
        <v>44.464597139867458</v>
      </c>
      <c r="GJ34" s="98">
        <f t="shared" si="210"/>
        <v>67</v>
      </c>
      <c r="GK34" s="98">
        <f t="shared" si="210"/>
        <v>71</v>
      </c>
      <c r="GL34" s="98">
        <f t="shared" si="210"/>
        <v>138</v>
      </c>
      <c r="GM34" s="101">
        <v>33</v>
      </c>
      <c r="GN34" s="101">
        <v>37</v>
      </c>
      <c r="GO34" s="98">
        <f t="shared" si="211"/>
        <v>70</v>
      </c>
      <c r="GP34" s="100">
        <f t="shared" si="642"/>
        <v>49.253731343283583</v>
      </c>
      <c r="GQ34" s="100">
        <f t="shared" si="642"/>
        <v>52.112676056338032</v>
      </c>
      <c r="GR34" s="100">
        <f t="shared" si="642"/>
        <v>50.724637681159422</v>
      </c>
      <c r="GS34" s="98">
        <f t="shared" si="213"/>
        <v>6064</v>
      </c>
      <c r="GT34" s="98">
        <f t="shared" si="213"/>
        <v>6651</v>
      </c>
      <c r="GU34" s="98">
        <f t="shared" si="213"/>
        <v>12715</v>
      </c>
      <c r="GV34" s="101">
        <v>2385</v>
      </c>
      <c r="GW34" s="101">
        <v>3122</v>
      </c>
      <c r="GX34" s="98">
        <f t="shared" si="214"/>
        <v>5507</v>
      </c>
      <c r="GY34" s="100">
        <f t="shared" si="643"/>
        <v>39.330474934036943</v>
      </c>
      <c r="GZ34" s="100">
        <f t="shared" si="643"/>
        <v>46.940309727860473</v>
      </c>
      <c r="HA34" s="100">
        <f t="shared" si="643"/>
        <v>43.311049941014552</v>
      </c>
      <c r="HB34" s="98">
        <f t="shared" si="167"/>
        <v>162</v>
      </c>
      <c r="HC34" s="98">
        <f t="shared" si="168"/>
        <v>131</v>
      </c>
      <c r="HD34" s="98">
        <f t="shared" si="169"/>
        <v>293</v>
      </c>
      <c r="HE34" s="101">
        <v>91</v>
      </c>
      <c r="HF34" s="101">
        <v>71</v>
      </c>
      <c r="HG34" s="98">
        <f t="shared" si="644"/>
        <v>162</v>
      </c>
      <c r="HH34" s="100">
        <f t="shared" si="645"/>
        <v>56.172839506172842</v>
      </c>
      <c r="HI34" s="100">
        <f t="shared" si="646"/>
        <v>54.198473282442748</v>
      </c>
      <c r="HJ34" s="100">
        <f t="shared" si="647"/>
        <v>55.290102389078498</v>
      </c>
    </row>
    <row r="35" spans="1:220" ht="28.5">
      <c r="A35" s="420">
        <v>27</v>
      </c>
      <c r="B35" s="118" t="s">
        <v>142</v>
      </c>
      <c r="C35" s="96">
        <v>274379</v>
      </c>
      <c r="D35" s="96">
        <v>279960</v>
      </c>
      <c r="E35" s="96">
        <f>C35+D35</f>
        <v>554339</v>
      </c>
      <c r="F35" s="96">
        <v>210129</v>
      </c>
      <c r="G35" s="96">
        <v>217666</v>
      </c>
      <c r="H35" s="96">
        <f>F35+G35</f>
        <v>427795</v>
      </c>
      <c r="I35" s="96">
        <v>4777</v>
      </c>
      <c r="J35" s="96">
        <v>4738</v>
      </c>
      <c r="K35" s="96">
        <f>I35+J35</f>
        <v>9515</v>
      </c>
      <c r="L35" s="97">
        <f>F35+I35</f>
        <v>214906</v>
      </c>
      <c r="M35" s="98">
        <f>G35+J35</f>
        <v>222404</v>
      </c>
      <c r="N35" s="98">
        <f>H35+K35</f>
        <v>437310</v>
      </c>
      <c r="O35" s="116">
        <f>L35/C35</f>
        <v>0.78324507342034189</v>
      </c>
      <c r="P35" s="116">
        <f>M35/D35</f>
        <v>0.79441348764109154</v>
      </c>
      <c r="Q35" s="116">
        <f>N35/E35</f>
        <v>0.78888550147112146</v>
      </c>
      <c r="R35" s="403"/>
      <c r="S35" s="403"/>
      <c r="T35" s="403"/>
      <c r="U35" s="403"/>
      <c r="V35" s="403"/>
      <c r="W35" s="403"/>
      <c r="X35" s="403"/>
      <c r="Y35" s="403"/>
      <c r="Z35" s="403"/>
      <c r="AA35" s="404"/>
      <c r="AB35" s="404"/>
      <c r="AC35" s="404"/>
      <c r="AD35" s="405"/>
      <c r="AE35" s="405"/>
      <c r="AF35" s="405"/>
      <c r="AG35" s="98">
        <f t="shared" si="179"/>
        <v>274379</v>
      </c>
      <c r="AH35" s="98">
        <f t="shared" si="179"/>
        <v>279960</v>
      </c>
      <c r="AI35" s="98">
        <f t="shared" si="179"/>
        <v>554339</v>
      </c>
      <c r="AJ35" s="98">
        <f t="shared" si="179"/>
        <v>210129</v>
      </c>
      <c r="AK35" s="98">
        <f t="shared" si="179"/>
        <v>217666</v>
      </c>
      <c r="AL35" s="98">
        <f t="shared" si="179"/>
        <v>427795</v>
      </c>
      <c r="AM35" s="98">
        <f t="shared" si="179"/>
        <v>4777</v>
      </c>
      <c r="AN35" s="98">
        <f t="shared" si="179"/>
        <v>4738</v>
      </c>
      <c r="AO35" s="98">
        <f t="shared" si="179"/>
        <v>9515</v>
      </c>
      <c r="AP35" s="98">
        <f t="shared" si="179"/>
        <v>214906</v>
      </c>
      <c r="AQ35" s="98">
        <f t="shared" si="179"/>
        <v>222404</v>
      </c>
      <c r="AR35" s="98">
        <f t="shared" si="179"/>
        <v>437310</v>
      </c>
      <c r="AS35" s="116">
        <f>AP35/AG35</f>
        <v>0.78324507342034189</v>
      </c>
      <c r="AT35" s="116">
        <f>AQ35/AH35</f>
        <v>0.79441348764109154</v>
      </c>
      <c r="AU35" s="116">
        <f>AR35/AI35</f>
        <v>0.78888550147112146</v>
      </c>
      <c r="AV35" s="96">
        <v>52595</v>
      </c>
      <c r="AW35" s="96">
        <v>55036</v>
      </c>
      <c r="AX35" s="96">
        <f>AV35+AW35</f>
        <v>107631</v>
      </c>
      <c r="AY35" s="96">
        <v>37086</v>
      </c>
      <c r="AZ35" s="96">
        <v>38428</v>
      </c>
      <c r="BA35" s="96">
        <f>AY35+AZ35</f>
        <v>75514</v>
      </c>
      <c r="BB35" s="403"/>
      <c r="BC35" s="403"/>
      <c r="BD35" s="403"/>
      <c r="BE35" s="97">
        <f>AY35+BB35</f>
        <v>37086</v>
      </c>
      <c r="BF35" s="98">
        <f>AZ35+BC35</f>
        <v>38428</v>
      </c>
      <c r="BG35" s="98">
        <f>BA35+BD35</f>
        <v>75514</v>
      </c>
      <c r="BH35" s="116">
        <f>BE35/AV35</f>
        <v>0.70512406122254967</v>
      </c>
      <c r="BI35" s="116">
        <f>BF35/AW35</f>
        <v>0.6982338832764009</v>
      </c>
      <c r="BJ35" s="116">
        <f>BG35/AX35</f>
        <v>0.70160083990671829</v>
      </c>
      <c r="BK35" s="403"/>
      <c r="BL35" s="403"/>
      <c r="BM35" s="403"/>
      <c r="BN35" s="403"/>
      <c r="BO35" s="403"/>
      <c r="BP35" s="403"/>
      <c r="BQ35" s="403"/>
      <c r="BR35" s="403"/>
      <c r="BS35" s="403"/>
      <c r="BT35" s="404"/>
      <c r="BU35" s="404"/>
      <c r="BV35" s="404"/>
      <c r="BW35" s="405"/>
      <c r="BX35" s="405"/>
      <c r="BY35" s="405"/>
      <c r="BZ35" s="98">
        <f t="shared" si="545"/>
        <v>52595</v>
      </c>
      <c r="CA35" s="98">
        <f t="shared" si="545"/>
        <v>55036</v>
      </c>
      <c r="CB35" s="98">
        <f t="shared" si="545"/>
        <v>107631</v>
      </c>
      <c r="CC35" s="98">
        <f t="shared" si="545"/>
        <v>37086</v>
      </c>
      <c r="CD35" s="98">
        <f t="shared" si="545"/>
        <v>38428</v>
      </c>
      <c r="CE35" s="98">
        <f t="shared" si="545"/>
        <v>75514</v>
      </c>
      <c r="CF35" s="404"/>
      <c r="CG35" s="404"/>
      <c r="CH35" s="404"/>
      <c r="CI35" s="98">
        <f t="shared" si="545"/>
        <v>37086</v>
      </c>
      <c r="CJ35" s="98">
        <f t="shared" si="545"/>
        <v>38428</v>
      </c>
      <c r="CK35" s="98">
        <f t="shared" si="545"/>
        <v>75514</v>
      </c>
      <c r="CL35" s="116">
        <f>CI35/BZ35</f>
        <v>0.70512406122254967</v>
      </c>
      <c r="CM35" s="116">
        <f>CJ35/CA35</f>
        <v>0.6982338832764009</v>
      </c>
      <c r="CN35" s="116">
        <f>CK35/CB35</f>
        <v>0.70160083990671829</v>
      </c>
      <c r="CO35" s="96">
        <v>58000</v>
      </c>
      <c r="CP35" s="96">
        <v>61832</v>
      </c>
      <c r="CQ35" s="96">
        <f>CO35+CP35</f>
        <v>119832</v>
      </c>
      <c r="CR35" s="96">
        <v>40914</v>
      </c>
      <c r="CS35" s="96">
        <v>45102</v>
      </c>
      <c r="CT35" s="96">
        <f>CR35+CS35</f>
        <v>86016</v>
      </c>
      <c r="CU35" s="403"/>
      <c r="CV35" s="403"/>
      <c r="CW35" s="403"/>
      <c r="CX35" s="97">
        <f>CR35+CU35</f>
        <v>40914</v>
      </c>
      <c r="CY35" s="98">
        <f>CS35+CV35</f>
        <v>45102</v>
      </c>
      <c r="CZ35" s="98">
        <f>CT35+CW35</f>
        <v>86016</v>
      </c>
      <c r="DA35" s="116">
        <f>CX35/CO35</f>
        <v>0.70541379310344832</v>
      </c>
      <c r="DB35" s="116">
        <f>CY35/CP35</f>
        <v>0.72942812783024968</v>
      </c>
      <c r="DC35" s="116">
        <f>CZ35/CQ35</f>
        <v>0.71780492689765674</v>
      </c>
      <c r="DD35" s="403"/>
      <c r="DE35" s="403"/>
      <c r="DF35" s="403"/>
      <c r="DG35" s="403"/>
      <c r="DH35" s="403"/>
      <c r="DI35" s="403"/>
      <c r="DJ35" s="403"/>
      <c r="DK35" s="403"/>
      <c r="DL35" s="403"/>
      <c r="DM35" s="404"/>
      <c r="DN35" s="404"/>
      <c r="DO35" s="404"/>
      <c r="DP35" s="405"/>
      <c r="DQ35" s="405"/>
      <c r="DR35" s="405"/>
      <c r="DS35" s="98">
        <f t="shared" si="474"/>
        <v>58000</v>
      </c>
      <c r="DT35" s="98">
        <f t="shared" si="474"/>
        <v>61832</v>
      </c>
      <c r="DU35" s="98">
        <f t="shared" si="474"/>
        <v>119832</v>
      </c>
      <c r="DV35" s="98">
        <f t="shared" si="474"/>
        <v>40914</v>
      </c>
      <c r="DW35" s="98">
        <f t="shared" si="474"/>
        <v>45102</v>
      </c>
      <c r="DX35" s="98">
        <f t="shared" si="474"/>
        <v>86016</v>
      </c>
      <c r="DY35" s="404"/>
      <c r="DZ35" s="404"/>
      <c r="EA35" s="404"/>
      <c r="EB35" s="98">
        <f t="shared" si="474"/>
        <v>40914</v>
      </c>
      <c r="EC35" s="98">
        <f t="shared" si="474"/>
        <v>45102</v>
      </c>
      <c r="ED35" s="98">
        <f t="shared" si="474"/>
        <v>86016</v>
      </c>
      <c r="EE35" s="116">
        <f>EB35/DS35</f>
        <v>0.70541379310344832</v>
      </c>
      <c r="EF35" s="116">
        <f>EC35/DT35</f>
        <v>0.72942812783024968</v>
      </c>
      <c r="EG35" s="116">
        <f>ED35/DU35</f>
        <v>0.71780492689765674</v>
      </c>
      <c r="EH35" s="96">
        <v>163784</v>
      </c>
      <c r="EI35" s="96">
        <v>163092</v>
      </c>
      <c r="EJ35" s="96">
        <f>EH35+EI35</f>
        <v>326876</v>
      </c>
      <c r="EK35" s="96">
        <v>132129</v>
      </c>
      <c r="EL35" s="96">
        <v>134136</v>
      </c>
      <c r="EM35" s="96">
        <f>EK35+EL35</f>
        <v>266265</v>
      </c>
      <c r="EN35" s="403"/>
      <c r="EO35" s="403"/>
      <c r="EP35" s="393">
        <v>9515</v>
      </c>
      <c r="EQ35" s="97">
        <f>EK35+EN35</f>
        <v>132129</v>
      </c>
      <c r="ER35" s="98">
        <f>EL35+EO35</f>
        <v>134136</v>
      </c>
      <c r="ES35" s="98">
        <f>EM35+EP35</f>
        <v>275780</v>
      </c>
      <c r="ET35" s="116">
        <f>EQ35/EH35</f>
        <v>0.80672715283544183</v>
      </c>
      <c r="EU35" s="116">
        <f>ER35/EI35</f>
        <v>0.82245603708336401</v>
      </c>
      <c r="EV35" s="116">
        <f>ES35/EJ35</f>
        <v>0.84368384341462821</v>
      </c>
      <c r="EW35" s="403"/>
      <c r="EX35" s="403"/>
      <c r="EY35" s="403"/>
      <c r="EZ35" s="403"/>
      <c r="FA35" s="403"/>
      <c r="FB35" s="403"/>
      <c r="FC35" s="403"/>
      <c r="FD35" s="403"/>
      <c r="FE35" s="403"/>
      <c r="FF35" s="404"/>
      <c r="FG35" s="404"/>
      <c r="FH35" s="404"/>
      <c r="FI35" s="405"/>
      <c r="FJ35" s="405"/>
      <c r="FK35" s="405"/>
      <c r="FL35" s="98">
        <f t="shared" si="452"/>
        <v>163784</v>
      </c>
      <c r="FM35" s="98">
        <f t="shared" si="453"/>
        <v>163092</v>
      </c>
      <c r="FN35" s="98">
        <f t="shared" si="454"/>
        <v>326876</v>
      </c>
      <c r="FO35" s="98">
        <f t="shared" si="637"/>
        <v>132129</v>
      </c>
      <c r="FP35" s="98">
        <f t="shared" si="637"/>
        <v>134136</v>
      </c>
      <c r="FQ35" s="98">
        <f t="shared" si="457"/>
        <v>266265</v>
      </c>
      <c r="FR35" s="404"/>
      <c r="FS35" s="404"/>
      <c r="FT35" s="404"/>
      <c r="FU35" s="98">
        <f t="shared" si="461"/>
        <v>132129</v>
      </c>
      <c r="FV35" s="98">
        <f t="shared" si="462"/>
        <v>134136</v>
      </c>
      <c r="FW35" s="98">
        <f t="shared" si="463"/>
        <v>275780</v>
      </c>
      <c r="FX35" s="116">
        <f>FU35/FL35</f>
        <v>0.80672715283544183</v>
      </c>
      <c r="FY35" s="116">
        <f>FV35/FM35</f>
        <v>0.82245603708336401</v>
      </c>
      <c r="FZ35" s="116">
        <f>FW35/FN35</f>
        <v>0.84368384341462821</v>
      </c>
      <c r="GA35" s="98">
        <f>+AP35</f>
        <v>214906</v>
      </c>
      <c r="GB35" s="98">
        <f>+AQ35</f>
        <v>222404</v>
      </c>
      <c r="GC35" s="98">
        <f>+AR35</f>
        <v>437310</v>
      </c>
      <c r="GD35" s="101">
        <v>59993</v>
      </c>
      <c r="GE35" s="101">
        <v>64201</v>
      </c>
      <c r="GF35" s="98">
        <f>GD35+GE35</f>
        <v>124194</v>
      </c>
      <c r="GG35" s="100">
        <f>+GD35*100/GA35</f>
        <v>27.915926032777122</v>
      </c>
      <c r="GH35" s="100">
        <f>+GE35*100/GB35</f>
        <v>28.866836927393393</v>
      </c>
      <c r="GI35" s="100">
        <f>+GF35*100/GC35</f>
        <v>28.399533511696507</v>
      </c>
      <c r="GJ35" s="98">
        <f>+CI35</f>
        <v>37086</v>
      </c>
      <c r="GK35" s="98">
        <f>+CJ35</f>
        <v>38428</v>
      </c>
      <c r="GL35" s="98">
        <f>+CK35</f>
        <v>75514</v>
      </c>
      <c r="GM35" s="101">
        <v>8020</v>
      </c>
      <c r="GN35" s="101">
        <v>8566</v>
      </c>
      <c r="GO35" s="98">
        <f>GM35+GN35</f>
        <v>16586</v>
      </c>
      <c r="GP35" s="100">
        <f>+GM35*100/GJ35</f>
        <v>21.625411206385159</v>
      </c>
      <c r="GQ35" s="100">
        <f>+GN35*100/GK35</f>
        <v>22.291037784948475</v>
      </c>
      <c r="GR35" s="100">
        <f>+GO35*100/GL35</f>
        <v>21.96413910003443</v>
      </c>
      <c r="GS35" s="98">
        <f>+EB35</f>
        <v>40914</v>
      </c>
      <c r="GT35" s="98">
        <f>+EC35</f>
        <v>45102</v>
      </c>
      <c r="GU35" s="98">
        <f>+ED35</f>
        <v>86016</v>
      </c>
      <c r="GV35" s="101">
        <v>6070</v>
      </c>
      <c r="GW35" s="101">
        <v>6986</v>
      </c>
      <c r="GX35" s="98">
        <f>GV35+GW35</f>
        <v>13056</v>
      </c>
      <c r="GY35" s="100">
        <f>+GV35*100/GS35</f>
        <v>14.835997458082808</v>
      </c>
      <c r="GZ35" s="100">
        <f>+GW35*100/GT35</f>
        <v>15.489335284466321</v>
      </c>
      <c r="HA35" s="100">
        <f>+GX35*100/GU35</f>
        <v>15.178571428571429</v>
      </c>
      <c r="HB35" s="98">
        <f t="shared" si="167"/>
        <v>132129</v>
      </c>
      <c r="HC35" s="98">
        <f t="shared" si="168"/>
        <v>134136</v>
      </c>
      <c r="HD35" s="98">
        <f t="shared" si="169"/>
        <v>275780</v>
      </c>
      <c r="HE35" s="101">
        <v>45903</v>
      </c>
      <c r="HF35" s="101">
        <v>48649</v>
      </c>
      <c r="HG35" s="98">
        <f>HE35+HF35</f>
        <v>94552</v>
      </c>
      <c r="HH35" s="100">
        <f>+HE35*100/HB35</f>
        <v>34.741048520763798</v>
      </c>
      <c r="HI35" s="100">
        <f>+HF35*100/HC35</f>
        <v>36.268414146836044</v>
      </c>
      <c r="HJ35" s="100">
        <f>+HG35*100/HD35</f>
        <v>34.285299876713324</v>
      </c>
    </row>
    <row r="36" spans="1:220">
      <c r="A36" s="420">
        <v>28</v>
      </c>
      <c r="B36" s="118" t="s">
        <v>162</v>
      </c>
      <c r="C36" s="96">
        <v>218629</v>
      </c>
      <c r="D36" s="96">
        <v>159835</v>
      </c>
      <c r="E36" s="96">
        <f>C36+D36</f>
        <v>378464</v>
      </c>
      <c r="F36" s="96">
        <v>110990</v>
      </c>
      <c r="G36" s="96">
        <v>108690</v>
      </c>
      <c r="H36" s="96">
        <f>F36+G36</f>
        <v>219680</v>
      </c>
      <c r="I36" s="96">
        <v>20337</v>
      </c>
      <c r="J36" s="96">
        <v>13170</v>
      </c>
      <c r="K36" s="96">
        <f>I36+J36</f>
        <v>33507</v>
      </c>
      <c r="L36" s="97">
        <f t="shared" ref="L36" si="665">F36+I36</f>
        <v>131327</v>
      </c>
      <c r="M36" s="98">
        <f t="shared" ref="M36" si="666">G36+J36</f>
        <v>121860</v>
      </c>
      <c r="N36" s="98">
        <f t="shared" ref="N36" si="667">H36+K36</f>
        <v>253187</v>
      </c>
      <c r="O36" s="116">
        <f t="shared" si="178"/>
        <v>0.60068426421014598</v>
      </c>
      <c r="P36" s="116">
        <f t="shared" si="178"/>
        <v>0.76241123658773113</v>
      </c>
      <c r="Q36" s="116">
        <f t="shared" si="178"/>
        <v>0.66898568952397053</v>
      </c>
      <c r="R36" s="96">
        <v>17477</v>
      </c>
      <c r="S36" s="96">
        <v>10338</v>
      </c>
      <c r="T36" s="96">
        <f>R36+S36</f>
        <v>27815</v>
      </c>
      <c r="U36" s="96">
        <v>11540</v>
      </c>
      <c r="V36" s="96">
        <v>8134</v>
      </c>
      <c r="W36" s="96">
        <f>U36+V36</f>
        <v>19674</v>
      </c>
      <c r="X36" s="403"/>
      <c r="Y36" s="403"/>
      <c r="Z36" s="403"/>
      <c r="AA36" s="97">
        <f t="shared" ref="AA36" si="668">U36+X36</f>
        <v>11540</v>
      </c>
      <c r="AB36" s="98">
        <f t="shared" ref="AB36" si="669">V36+Y36</f>
        <v>8134</v>
      </c>
      <c r="AC36" s="98">
        <f t="shared" ref="AC36" si="670">W36+Z36</f>
        <v>19674</v>
      </c>
      <c r="AD36" s="116">
        <f t="shared" ref="AD36" si="671">AA36/R36</f>
        <v>0.66029638954053904</v>
      </c>
      <c r="AE36" s="116">
        <f t="shared" ref="AE36:AE40" si="672">AB36/S36</f>
        <v>0.78680595859934221</v>
      </c>
      <c r="AF36" s="116">
        <f t="shared" ref="AF36:AF40" si="673">AC36/T36</f>
        <v>0.70731619629696207</v>
      </c>
      <c r="AG36" s="98">
        <f t="shared" ref="AG36" si="674">C36+R36</f>
        <v>236106</v>
      </c>
      <c r="AH36" s="98">
        <f t="shared" ref="AH36" si="675">D36+S36</f>
        <v>170173</v>
      </c>
      <c r="AI36" s="98">
        <f t="shared" si="179"/>
        <v>406279</v>
      </c>
      <c r="AJ36" s="98">
        <f>F36+U36</f>
        <v>122530</v>
      </c>
      <c r="AK36" s="98">
        <f t="shared" ref="AK36" si="676">G36+V36</f>
        <v>116824</v>
      </c>
      <c r="AL36" s="98">
        <f t="shared" si="179"/>
        <v>239354</v>
      </c>
      <c r="AM36" s="98">
        <f t="shared" ref="AM36" si="677">I36+X36</f>
        <v>20337</v>
      </c>
      <c r="AN36" s="98">
        <f t="shared" si="179"/>
        <v>13170</v>
      </c>
      <c r="AO36" s="98">
        <f t="shared" si="179"/>
        <v>33507</v>
      </c>
      <c r="AP36" s="98">
        <f>L36+AA36</f>
        <v>142867</v>
      </c>
      <c r="AQ36" s="98">
        <f t="shared" si="179"/>
        <v>129994</v>
      </c>
      <c r="AR36" s="98">
        <f t="shared" si="179"/>
        <v>272861</v>
      </c>
      <c r="AS36" s="116">
        <f t="shared" si="180"/>
        <v>0.60509686327327561</v>
      </c>
      <c r="AT36" s="116">
        <f t="shared" si="180"/>
        <v>0.76389321455224979</v>
      </c>
      <c r="AU36" s="116">
        <f t="shared" si="180"/>
        <v>0.67160990353919348</v>
      </c>
      <c r="AV36" s="96">
        <v>89826</v>
      </c>
      <c r="AW36" s="96">
        <v>73113</v>
      </c>
      <c r="AX36" s="96">
        <f>AV36+AW36</f>
        <v>162939</v>
      </c>
      <c r="AY36" s="96">
        <v>39632</v>
      </c>
      <c r="AZ36" s="96">
        <v>44234</v>
      </c>
      <c r="BA36" s="96">
        <f>AY36+AZ36</f>
        <v>83866</v>
      </c>
      <c r="BB36" s="96">
        <v>9425</v>
      </c>
      <c r="BC36" s="96">
        <v>7304</v>
      </c>
      <c r="BD36" s="96">
        <f>BB36+BC36</f>
        <v>16729</v>
      </c>
      <c r="BE36" s="97">
        <f t="shared" ref="BE36" si="678">AY36+BB36</f>
        <v>49057</v>
      </c>
      <c r="BF36" s="98">
        <f t="shared" ref="BF36" si="679">AZ36+BC36</f>
        <v>51538</v>
      </c>
      <c r="BG36" s="98">
        <f t="shared" ref="BG36" si="680">BA36+BD36</f>
        <v>100595</v>
      </c>
      <c r="BH36" s="116">
        <f t="shared" ref="BH36" si="681">BE36/AV36</f>
        <v>0.54613363614098365</v>
      </c>
      <c r="BI36" s="116">
        <f t="shared" ref="BI36:BI41" si="682">BF36/AW36</f>
        <v>0.70490883974122254</v>
      </c>
      <c r="BJ36" s="116">
        <f t="shared" ref="BJ36:BJ41" si="683">BG36/AX36</f>
        <v>0.61737828267020178</v>
      </c>
      <c r="BK36" s="96">
        <v>3809</v>
      </c>
      <c r="BL36" s="96">
        <v>2493</v>
      </c>
      <c r="BM36" s="96">
        <f>BK36+BL36</f>
        <v>6302</v>
      </c>
      <c r="BN36" s="96">
        <v>2441</v>
      </c>
      <c r="BO36" s="96">
        <v>2035</v>
      </c>
      <c r="BP36" s="96">
        <f>BN36+BO36</f>
        <v>4476</v>
      </c>
      <c r="BQ36" s="403"/>
      <c r="BR36" s="403"/>
      <c r="BS36" s="403"/>
      <c r="BT36" s="97">
        <f t="shared" ref="BT36" si="684">BN36+BQ36</f>
        <v>2441</v>
      </c>
      <c r="BU36" s="98">
        <f t="shared" ref="BU36" si="685">BO36+BR36</f>
        <v>2035</v>
      </c>
      <c r="BV36" s="98">
        <f t="shared" ref="BV36" si="686">BP36+BS36</f>
        <v>4476</v>
      </c>
      <c r="BW36" s="116">
        <f t="shared" ref="BW36" si="687">BT36/BK36</f>
        <v>0.64085061695983203</v>
      </c>
      <c r="BX36" s="116">
        <f t="shared" ref="BX36:BX41" si="688">BU36/BL36</f>
        <v>0.81628559967910153</v>
      </c>
      <c r="BY36" s="116">
        <f t="shared" ref="BY36:BY41" si="689">BV36/BM36</f>
        <v>0.71025071405902884</v>
      </c>
      <c r="BZ36" s="98">
        <f t="shared" ref="BZ36" si="690">AV36+BK36</f>
        <v>93635</v>
      </c>
      <c r="CA36" s="98">
        <f t="shared" ref="CA36" si="691">AW36+BL36</f>
        <v>75606</v>
      </c>
      <c r="CB36" s="98">
        <f t="shared" si="545"/>
        <v>169241</v>
      </c>
      <c r="CC36" s="98">
        <f t="shared" ref="CC36" si="692">AY36+BN36</f>
        <v>42073</v>
      </c>
      <c r="CD36" s="98">
        <f t="shared" ref="CD36" si="693">AZ36+BO36</f>
        <v>46269</v>
      </c>
      <c r="CE36" s="98">
        <f t="shared" si="545"/>
        <v>88342</v>
      </c>
      <c r="CF36" s="98">
        <f t="shared" si="545"/>
        <v>9425</v>
      </c>
      <c r="CG36" s="98">
        <f t="shared" si="545"/>
        <v>7304</v>
      </c>
      <c r="CH36" s="98">
        <f t="shared" si="545"/>
        <v>16729</v>
      </c>
      <c r="CI36" s="98">
        <f t="shared" si="545"/>
        <v>51498</v>
      </c>
      <c r="CJ36" s="98">
        <f t="shared" si="545"/>
        <v>53573</v>
      </c>
      <c r="CK36" s="98">
        <f t="shared" si="545"/>
        <v>105071</v>
      </c>
      <c r="CL36" s="116">
        <f t="shared" si="389"/>
        <v>0.54998665029102367</v>
      </c>
      <c r="CM36" s="116">
        <f t="shared" si="389"/>
        <v>0.70858132952411179</v>
      </c>
      <c r="CN36" s="116">
        <f t="shared" si="389"/>
        <v>0.62083655851714414</v>
      </c>
      <c r="CO36" s="96">
        <v>64</v>
      </c>
      <c r="CP36" s="96">
        <v>33</v>
      </c>
      <c r="CQ36" s="96">
        <f>CO36+CP36</f>
        <v>97</v>
      </c>
      <c r="CR36" s="96">
        <v>31</v>
      </c>
      <c r="CS36" s="96">
        <v>21</v>
      </c>
      <c r="CT36" s="96">
        <f>CR36+CS36</f>
        <v>52</v>
      </c>
      <c r="CU36" s="96">
        <v>8</v>
      </c>
      <c r="CV36" s="96">
        <v>1</v>
      </c>
      <c r="CW36" s="96">
        <f>CU36+CV36</f>
        <v>9</v>
      </c>
      <c r="CX36" s="97">
        <f t="shared" ref="CX36" si="694">CR36+CU36</f>
        <v>39</v>
      </c>
      <c r="CY36" s="98">
        <f t="shared" ref="CY36" si="695">CS36+CV36</f>
        <v>22</v>
      </c>
      <c r="CZ36" s="98">
        <f t="shared" ref="CZ36" si="696">CT36+CW36</f>
        <v>61</v>
      </c>
      <c r="DA36" s="116">
        <f t="shared" ref="DA36" si="697">CX36/CO36</f>
        <v>0.609375</v>
      </c>
      <c r="DB36" s="116">
        <f t="shared" ref="DB36:DB41" si="698">CY36/CP36</f>
        <v>0.66666666666666663</v>
      </c>
      <c r="DC36" s="116">
        <f t="shared" ref="DC36:DC41" si="699">CZ36/CQ36</f>
        <v>0.62886597938144329</v>
      </c>
      <c r="DD36" s="96">
        <v>2</v>
      </c>
      <c r="DE36" s="96">
        <v>2</v>
      </c>
      <c r="DF36" s="96">
        <f>DD36+DE36</f>
        <v>4</v>
      </c>
      <c r="DG36" s="96">
        <v>2</v>
      </c>
      <c r="DH36" s="96">
        <v>2</v>
      </c>
      <c r="DI36" s="96">
        <f>DG36+DH36</f>
        <v>4</v>
      </c>
      <c r="DJ36" s="403"/>
      <c r="DK36" s="403"/>
      <c r="DL36" s="403"/>
      <c r="DM36" s="97">
        <f>DG36+DN39</f>
        <v>2</v>
      </c>
      <c r="DN36" s="98">
        <f t="shared" ref="DN36" si="700">DH36+DK36</f>
        <v>2</v>
      </c>
      <c r="DO36" s="98">
        <f t="shared" ref="DO36" si="701">DI36+DL36</f>
        <v>4</v>
      </c>
      <c r="DP36" s="116">
        <f t="shared" ref="DP36" si="702">DM36/DD36</f>
        <v>1</v>
      </c>
      <c r="DQ36" s="116">
        <f t="shared" ref="DQ36:DQ41" si="703">DN36/DE36</f>
        <v>1</v>
      </c>
      <c r="DR36" s="116">
        <f t="shared" ref="DR36:DR41" si="704">DO36/DF36</f>
        <v>1</v>
      </c>
      <c r="DS36" s="98">
        <v>8556</v>
      </c>
      <c r="DT36" s="98">
        <v>6849</v>
      </c>
      <c r="DU36" s="98">
        <f>DS36+DT36</f>
        <v>15405</v>
      </c>
      <c r="DV36" s="98">
        <v>5037</v>
      </c>
      <c r="DW36" s="98">
        <v>5080</v>
      </c>
      <c r="DX36" s="98">
        <f>DV36+DW36</f>
        <v>10117</v>
      </c>
      <c r="DY36" s="98">
        <v>827</v>
      </c>
      <c r="DZ36" s="98">
        <v>555</v>
      </c>
      <c r="EA36" s="98">
        <f>DY36+DZ36</f>
        <v>1382</v>
      </c>
      <c r="EB36" s="98">
        <f t="shared" si="474"/>
        <v>41</v>
      </c>
      <c r="EC36" s="98">
        <f t="shared" si="474"/>
        <v>24</v>
      </c>
      <c r="ED36" s="98">
        <f t="shared" si="474"/>
        <v>65</v>
      </c>
      <c r="EE36" s="116">
        <f t="shared" si="394"/>
        <v>4.7919588592800376E-3</v>
      </c>
      <c r="EF36" s="116">
        <f t="shared" si="193"/>
        <v>3.504161191414805E-3</v>
      </c>
      <c r="EG36" s="116">
        <f t="shared" si="193"/>
        <v>4.2194092827004216E-3</v>
      </c>
      <c r="EH36" s="96">
        <v>8556</v>
      </c>
      <c r="EI36" s="96">
        <v>6849</v>
      </c>
      <c r="EJ36" s="96">
        <f>EH36+EI36</f>
        <v>15405</v>
      </c>
      <c r="EK36" s="96">
        <v>5037</v>
      </c>
      <c r="EL36" s="96">
        <v>5080</v>
      </c>
      <c r="EM36" s="96">
        <f>EK36+EL36</f>
        <v>10117</v>
      </c>
      <c r="EN36" s="96">
        <v>827</v>
      </c>
      <c r="EO36" s="96">
        <v>555</v>
      </c>
      <c r="EP36" s="96">
        <f>EN36+EO36</f>
        <v>1382</v>
      </c>
      <c r="EQ36" s="97">
        <f t="shared" ref="EQ36" si="705">EK36+EN36</f>
        <v>5864</v>
      </c>
      <c r="ER36" s="98">
        <f t="shared" ref="ER36" si="706">EL36+EO36</f>
        <v>5635</v>
      </c>
      <c r="ES36" s="98">
        <f t="shared" ref="ES36" si="707">EM36+EP36</f>
        <v>11499</v>
      </c>
      <c r="ET36" s="116">
        <f t="shared" ref="ET36" si="708">EQ36/EH36</f>
        <v>0.68536699392239364</v>
      </c>
      <c r="EU36" s="116">
        <f t="shared" ref="EU36:EU38" si="709">ER36/EI36</f>
        <v>0.82274784640093446</v>
      </c>
      <c r="EV36" s="116">
        <f t="shared" ref="EV36:EV38" si="710">ES36/EJ36</f>
        <v>0.74644595910418698</v>
      </c>
      <c r="EW36" s="96">
        <v>269</v>
      </c>
      <c r="EX36" s="96">
        <v>194</v>
      </c>
      <c r="EY36" s="96">
        <f>EW36+EX36</f>
        <v>463</v>
      </c>
      <c r="EZ36" s="96">
        <v>190</v>
      </c>
      <c r="FA36" s="96">
        <v>162</v>
      </c>
      <c r="FB36" s="96">
        <f>EZ36+FA36</f>
        <v>352</v>
      </c>
      <c r="FC36" s="403"/>
      <c r="FD36" s="403"/>
      <c r="FE36" s="403"/>
      <c r="FF36" s="97">
        <f t="shared" ref="FF36" si="711">EZ36+FC36</f>
        <v>190</v>
      </c>
      <c r="FG36" s="98">
        <f t="shared" ref="FG36" si="712">FA36+FD36</f>
        <v>162</v>
      </c>
      <c r="FH36" s="98">
        <f t="shared" ref="FH36" si="713">FB36+FE36</f>
        <v>352</v>
      </c>
      <c r="FI36" s="116">
        <f>FF36/EW36</f>
        <v>0.70631970260223054</v>
      </c>
      <c r="FJ36" s="116">
        <f t="shared" ref="FJ36:FJ38" si="714">FG36/EX36</f>
        <v>0.83505154639175261</v>
      </c>
      <c r="FK36" s="116">
        <f t="shared" ref="FK36:FK38" si="715">FH36/EY36</f>
        <v>0.76025917926565878</v>
      </c>
      <c r="FL36" s="98">
        <f>EH36+EW36</f>
        <v>8825</v>
      </c>
      <c r="FM36" s="98">
        <f>EI36+EX36</f>
        <v>7043</v>
      </c>
      <c r="FN36" s="98">
        <f t="shared" si="454"/>
        <v>15868</v>
      </c>
      <c r="FO36" s="98">
        <f t="shared" si="637"/>
        <v>5227</v>
      </c>
      <c r="FP36" s="98">
        <f t="shared" si="637"/>
        <v>5242</v>
      </c>
      <c r="FQ36" s="98">
        <f t="shared" si="457"/>
        <v>10469</v>
      </c>
      <c r="FR36" s="98">
        <f t="shared" ref="FR36" si="716">EN36+FC36</f>
        <v>827</v>
      </c>
      <c r="FS36" s="98">
        <f t="shared" ref="FS36" si="717">EO36+FD36</f>
        <v>555</v>
      </c>
      <c r="FT36" s="98">
        <f t="shared" ref="FT36" si="718">EP36+FE36</f>
        <v>1382</v>
      </c>
      <c r="FU36" s="98">
        <f t="shared" ref="FU36" si="719">EQ36+FF36</f>
        <v>6054</v>
      </c>
      <c r="FV36" s="98">
        <f t="shared" ref="FV36" si="720">ER36+FG36</f>
        <v>5797</v>
      </c>
      <c r="FW36" s="98">
        <f t="shared" ref="FW36" si="721">ES36+FH36</f>
        <v>11851</v>
      </c>
      <c r="FX36" s="116">
        <f t="shared" ref="FX36" si="722">FU36/FL36</f>
        <v>0.68600566572237964</v>
      </c>
      <c r="FY36" s="116">
        <f t="shared" ref="FY36" si="723">FV36/FM36</f>
        <v>0.82308675280420274</v>
      </c>
      <c r="FZ36" s="116">
        <f t="shared" ref="FZ36" si="724">FW36/FN36</f>
        <v>0.74684900428535417</v>
      </c>
      <c r="GA36" s="98">
        <f t="shared" ref="GA36" si="725">+AP36</f>
        <v>142867</v>
      </c>
      <c r="GB36" s="98">
        <f t="shared" ref="GB36" si="726">+AQ36</f>
        <v>129994</v>
      </c>
      <c r="GC36" s="98">
        <f t="shared" ref="GC36" si="727">+AR36</f>
        <v>272861</v>
      </c>
      <c r="GD36" s="101">
        <v>45178</v>
      </c>
      <c r="GE36" s="101">
        <v>67835</v>
      </c>
      <c r="GF36" s="98">
        <f t="shared" si="208"/>
        <v>113013</v>
      </c>
      <c r="GG36" s="100">
        <f t="shared" si="641"/>
        <v>31.622418053154334</v>
      </c>
      <c r="GH36" s="100">
        <f t="shared" si="641"/>
        <v>52.18317768512393</v>
      </c>
      <c r="GI36" s="100">
        <f t="shared" si="641"/>
        <v>41.417791476246144</v>
      </c>
      <c r="GJ36" s="98">
        <f t="shared" si="210"/>
        <v>51498</v>
      </c>
      <c r="GK36" s="98">
        <f t="shared" si="210"/>
        <v>53573</v>
      </c>
      <c r="GL36" s="98">
        <f t="shared" si="210"/>
        <v>105071</v>
      </c>
      <c r="GM36" s="101">
        <v>12434</v>
      </c>
      <c r="GN36" s="101">
        <v>22555</v>
      </c>
      <c r="GO36" s="98">
        <f t="shared" si="211"/>
        <v>34989</v>
      </c>
      <c r="GP36" s="100">
        <f t="shared" si="642"/>
        <v>24.144626975804886</v>
      </c>
      <c r="GQ36" s="100">
        <f t="shared" si="642"/>
        <v>42.101431691337055</v>
      </c>
      <c r="GR36" s="100">
        <f t="shared" si="642"/>
        <v>33.300339770250595</v>
      </c>
      <c r="GS36" s="98">
        <f>+EB36</f>
        <v>41</v>
      </c>
      <c r="GT36" s="98">
        <f t="shared" si="213"/>
        <v>24</v>
      </c>
      <c r="GU36" s="98">
        <f t="shared" si="213"/>
        <v>65</v>
      </c>
      <c r="GV36" s="101">
        <v>13</v>
      </c>
      <c r="GW36" s="101">
        <v>16</v>
      </c>
      <c r="GX36" s="98">
        <f t="shared" si="214"/>
        <v>29</v>
      </c>
      <c r="GY36" s="100">
        <f t="shared" si="643"/>
        <v>31.707317073170731</v>
      </c>
      <c r="GZ36" s="100">
        <f t="shared" si="643"/>
        <v>66.666666666666671</v>
      </c>
      <c r="HA36" s="100">
        <f t="shared" si="643"/>
        <v>44.615384615384613</v>
      </c>
      <c r="HB36" s="98">
        <f t="shared" si="167"/>
        <v>6054</v>
      </c>
      <c r="HC36" s="98">
        <f t="shared" si="168"/>
        <v>5797</v>
      </c>
      <c r="HD36" s="98">
        <f t="shared" si="169"/>
        <v>11851</v>
      </c>
      <c r="HE36" s="101">
        <v>2218</v>
      </c>
      <c r="HF36" s="101">
        <v>3289</v>
      </c>
      <c r="HG36" s="98">
        <f t="shared" ref="HG36" si="728">HE36+HF36</f>
        <v>5507</v>
      </c>
      <c r="HH36" s="100">
        <f t="shared" ref="HH36" si="729">+HE36*100/HB36</f>
        <v>36.63693425834159</v>
      </c>
      <c r="HI36" s="100">
        <f t="shared" ref="HI36:HI38" si="730">+HF36*100/HC36</f>
        <v>56.736242884250473</v>
      </c>
      <c r="HJ36" s="100">
        <f t="shared" ref="HJ36:HJ38" si="731">+HG36*100/HD36</f>
        <v>46.468652434393725</v>
      </c>
    </row>
    <row r="37" spans="1:220" ht="28.5">
      <c r="A37" s="420">
        <v>29</v>
      </c>
      <c r="B37" s="118" t="s">
        <v>212</v>
      </c>
      <c r="C37" s="96">
        <v>595364</v>
      </c>
      <c r="D37" s="96">
        <v>458665</v>
      </c>
      <c r="E37" s="96">
        <f>C37+D37</f>
        <v>1054029</v>
      </c>
      <c r="F37" s="96">
        <v>478631</v>
      </c>
      <c r="G37" s="96">
        <v>369541</v>
      </c>
      <c r="H37" s="96">
        <f>F37+G37</f>
        <v>848172</v>
      </c>
      <c r="I37" s="96">
        <v>16309</v>
      </c>
      <c r="J37" s="96">
        <v>16319</v>
      </c>
      <c r="K37" s="96">
        <f>I37+J37</f>
        <v>32628</v>
      </c>
      <c r="L37" s="97">
        <f>F37+I37</f>
        <v>494940</v>
      </c>
      <c r="M37" s="98">
        <f t="shared" si="648"/>
        <v>385860</v>
      </c>
      <c r="N37" s="98">
        <f t="shared" si="648"/>
        <v>880800</v>
      </c>
      <c r="O37" s="116">
        <f>L37/C37</f>
        <v>0.83132335848321359</v>
      </c>
      <c r="P37" s="116">
        <f t="shared" si="178"/>
        <v>0.84126759181537725</v>
      </c>
      <c r="Q37" s="116">
        <f t="shared" si="178"/>
        <v>0.83565063200348377</v>
      </c>
      <c r="R37" s="96">
        <v>2504</v>
      </c>
      <c r="S37" s="96">
        <v>1875</v>
      </c>
      <c r="T37" s="96">
        <f>R37+S37</f>
        <v>4379</v>
      </c>
      <c r="U37" s="96">
        <v>367</v>
      </c>
      <c r="V37" s="96">
        <v>270</v>
      </c>
      <c r="W37" s="96">
        <f>U37+V37</f>
        <v>637</v>
      </c>
      <c r="X37" s="96">
        <v>32</v>
      </c>
      <c r="Y37" s="96">
        <v>33</v>
      </c>
      <c r="Z37" s="96">
        <f>X37+Y37</f>
        <v>65</v>
      </c>
      <c r="AA37" s="97">
        <f>U37+X37</f>
        <v>399</v>
      </c>
      <c r="AB37" s="98">
        <f t="shared" ref="AB37:AB40" si="732">V37+Y37</f>
        <v>303</v>
      </c>
      <c r="AC37" s="98">
        <f t="shared" ref="AC37:AC40" si="733">W37+Z37</f>
        <v>702</v>
      </c>
      <c r="AD37" s="116">
        <f>AA37/R37</f>
        <v>0.15934504792332269</v>
      </c>
      <c r="AE37" s="116">
        <f t="shared" si="672"/>
        <v>0.16159999999999999</v>
      </c>
      <c r="AF37" s="116">
        <f t="shared" si="673"/>
        <v>0.16031057319022607</v>
      </c>
      <c r="AG37" s="98">
        <f t="shared" si="179"/>
        <v>597868</v>
      </c>
      <c r="AH37" s="98">
        <f t="shared" si="179"/>
        <v>460540</v>
      </c>
      <c r="AI37" s="98">
        <f t="shared" si="179"/>
        <v>1058408</v>
      </c>
      <c r="AJ37" s="98">
        <f t="shared" si="179"/>
        <v>478998</v>
      </c>
      <c r="AK37" s="98">
        <f t="shared" si="179"/>
        <v>369811</v>
      </c>
      <c r="AL37" s="98">
        <f t="shared" si="179"/>
        <v>848809</v>
      </c>
      <c r="AM37" s="98">
        <f t="shared" si="179"/>
        <v>16341</v>
      </c>
      <c r="AN37" s="98">
        <f>J37+Y37</f>
        <v>16352</v>
      </c>
      <c r="AO37" s="98">
        <f>K37+Z37</f>
        <v>32693</v>
      </c>
      <c r="AP37" s="98">
        <f>L37+AA37</f>
        <v>495339</v>
      </c>
      <c r="AQ37" s="98">
        <f>M37+AB37</f>
        <v>386163</v>
      </c>
      <c r="AR37" s="98">
        <f>N37+AC37</f>
        <v>881502</v>
      </c>
      <c r="AS37" s="116">
        <f>AP37/AG37</f>
        <v>0.82850896853486056</v>
      </c>
      <c r="AT37" s="116">
        <f t="shared" si="180"/>
        <v>0.83850045598645073</v>
      </c>
      <c r="AU37" s="116">
        <f>AR37/AI37</f>
        <v>0.83285651657961768</v>
      </c>
      <c r="AV37" s="96">
        <v>111909</v>
      </c>
      <c r="AW37" s="96">
        <v>86591</v>
      </c>
      <c r="AX37" s="96">
        <f>AV37+AW37</f>
        <v>198500</v>
      </c>
      <c r="AY37" s="96">
        <v>86184</v>
      </c>
      <c r="AZ37" s="96">
        <v>65282</v>
      </c>
      <c r="BA37" s="96">
        <f>AY37+AZ37</f>
        <v>151466</v>
      </c>
      <c r="BB37" s="96">
        <v>3469</v>
      </c>
      <c r="BC37" s="96">
        <v>3637</v>
      </c>
      <c r="BD37" s="96">
        <f>BB37+BC37</f>
        <v>7106</v>
      </c>
      <c r="BE37" s="97">
        <f>AY37+BB37</f>
        <v>89653</v>
      </c>
      <c r="BF37" s="98">
        <f t="shared" ref="BF37:BF41" si="734">AZ37+BC37</f>
        <v>68919</v>
      </c>
      <c r="BG37" s="98">
        <f t="shared" ref="BG37:BG41" si="735">BA37+BD37</f>
        <v>158572</v>
      </c>
      <c r="BH37" s="116">
        <f>BE37/AV37</f>
        <v>0.80112412763942131</v>
      </c>
      <c r="BI37" s="116">
        <f t="shared" si="682"/>
        <v>0.79591412502454062</v>
      </c>
      <c r="BJ37" s="116">
        <f t="shared" si="683"/>
        <v>0.79885138539042821</v>
      </c>
      <c r="BK37" s="96">
        <v>511</v>
      </c>
      <c r="BL37" s="96">
        <v>370</v>
      </c>
      <c r="BM37" s="96">
        <f>BK37+BL37</f>
        <v>881</v>
      </c>
      <c r="BN37" s="96">
        <v>41</v>
      </c>
      <c r="BO37" s="96">
        <v>30</v>
      </c>
      <c r="BP37" s="96">
        <f>BN37+BO37</f>
        <v>71</v>
      </c>
      <c r="BQ37" s="96">
        <v>9</v>
      </c>
      <c r="BR37" s="96">
        <v>3</v>
      </c>
      <c r="BS37" s="96">
        <f>BQ37+BR37</f>
        <v>12</v>
      </c>
      <c r="BT37" s="97">
        <f>BN37+BQ37</f>
        <v>50</v>
      </c>
      <c r="BU37" s="98">
        <f t="shared" ref="BU37:BU41" si="736">BO37+BR37</f>
        <v>33</v>
      </c>
      <c r="BV37" s="98">
        <f t="shared" ref="BV37:BV41" si="737">BP37+BS37</f>
        <v>83</v>
      </c>
      <c r="BW37" s="116">
        <f>BT37/BK37</f>
        <v>9.7847358121330719E-2</v>
      </c>
      <c r="BX37" s="116">
        <f t="shared" si="688"/>
        <v>8.9189189189189194E-2</v>
      </c>
      <c r="BY37" s="116">
        <f t="shared" si="689"/>
        <v>9.4211123723041995E-2</v>
      </c>
      <c r="BZ37" s="98">
        <f t="shared" si="545"/>
        <v>112420</v>
      </c>
      <c r="CA37" s="98">
        <f t="shared" si="545"/>
        <v>86961</v>
      </c>
      <c r="CB37" s="98">
        <f t="shared" si="545"/>
        <v>199381</v>
      </c>
      <c r="CC37" s="98">
        <f t="shared" si="545"/>
        <v>86225</v>
      </c>
      <c r="CD37" s="98">
        <f t="shared" si="545"/>
        <v>65312</v>
      </c>
      <c r="CE37" s="98">
        <f t="shared" si="545"/>
        <v>151537</v>
      </c>
      <c r="CF37" s="98">
        <f t="shared" si="545"/>
        <v>3478</v>
      </c>
      <c r="CG37" s="98">
        <f t="shared" si="545"/>
        <v>3640</v>
      </c>
      <c r="CH37" s="98">
        <f t="shared" si="545"/>
        <v>7118</v>
      </c>
      <c r="CI37" s="98">
        <f t="shared" si="545"/>
        <v>89703</v>
      </c>
      <c r="CJ37" s="98">
        <f t="shared" si="545"/>
        <v>68952</v>
      </c>
      <c r="CK37" s="98">
        <f t="shared" si="545"/>
        <v>158655</v>
      </c>
      <c r="CL37" s="116">
        <f>CI37/BZ37</f>
        <v>0.79792741505070275</v>
      </c>
      <c r="CM37" s="116">
        <f>CJ37/CA37</f>
        <v>0.79290716528098804</v>
      </c>
      <c r="CN37" s="116">
        <f>CK37/CB37</f>
        <v>0.7957378085173612</v>
      </c>
      <c r="CO37" s="96">
        <v>74018</v>
      </c>
      <c r="CP37" s="96">
        <v>64425</v>
      </c>
      <c r="CQ37" s="96">
        <f>CO37+CP37</f>
        <v>138443</v>
      </c>
      <c r="CR37" s="96">
        <v>54659</v>
      </c>
      <c r="CS37" s="96">
        <v>45662</v>
      </c>
      <c r="CT37" s="96">
        <f>CR37+CS37</f>
        <v>100321</v>
      </c>
      <c r="CU37" s="96">
        <v>2549</v>
      </c>
      <c r="CV37" s="96">
        <v>2689</v>
      </c>
      <c r="CW37" s="96">
        <f>CU37+CV37</f>
        <v>5238</v>
      </c>
      <c r="CX37" s="97">
        <f>CR37+CU37</f>
        <v>57208</v>
      </c>
      <c r="CY37" s="98">
        <f t="shared" ref="CY37:CY41" si="738">CS37+CV37</f>
        <v>48351</v>
      </c>
      <c r="CZ37" s="98">
        <f t="shared" ref="CZ37:CZ41" si="739">CT37+CW37</f>
        <v>105559</v>
      </c>
      <c r="DA37" s="116">
        <f>CX37/CO37</f>
        <v>0.77289308006160662</v>
      </c>
      <c r="DB37" s="116">
        <f t="shared" si="698"/>
        <v>0.75050058207217696</v>
      </c>
      <c r="DC37" s="116">
        <f t="shared" si="699"/>
        <v>0.76247264217042388</v>
      </c>
      <c r="DD37" s="96">
        <v>134</v>
      </c>
      <c r="DE37" s="96">
        <v>112</v>
      </c>
      <c r="DF37" s="96">
        <f>DD37+DE37</f>
        <v>246</v>
      </c>
      <c r="DG37" s="96">
        <v>7</v>
      </c>
      <c r="DH37" s="96">
        <v>9</v>
      </c>
      <c r="DI37" s="96">
        <f>DG37+DH37</f>
        <v>16</v>
      </c>
      <c r="DJ37" s="96">
        <v>2</v>
      </c>
      <c r="DK37" s="96">
        <v>0</v>
      </c>
      <c r="DL37" s="96">
        <f>DJ37+DK37</f>
        <v>2</v>
      </c>
      <c r="DM37" s="97">
        <f>DG37+DJ37</f>
        <v>9</v>
      </c>
      <c r="DN37" s="98">
        <f t="shared" ref="DN37:DN41" si="740">DH37+DK37</f>
        <v>9</v>
      </c>
      <c r="DO37" s="98">
        <f t="shared" ref="DO37:DO41" si="741">DI37+DL37</f>
        <v>18</v>
      </c>
      <c r="DP37" s="116">
        <f>DM37/DD37</f>
        <v>6.7164179104477612E-2</v>
      </c>
      <c r="DQ37" s="116">
        <f t="shared" si="703"/>
        <v>8.0357142857142863E-2</v>
      </c>
      <c r="DR37" s="116">
        <f t="shared" si="704"/>
        <v>7.3170731707317069E-2</v>
      </c>
      <c r="DS37" s="98">
        <f t="shared" si="474"/>
        <v>74152</v>
      </c>
      <c r="DT37" s="98">
        <f t="shared" si="474"/>
        <v>64537</v>
      </c>
      <c r="DU37" s="98">
        <f t="shared" si="474"/>
        <v>138689</v>
      </c>
      <c r="DV37" s="98">
        <f t="shared" si="474"/>
        <v>54666</v>
      </c>
      <c r="DW37" s="98">
        <f t="shared" si="474"/>
        <v>45671</v>
      </c>
      <c r="DX37" s="98">
        <f t="shared" si="474"/>
        <v>100337</v>
      </c>
      <c r="DY37" s="98">
        <f t="shared" si="474"/>
        <v>2551</v>
      </c>
      <c r="DZ37" s="98">
        <f t="shared" si="474"/>
        <v>2689</v>
      </c>
      <c r="EA37" s="98">
        <f t="shared" si="474"/>
        <v>5240</v>
      </c>
      <c r="EB37" s="98">
        <f t="shared" si="474"/>
        <v>57217</v>
      </c>
      <c r="EC37" s="98">
        <f t="shared" si="474"/>
        <v>48360</v>
      </c>
      <c r="ED37" s="98">
        <f t="shared" si="474"/>
        <v>105577</v>
      </c>
      <c r="EE37" s="116">
        <f>EB37/DS37</f>
        <v>0.77161775811845934</v>
      </c>
      <c r="EF37" s="116">
        <f>EC37/DT37</f>
        <v>0.74933758928986471</v>
      </c>
      <c r="EG37" s="116">
        <f>ED37/DU37</f>
        <v>0.7612499909870285</v>
      </c>
      <c r="EH37" s="96">
        <v>262735</v>
      </c>
      <c r="EI37" s="96">
        <v>201984</v>
      </c>
      <c r="EJ37" s="96">
        <f>EH37+EI37</f>
        <v>464719</v>
      </c>
      <c r="EK37" s="96">
        <v>219022</v>
      </c>
      <c r="EL37" s="96">
        <v>170334</v>
      </c>
      <c r="EM37" s="96">
        <f>EK37+EL37</f>
        <v>389356</v>
      </c>
      <c r="EN37" s="96">
        <v>6383</v>
      </c>
      <c r="EO37" s="96">
        <v>6460</v>
      </c>
      <c r="EP37" s="96">
        <f>EN37+EO37</f>
        <v>12843</v>
      </c>
      <c r="EQ37" s="97">
        <f>EK37+EN37</f>
        <v>225405</v>
      </c>
      <c r="ER37" s="98">
        <f t="shared" ref="ER37:ER38" si="742">EL37+EO37</f>
        <v>176794</v>
      </c>
      <c r="ES37" s="98">
        <f t="shared" ref="ES37:ES38" si="743">EM37+EP37</f>
        <v>402199</v>
      </c>
      <c r="ET37" s="116">
        <f>EQ37/EH37</f>
        <v>0.85791767370163852</v>
      </c>
      <c r="EU37" s="116">
        <f t="shared" si="709"/>
        <v>0.87528715145754121</v>
      </c>
      <c r="EV37" s="116">
        <f t="shared" si="710"/>
        <v>0.86546708871382494</v>
      </c>
      <c r="EW37" s="96">
        <v>1162</v>
      </c>
      <c r="EX37" s="96">
        <v>836</v>
      </c>
      <c r="EY37" s="96">
        <f>EW37+EX37</f>
        <v>1998</v>
      </c>
      <c r="EZ37" s="96">
        <v>225</v>
      </c>
      <c r="FA37" s="96">
        <v>129</v>
      </c>
      <c r="FB37" s="96">
        <f>EZ37+FA37</f>
        <v>354</v>
      </c>
      <c r="FC37" s="96">
        <v>12</v>
      </c>
      <c r="FD37" s="96">
        <v>16</v>
      </c>
      <c r="FE37" s="96">
        <f>FC37+FD37</f>
        <v>28</v>
      </c>
      <c r="FF37" s="97">
        <f>EZ37+FC37</f>
        <v>237</v>
      </c>
      <c r="FG37" s="98">
        <f t="shared" ref="FG37:FG38" si="744">FA37+FD37</f>
        <v>145</v>
      </c>
      <c r="FH37" s="98">
        <f t="shared" ref="FH37:FH38" si="745">FB37+FE37</f>
        <v>382</v>
      </c>
      <c r="FI37" s="116">
        <f>FF37/EW37</f>
        <v>0.20395869191049915</v>
      </c>
      <c r="FJ37" s="116">
        <f t="shared" si="714"/>
        <v>0.17344497607655501</v>
      </c>
      <c r="FK37" s="116">
        <f t="shared" si="715"/>
        <v>0.19119119119119118</v>
      </c>
      <c r="FL37" s="98">
        <f t="shared" si="452"/>
        <v>263897</v>
      </c>
      <c r="FM37" s="98">
        <f t="shared" si="453"/>
        <v>202820</v>
      </c>
      <c r="FN37" s="98">
        <f t="shared" si="454"/>
        <v>466717</v>
      </c>
      <c r="FO37" s="98">
        <f t="shared" si="455"/>
        <v>219247</v>
      </c>
      <c r="FP37" s="98">
        <f t="shared" si="456"/>
        <v>170463</v>
      </c>
      <c r="FQ37" s="98">
        <f t="shared" si="457"/>
        <v>389710</v>
      </c>
      <c r="FR37" s="98">
        <f t="shared" ref="FR37" si="746">EN37+FC37</f>
        <v>6395</v>
      </c>
      <c r="FS37" s="98">
        <f t="shared" ref="FS37" si="747">EO37+FD37</f>
        <v>6476</v>
      </c>
      <c r="FT37" s="98">
        <f t="shared" ref="FT37" si="748">EP37+FE37</f>
        <v>12871</v>
      </c>
      <c r="FU37" s="98">
        <f t="shared" si="461"/>
        <v>225642</v>
      </c>
      <c r="FV37" s="98">
        <f t="shared" si="462"/>
        <v>176939</v>
      </c>
      <c r="FW37" s="98">
        <f t="shared" si="463"/>
        <v>402581</v>
      </c>
      <c r="FX37" s="116">
        <f>FU37/FL37</f>
        <v>0.85503813988033206</v>
      </c>
      <c r="FY37" s="116">
        <f>FV37/FM37</f>
        <v>0.87239424119909281</v>
      </c>
      <c r="FZ37" s="116">
        <f>FW37/FN37</f>
        <v>0.86258053595647899</v>
      </c>
      <c r="GA37" s="98">
        <f>+AP37</f>
        <v>495339</v>
      </c>
      <c r="GB37" s="98">
        <f>+AQ37</f>
        <v>386163</v>
      </c>
      <c r="GC37" s="98">
        <f>+AR37</f>
        <v>881502</v>
      </c>
      <c r="GD37" s="98">
        <v>170070</v>
      </c>
      <c r="GE37" s="98">
        <v>139041</v>
      </c>
      <c r="GF37" s="98">
        <f>GD37+GE37</f>
        <v>309111</v>
      </c>
      <c r="GG37" s="100">
        <f>+GD37*100/GA37</f>
        <v>34.334062127149288</v>
      </c>
      <c r="GH37" s="100">
        <f t="shared" si="641"/>
        <v>36.005779942666699</v>
      </c>
      <c r="GI37" s="100">
        <f t="shared" si="641"/>
        <v>35.066398034264246</v>
      </c>
      <c r="GJ37" s="98">
        <f>+CI37</f>
        <v>89703</v>
      </c>
      <c r="GK37" s="98">
        <f>+CJ37</f>
        <v>68952</v>
      </c>
      <c r="GL37" s="98">
        <f>+CK37</f>
        <v>158655</v>
      </c>
      <c r="GM37" s="98">
        <v>25366</v>
      </c>
      <c r="GN37" s="98">
        <v>18796</v>
      </c>
      <c r="GO37" s="98">
        <f>GM37+GN37</f>
        <v>44162</v>
      </c>
      <c r="GP37" s="100">
        <f>+GM37*100/GJ37</f>
        <v>28.277761055929009</v>
      </c>
      <c r="GQ37" s="100">
        <f>+GN37*100/GK37</f>
        <v>27.259542870402598</v>
      </c>
      <c r="GR37" s="100">
        <f>+GO37*100/GL37</f>
        <v>27.835239986133434</v>
      </c>
      <c r="GS37" s="98">
        <f>+EB37</f>
        <v>57217</v>
      </c>
      <c r="GT37" s="98">
        <f>+EC37</f>
        <v>48360</v>
      </c>
      <c r="GU37" s="98">
        <f>+ED37</f>
        <v>105577</v>
      </c>
      <c r="GV37" s="98">
        <v>13068</v>
      </c>
      <c r="GW37" s="98">
        <v>9506</v>
      </c>
      <c r="GX37" s="98">
        <f>GV37+GW37</f>
        <v>22574</v>
      </c>
      <c r="GY37" s="100">
        <f>+GV37*100/GS37</f>
        <v>22.839365922715277</v>
      </c>
      <c r="GZ37" s="100">
        <f t="shared" si="643"/>
        <v>19.656741108354012</v>
      </c>
      <c r="HA37" s="100">
        <f t="shared" si="643"/>
        <v>21.381550905973839</v>
      </c>
      <c r="HB37" s="98">
        <f t="shared" si="167"/>
        <v>225642</v>
      </c>
      <c r="HC37" s="98">
        <f t="shared" si="168"/>
        <v>176939</v>
      </c>
      <c r="HD37" s="98">
        <f t="shared" si="169"/>
        <v>402581</v>
      </c>
      <c r="HE37" s="98">
        <v>86564</v>
      </c>
      <c r="HF37" s="98">
        <v>71830</v>
      </c>
      <c r="HG37" s="98">
        <f>HE37+HF37</f>
        <v>158394</v>
      </c>
      <c r="HH37" s="100">
        <f>+HE37*100/HB37</f>
        <v>38.363425248845516</v>
      </c>
      <c r="HI37" s="100">
        <f t="shared" si="730"/>
        <v>40.595911585348624</v>
      </c>
      <c r="HJ37" s="100">
        <f t="shared" si="731"/>
        <v>39.344628782779118</v>
      </c>
    </row>
    <row r="38" spans="1:220" s="363" customFormat="1" ht="28.5">
      <c r="A38" s="420">
        <v>30</v>
      </c>
      <c r="B38" s="118" t="s">
        <v>382</v>
      </c>
      <c r="C38" s="409">
        <v>474340</v>
      </c>
      <c r="D38" s="409">
        <v>476057</v>
      </c>
      <c r="E38" s="409">
        <f t="shared" si="176"/>
        <v>950397</v>
      </c>
      <c r="F38" s="409">
        <v>438993</v>
      </c>
      <c r="G38" s="409">
        <v>458952</v>
      </c>
      <c r="H38" s="409">
        <f t="shared" si="177"/>
        <v>897945</v>
      </c>
      <c r="I38" s="410"/>
      <c r="J38" s="410"/>
      <c r="K38" s="410"/>
      <c r="L38" s="97">
        <f t="shared" si="648"/>
        <v>438993</v>
      </c>
      <c r="M38" s="98">
        <f t="shared" si="648"/>
        <v>458952</v>
      </c>
      <c r="N38" s="98">
        <f t="shared" si="648"/>
        <v>897945</v>
      </c>
      <c r="O38" s="411">
        <f t="shared" si="178"/>
        <v>0.92548172197158152</v>
      </c>
      <c r="P38" s="411">
        <f t="shared" si="178"/>
        <v>0.96406942866085366</v>
      </c>
      <c r="Q38" s="411">
        <f t="shared" si="178"/>
        <v>0.94481043185111069</v>
      </c>
      <c r="R38" s="409">
        <v>23358</v>
      </c>
      <c r="S38" s="409">
        <v>10353</v>
      </c>
      <c r="T38" s="409">
        <f t="shared" ref="T38:T39" si="749">R38+S38</f>
        <v>33711</v>
      </c>
      <c r="U38" s="409">
        <v>4599</v>
      </c>
      <c r="V38" s="409">
        <v>3177</v>
      </c>
      <c r="W38" s="409">
        <f t="shared" ref="W38:W40" si="750">U38+V38</f>
        <v>7776</v>
      </c>
      <c r="X38" s="410"/>
      <c r="Y38" s="410"/>
      <c r="Z38" s="410"/>
      <c r="AA38" s="97">
        <f t="shared" ref="AA38:AA40" si="751">U38+X38</f>
        <v>4599</v>
      </c>
      <c r="AB38" s="98">
        <f t="shared" si="732"/>
        <v>3177</v>
      </c>
      <c r="AC38" s="98">
        <f t="shared" si="733"/>
        <v>7776</v>
      </c>
      <c r="AD38" s="411">
        <f t="shared" ref="AD38:AD40" si="752">AA38/R38</f>
        <v>0.19689185717955304</v>
      </c>
      <c r="AE38" s="411">
        <f t="shared" si="672"/>
        <v>0.3068675746160533</v>
      </c>
      <c r="AF38" s="411">
        <f t="shared" si="673"/>
        <v>0.23066654801103498</v>
      </c>
      <c r="AG38" s="261">
        <f t="shared" si="179"/>
        <v>497698</v>
      </c>
      <c r="AH38" s="261">
        <f t="shared" si="179"/>
        <v>486410</v>
      </c>
      <c r="AI38" s="261">
        <f t="shared" si="179"/>
        <v>984108</v>
      </c>
      <c r="AJ38" s="261">
        <f t="shared" si="179"/>
        <v>443592</v>
      </c>
      <c r="AK38" s="261">
        <f t="shared" si="179"/>
        <v>462129</v>
      </c>
      <c r="AL38" s="261">
        <f t="shared" si="179"/>
        <v>905721</v>
      </c>
      <c r="AM38" s="412"/>
      <c r="AN38" s="412"/>
      <c r="AO38" s="412"/>
      <c r="AP38" s="261">
        <f t="shared" si="224"/>
        <v>443592</v>
      </c>
      <c r="AQ38" s="261">
        <f t="shared" si="224"/>
        <v>462129</v>
      </c>
      <c r="AR38" s="261">
        <f t="shared" si="224"/>
        <v>905721</v>
      </c>
      <c r="AS38" s="411">
        <f t="shared" si="180"/>
        <v>0.89128748759287757</v>
      </c>
      <c r="AT38" s="411">
        <f t="shared" si="180"/>
        <v>0.95008120721202283</v>
      </c>
      <c r="AU38" s="411">
        <f t="shared" si="180"/>
        <v>0.92034715701935155</v>
      </c>
      <c r="AV38" s="409">
        <v>113121</v>
      </c>
      <c r="AW38" s="409">
        <v>118058</v>
      </c>
      <c r="AX38" s="409">
        <f t="shared" ref="AX38:AX39" si="753">AV38+AW38</f>
        <v>231179</v>
      </c>
      <c r="AY38" s="409">
        <v>99495</v>
      </c>
      <c r="AZ38" s="409">
        <v>110508</v>
      </c>
      <c r="BA38" s="409">
        <f t="shared" ref="BA38:BA41" si="754">AY38+AZ38</f>
        <v>210003</v>
      </c>
      <c r="BB38" s="410"/>
      <c r="BC38" s="410"/>
      <c r="BD38" s="410"/>
      <c r="BE38" s="97">
        <f t="shared" ref="BE38:BE41" si="755">AY38+BB38</f>
        <v>99495</v>
      </c>
      <c r="BF38" s="98">
        <f t="shared" si="734"/>
        <v>110508</v>
      </c>
      <c r="BG38" s="98">
        <f t="shared" si="735"/>
        <v>210003</v>
      </c>
      <c r="BH38" s="411">
        <f t="shared" ref="BH38:BH41" si="756">BE38/AV38</f>
        <v>0.87954491208528918</v>
      </c>
      <c r="BI38" s="411">
        <f t="shared" si="682"/>
        <v>0.93604838299818738</v>
      </c>
      <c r="BJ38" s="411">
        <f t="shared" si="683"/>
        <v>0.90839998442765135</v>
      </c>
      <c r="BK38" s="409">
        <v>7366</v>
      </c>
      <c r="BL38" s="409">
        <v>3336</v>
      </c>
      <c r="BM38" s="409">
        <f t="shared" ref="BM38:BM39" si="757">BK38+BL38</f>
        <v>10702</v>
      </c>
      <c r="BN38" s="409">
        <v>1239</v>
      </c>
      <c r="BO38" s="409">
        <v>807</v>
      </c>
      <c r="BP38" s="409">
        <f t="shared" ref="BP38:BP41" si="758">BN38+BO38</f>
        <v>2046</v>
      </c>
      <c r="BQ38" s="410"/>
      <c r="BR38" s="410"/>
      <c r="BS38" s="410"/>
      <c r="BT38" s="97">
        <f t="shared" ref="BT38:BT41" si="759">BN38+BQ38</f>
        <v>1239</v>
      </c>
      <c r="BU38" s="98">
        <f t="shared" si="736"/>
        <v>807</v>
      </c>
      <c r="BV38" s="98">
        <f t="shared" si="737"/>
        <v>2046</v>
      </c>
      <c r="BW38" s="411">
        <f t="shared" ref="BW38:BW41" si="760">BT38/BK38</f>
        <v>0.16820526744501765</v>
      </c>
      <c r="BX38" s="411">
        <f t="shared" si="688"/>
        <v>0.24190647482014388</v>
      </c>
      <c r="BY38" s="411">
        <f t="shared" si="689"/>
        <v>0.19117921883760045</v>
      </c>
      <c r="BZ38" s="98">
        <f t="shared" si="545"/>
        <v>120487</v>
      </c>
      <c r="CA38" s="98">
        <f t="shared" si="545"/>
        <v>121394</v>
      </c>
      <c r="CB38" s="98">
        <f t="shared" si="545"/>
        <v>241881</v>
      </c>
      <c r="CC38" s="261">
        <f t="shared" si="545"/>
        <v>100734</v>
      </c>
      <c r="CD38" s="261">
        <f t="shared" si="545"/>
        <v>111315</v>
      </c>
      <c r="CE38" s="261">
        <f t="shared" si="545"/>
        <v>212049</v>
      </c>
      <c r="CF38" s="412"/>
      <c r="CG38" s="412"/>
      <c r="CH38" s="412"/>
      <c r="CI38" s="261">
        <f t="shared" si="545"/>
        <v>100734</v>
      </c>
      <c r="CJ38" s="261">
        <f t="shared" si="438"/>
        <v>111315</v>
      </c>
      <c r="CK38" s="261">
        <f t="shared" si="438"/>
        <v>212049</v>
      </c>
      <c r="CL38" s="411">
        <f t="shared" ref="CL38:CN43" si="761">CI38/BZ38</f>
        <v>0.83605700200021582</v>
      </c>
      <c r="CM38" s="411">
        <f t="shared" si="761"/>
        <v>0.91697283226518611</v>
      </c>
      <c r="CN38" s="411">
        <f t="shared" si="761"/>
        <v>0.87666662532402295</v>
      </c>
      <c r="CO38" s="409">
        <v>4649</v>
      </c>
      <c r="CP38" s="409">
        <v>4741</v>
      </c>
      <c r="CQ38" s="409">
        <f t="shared" ref="CQ38:CQ39" si="762">CO38+CP38</f>
        <v>9390</v>
      </c>
      <c r="CR38" s="409">
        <v>4095</v>
      </c>
      <c r="CS38" s="409">
        <v>4305</v>
      </c>
      <c r="CT38" s="409">
        <f t="shared" ref="CT38:CT41" si="763">CR38+CS38</f>
        <v>8400</v>
      </c>
      <c r="CU38" s="410"/>
      <c r="CV38" s="410"/>
      <c r="CW38" s="410"/>
      <c r="CX38" s="97">
        <f t="shared" ref="CX38:CX41" si="764">CR38+CU38</f>
        <v>4095</v>
      </c>
      <c r="CY38" s="98">
        <f t="shared" si="738"/>
        <v>4305</v>
      </c>
      <c r="CZ38" s="98">
        <f t="shared" si="739"/>
        <v>8400</v>
      </c>
      <c r="DA38" s="411">
        <f t="shared" ref="DA38:DA41" si="765">CX38/CO38</f>
        <v>0.88083458808345882</v>
      </c>
      <c r="DB38" s="411">
        <f t="shared" si="698"/>
        <v>0.90803627926597763</v>
      </c>
      <c r="DC38" s="411">
        <f t="shared" si="699"/>
        <v>0.89456869009584661</v>
      </c>
      <c r="DD38" s="409">
        <v>232</v>
      </c>
      <c r="DE38" s="409">
        <v>115</v>
      </c>
      <c r="DF38" s="409">
        <f t="shared" ref="DF38:DF39" si="766">DD38+DE38</f>
        <v>347</v>
      </c>
      <c r="DG38" s="409">
        <v>39</v>
      </c>
      <c r="DH38" s="409">
        <v>31</v>
      </c>
      <c r="DI38" s="409">
        <f t="shared" ref="DI38:DI41" si="767">DG38+DH38</f>
        <v>70</v>
      </c>
      <c r="DJ38" s="410"/>
      <c r="DK38" s="410"/>
      <c r="DL38" s="410"/>
      <c r="DM38" s="97">
        <f t="shared" ref="DM38:DM41" si="768">DG38+DJ38</f>
        <v>39</v>
      </c>
      <c r="DN38" s="98">
        <f t="shared" si="740"/>
        <v>31</v>
      </c>
      <c r="DO38" s="98">
        <f t="shared" si="741"/>
        <v>70</v>
      </c>
      <c r="DP38" s="411">
        <f t="shared" ref="DP38:DP41" si="769">DM38/DD38</f>
        <v>0.16810344827586207</v>
      </c>
      <c r="DQ38" s="411">
        <f t="shared" si="703"/>
        <v>0.26956521739130435</v>
      </c>
      <c r="DR38" s="411">
        <f t="shared" si="704"/>
        <v>0.20172910662824209</v>
      </c>
      <c r="DS38" s="98">
        <f t="shared" si="474"/>
        <v>4881</v>
      </c>
      <c r="DT38" s="98">
        <f t="shared" si="474"/>
        <v>4856</v>
      </c>
      <c r="DU38" s="261">
        <f t="shared" si="474"/>
        <v>9737</v>
      </c>
      <c r="DV38" s="261">
        <f t="shared" si="474"/>
        <v>4134</v>
      </c>
      <c r="DW38" s="261">
        <f t="shared" si="474"/>
        <v>4336</v>
      </c>
      <c r="DX38" s="261">
        <f t="shared" si="474"/>
        <v>8470</v>
      </c>
      <c r="DY38" s="412"/>
      <c r="DZ38" s="412"/>
      <c r="EA38" s="412"/>
      <c r="EB38" s="261">
        <f t="shared" si="192"/>
        <v>4134</v>
      </c>
      <c r="EC38" s="261">
        <f t="shared" si="192"/>
        <v>4336</v>
      </c>
      <c r="ED38" s="261">
        <f t="shared" si="192"/>
        <v>8470</v>
      </c>
      <c r="EE38" s="411">
        <f t="shared" ref="EE38:EE43" si="770">EB38/DS38</f>
        <v>0.84695759065765208</v>
      </c>
      <c r="EF38" s="411">
        <f t="shared" si="193"/>
        <v>0.89291598023064256</v>
      </c>
      <c r="EG38" s="411">
        <f t="shared" si="193"/>
        <v>0.86987778576563624</v>
      </c>
      <c r="EH38" s="409">
        <v>356570</v>
      </c>
      <c r="EI38" s="409">
        <v>353258</v>
      </c>
      <c r="EJ38" s="409">
        <f t="shared" ref="EJ38" si="771">EH38+EI38</f>
        <v>709828</v>
      </c>
      <c r="EK38" s="409">
        <v>335403</v>
      </c>
      <c r="EL38" s="409">
        <v>344139</v>
      </c>
      <c r="EM38" s="409">
        <f t="shared" ref="EM38" si="772">EK38+EL38</f>
        <v>679542</v>
      </c>
      <c r="EN38" s="410"/>
      <c r="EO38" s="410"/>
      <c r="EP38" s="410"/>
      <c r="EQ38" s="97">
        <f t="shared" ref="EQ38" si="773">EK38+EN38</f>
        <v>335403</v>
      </c>
      <c r="ER38" s="98">
        <f t="shared" si="742"/>
        <v>344139</v>
      </c>
      <c r="ES38" s="98">
        <f t="shared" si="743"/>
        <v>679542</v>
      </c>
      <c r="ET38" s="411">
        <f t="shared" ref="ET38" si="774">EQ38/EH38</f>
        <v>0.94063718203999214</v>
      </c>
      <c r="EU38" s="411">
        <f t="shared" si="709"/>
        <v>0.97418600569555391</v>
      </c>
      <c r="EV38" s="411">
        <f t="shared" si="710"/>
        <v>0.95733332581977604</v>
      </c>
      <c r="EW38" s="409">
        <v>15760</v>
      </c>
      <c r="EX38" s="409">
        <v>6902</v>
      </c>
      <c r="EY38" s="409">
        <f t="shared" ref="EY38" si="775">EW38+EX38</f>
        <v>22662</v>
      </c>
      <c r="EZ38" s="409">
        <v>3321</v>
      </c>
      <c r="FA38" s="409">
        <v>2339</v>
      </c>
      <c r="FB38" s="409">
        <f t="shared" ref="FB38" si="776">EZ38+FA38</f>
        <v>5660</v>
      </c>
      <c r="FC38" s="410"/>
      <c r="FD38" s="410"/>
      <c r="FE38" s="410"/>
      <c r="FF38" s="97">
        <f t="shared" ref="FF38" si="777">EZ38+FC38</f>
        <v>3321</v>
      </c>
      <c r="FG38" s="98">
        <f t="shared" si="744"/>
        <v>2339</v>
      </c>
      <c r="FH38" s="98">
        <f t="shared" si="745"/>
        <v>5660</v>
      </c>
      <c r="FI38" s="411">
        <f t="shared" ref="FI38" si="778">FF38/EW38</f>
        <v>0.21072335025380712</v>
      </c>
      <c r="FJ38" s="411">
        <f t="shared" si="714"/>
        <v>0.33888727904955085</v>
      </c>
      <c r="FK38" s="411">
        <f t="shared" si="715"/>
        <v>0.24975730297414173</v>
      </c>
      <c r="FL38" s="98">
        <f t="shared" si="452"/>
        <v>372330</v>
      </c>
      <c r="FM38" s="98">
        <f t="shared" si="453"/>
        <v>360160</v>
      </c>
      <c r="FN38" s="261">
        <f t="shared" si="454"/>
        <v>732490</v>
      </c>
      <c r="FO38" s="261">
        <f t="shared" si="455"/>
        <v>338724</v>
      </c>
      <c r="FP38" s="261">
        <f t="shared" si="456"/>
        <v>346478</v>
      </c>
      <c r="FQ38" s="261">
        <f t="shared" si="457"/>
        <v>685202</v>
      </c>
      <c r="FR38" s="412"/>
      <c r="FS38" s="412"/>
      <c r="FT38" s="412"/>
      <c r="FU38" s="261">
        <f t="shared" si="461"/>
        <v>338724</v>
      </c>
      <c r="FV38" s="261">
        <f t="shared" si="462"/>
        <v>346478</v>
      </c>
      <c r="FW38" s="261">
        <f t="shared" si="463"/>
        <v>685202</v>
      </c>
      <c r="FX38" s="411">
        <f t="shared" ref="FX38" si="779">FU38/FL38</f>
        <v>0.90974135847232296</v>
      </c>
      <c r="FY38" s="411">
        <f t="shared" ref="FY38" si="780">FV38/FM38</f>
        <v>0.96201132829853397</v>
      </c>
      <c r="FZ38" s="411">
        <f t="shared" ref="FZ38" si="781">FW38/FN38</f>
        <v>0.93544212207675193</v>
      </c>
      <c r="GA38" s="261">
        <f t="shared" si="207"/>
        <v>443592</v>
      </c>
      <c r="GB38" s="261">
        <f t="shared" si="207"/>
        <v>462129</v>
      </c>
      <c r="GC38" s="261">
        <f t="shared" si="207"/>
        <v>905721</v>
      </c>
      <c r="GD38" s="261">
        <f>412+252125</f>
        <v>252537</v>
      </c>
      <c r="GE38" s="261">
        <f>445+324460</f>
        <v>324905</v>
      </c>
      <c r="GF38" s="261">
        <f t="shared" si="208"/>
        <v>577442</v>
      </c>
      <c r="GG38" s="100">
        <f t="shared" si="641"/>
        <v>56.930016772169019</v>
      </c>
      <c r="GH38" s="413">
        <f t="shared" si="641"/>
        <v>70.306126644291965</v>
      </c>
      <c r="GI38" s="413">
        <f t="shared" si="641"/>
        <v>63.754953236151088</v>
      </c>
      <c r="GJ38" s="261">
        <f t="shared" si="210"/>
        <v>100734</v>
      </c>
      <c r="GK38" s="261">
        <f t="shared" si="210"/>
        <v>111315</v>
      </c>
      <c r="GL38" s="261">
        <f t="shared" si="210"/>
        <v>212049</v>
      </c>
      <c r="GM38" s="261">
        <f>68+43619</f>
        <v>43687</v>
      </c>
      <c r="GN38" s="261">
        <f>58+63012</f>
        <v>63070</v>
      </c>
      <c r="GO38" s="261">
        <f t="shared" si="211"/>
        <v>106757</v>
      </c>
      <c r="GP38" s="413">
        <f t="shared" si="642"/>
        <v>43.368673933329362</v>
      </c>
      <c r="GQ38" s="413">
        <f t="shared" si="642"/>
        <v>56.659030678704575</v>
      </c>
      <c r="GR38" s="413">
        <f t="shared" si="642"/>
        <v>50.345439025885526</v>
      </c>
      <c r="GS38" s="261">
        <f t="shared" si="213"/>
        <v>4134</v>
      </c>
      <c r="GT38" s="261">
        <f t="shared" si="213"/>
        <v>4336</v>
      </c>
      <c r="GU38" s="261">
        <f t="shared" si="213"/>
        <v>8470</v>
      </c>
      <c r="GV38" s="261">
        <f>3+1654</f>
        <v>1657</v>
      </c>
      <c r="GW38" s="261">
        <f>2+1968</f>
        <v>1970</v>
      </c>
      <c r="GX38" s="261">
        <f t="shared" si="214"/>
        <v>3627</v>
      </c>
      <c r="GY38" s="413">
        <f t="shared" si="643"/>
        <v>40.082244799225933</v>
      </c>
      <c r="GZ38" s="413">
        <f t="shared" si="643"/>
        <v>45.433579335793361</v>
      </c>
      <c r="HA38" s="413">
        <f t="shared" si="643"/>
        <v>42.821723730814639</v>
      </c>
      <c r="HB38" s="98">
        <f t="shared" si="167"/>
        <v>338724</v>
      </c>
      <c r="HC38" s="98">
        <f t="shared" si="168"/>
        <v>346478</v>
      </c>
      <c r="HD38" s="98">
        <f t="shared" si="169"/>
        <v>685202</v>
      </c>
      <c r="HE38" s="261">
        <f>341+206852</f>
        <v>207193</v>
      </c>
      <c r="HF38" s="261">
        <f>385+259480</f>
        <v>259865</v>
      </c>
      <c r="HG38" s="261">
        <f t="shared" ref="HG38" si="782">HE38+HF38</f>
        <v>467058</v>
      </c>
      <c r="HH38" s="413">
        <f t="shared" ref="HH38" si="783">+HE38*100/HB38</f>
        <v>61.168680105336499</v>
      </c>
      <c r="HI38" s="413">
        <f t="shared" si="730"/>
        <v>75.001876020988348</v>
      </c>
      <c r="HJ38" s="413">
        <f t="shared" si="731"/>
        <v>68.163548851287644</v>
      </c>
    </row>
    <row r="39" spans="1:220" s="363" customFormat="1" ht="28.5">
      <c r="A39" s="420">
        <v>31</v>
      </c>
      <c r="B39" s="118" t="s">
        <v>165</v>
      </c>
      <c r="C39" s="409">
        <v>17503</v>
      </c>
      <c r="D39" s="409">
        <v>18423</v>
      </c>
      <c r="E39" s="409">
        <f t="shared" si="176"/>
        <v>35926</v>
      </c>
      <c r="F39" s="409">
        <v>11734</v>
      </c>
      <c r="G39" s="409">
        <v>11282</v>
      </c>
      <c r="H39" s="409">
        <f t="shared" si="177"/>
        <v>23016</v>
      </c>
      <c r="I39" s="409">
        <v>727</v>
      </c>
      <c r="J39" s="409">
        <v>880</v>
      </c>
      <c r="K39" s="409">
        <f>I39+J39</f>
        <v>1607</v>
      </c>
      <c r="L39" s="97">
        <f t="shared" si="648"/>
        <v>12461</v>
      </c>
      <c r="M39" s="98">
        <f t="shared" si="648"/>
        <v>12162</v>
      </c>
      <c r="N39" s="98">
        <f t="shared" si="648"/>
        <v>24623</v>
      </c>
      <c r="O39" s="411">
        <f t="shared" si="178"/>
        <v>0.71193509684054157</v>
      </c>
      <c r="P39" s="411">
        <f t="shared" si="178"/>
        <v>0.66015306953264941</v>
      </c>
      <c r="Q39" s="411">
        <f t="shared" si="178"/>
        <v>0.6853810610699772</v>
      </c>
      <c r="R39" s="409">
        <v>127</v>
      </c>
      <c r="S39" s="409">
        <v>128</v>
      </c>
      <c r="T39" s="409">
        <f t="shared" si="749"/>
        <v>255</v>
      </c>
      <c r="U39" s="409">
        <v>2</v>
      </c>
      <c r="V39" s="409">
        <v>4</v>
      </c>
      <c r="W39" s="409">
        <f t="shared" si="750"/>
        <v>6</v>
      </c>
      <c r="X39" s="410"/>
      <c r="Y39" s="410"/>
      <c r="Z39" s="410"/>
      <c r="AA39" s="97">
        <f t="shared" si="751"/>
        <v>2</v>
      </c>
      <c r="AB39" s="98">
        <f t="shared" si="732"/>
        <v>4</v>
      </c>
      <c r="AC39" s="98">
        <f t="shared" si="733"/>
        <v>6</v>
      </c>
      <c r="AD39" s="411">
        <f t="shared" si="752"/>
        <v>1.5748031496062992E-2</v>
      </c>
      <c r="AE39" s="411">
        <f t="shared" si="672"/>
        <v>3.125E-2</v>
      </c>
      <c r="AF39" s="411">
        <f t="shared" si="673"/>
        <v>2.3529411764705882E-2</v>
      </c>
      <c r="AG39" s="261">
        <f t="shared" si="179"/>
        <v>17630</v>
      </c>
      <c r="AH39" s="261">
        <f t="shared" si="179"/>
        <v>18551</v>
      </c>
      <c r="AI39" s="261">
        <f t="shared" si="179"/>
        <v>36181</v>
      </c>
      <c r="AJ39" s="261">
        <f t="shared" si="179"/>
        <v>11736</v>
      </c>
      <c r="AK39" s="261">
        <f t="shared" si="179"/>
        <v>11286</v>
      </c>
      <c r="AL39" s="261">
        <f t="shared" si="179"/>
        <v>23022</v>
      </c>
      <c r="AM39" s="98">
        <f t="shared" ref="AM39" si="784">I39+X39</f>
        <v>727</v>
      </c>
      <c r="AN39" s="98">
        <f>J39+Y39</f>
        <v>880</v>
      </c>
      <c r="AO39" s="98">
        <f>K39+Z39</f>
        <v>1607</v>
      </c>
      <c r="AP39" s="261">
        <f t="shared" si="224"/>
        <v>12463</v>
      </c>
      <c r="AQ39" s="261">
        <f t="shared" si="224"/>
        <v>12166</v>
      </c>
      <c r="AR39" s="261">
        <f t="shared" si="224"/>
        <v>24629</v>
      </c>
      <c r="AS39" s="411">
        <f t="shared" si="180"/>
        <v>0.70692002268859899</v>
      </c>
      <c r="AT39" s="411">
        <f t="shared" si="180"/>
        <v>0.65581370276534956</v>
      </c>
      <c r="AU39" s="411">
        <f t="shared" si="180"/>
        <v>0.68071639810950502</v>
      </c>
      <c r="AV39" s="409">
        <v>3639</v>
      </c>
      <c r="AW39" s="409">
        <v>3701</v>
      </c>
      <c r="AX39" s="409">
        <f t="shared" si="753"/>
        <v>7340</v>
      </c>
      <c r="AY39" s="409">
        <v>2615</v>
      </c>
      <c r="AZ39" s="409">
        <v>2484</v>
      </c>
      <c r="BA39" s="409">
        <f t="shared" si="754"/>
        <v>5099</v>
      </c>
      <c r="BB39" s="409">
        <v>176</v>
      </c>
      <c r="BC39" s="409">
        <v>199</v>
      </c>
      <c r="BD39" s="409">
        <f>BB39+BC39</f>
        <v>375</v>
      </c>
      <c r="BE39" s="97">
        <f t="shared" si="755"/>
        <v>2791</v>
      </c>
      <c r="BF39" s="98">
        <f t="shared" si="734"/>
        <v>2683</v>
      </c>
      <c r="BG39" s="98">
        <f t="shared" si="735"/>
        <v>5474</v>
      </c>
      <c r="BH39" s="411">
        <f t="shared" si="756"/>
        <v>0.766968947513053</v>
      </c>
      <c r="BI39" s="411">
        <f t="shared" si="682"/>
        <v>0.72493920562010272</v>
      </c>
      <c r="BJ39" s="411">
        <f t="shared" si="683"/>
        <v>0.74577656675749315</v>
      </c>
      <c r="BK39" s="409">
        <v>11</v>
      </c>
      <c r="BL39" s="409">
        <v>11</v>
      </c>
      <c r="BM39" s="409">
        <f t="shared" si="757"/>
        <v>22</v>
      </c>
      <c r="BN39" s="409">
        <v>1</v>
      </c>
      <c r="BO39" s="416"/>
      <c r="BP39" s="409">
        <f t="shared" si="758"/>
        <v>1</v>
      </c>
      <c r="BQ39" s="410"/>
      <c r="BR39" s="410"/>
      <c r="BS39" s="410"/>
      <c r="BT39" s="97">
        <f t="shared" si="759"/>
        <v>1</v>
      </c>
      <c r="BU39" s="404"/>
      <c r="BV39" s="98">
        <f t="shared" si="737"/>
        <v>1</v>
      </c>
      <c r="BW39" s="411">
        <f t="shared" si="760"/>
        <v>9.0909090909090912E-2</v>
      </c>
      <c r="BX39" s="411">
        <f t="shared" si="688"/>
        <v>0</v>
      </c>
      <c r="BY39" s="411">
        <f t="shared" si="689"/>
        <v>4.5454545454545456E-2</v>
      </c>
      <c r="BZ39" s="98">
        <f t="shared" si="545"/>
        <v>3650</v>
      </c>
      <c r="CA39" s="98">
        <f t="shared" si="545"/>
        <v>3712</v>
      </c>
      <c r="CB39" s="98">
        <f t="shared" si="545"/>
        <v>7362</v>
      </c>
      <c r="CC39" s="261">
        <f t="shared" si="545"/>
        <v>2616</v>
      </c>
      <c r="CD39" s="261">
        <f t="shared" si="545"/>
        <v>2484</v>
      </c>
      <c r="CE39" s="261">
        <f t="shared" si="545"/>
        <v>5100</v>
      </c>
      <c r="CF39" s="98">
        <f t="shared" ref="CF39" si="785">BB39+BQ39</f>
        <v>176</v>
      </c>
      <c r="CG39" s="98">
        <f t="shared" ref="CG39" si="786">BC39+BR39</f>
        <v>199</v>
      </c>
      <c r="CH39" s="98">
        <f t="shared" ref="CH39" si="787">BD39+BS39</f>
        <v>375</v>
      </c>
      <c r="CI39" s="261">
        <f t="shared" si="545"/>
        <v>2792</v>
      </c>
      <c r="CJ39" s="261">
        <f t="shared" si="545"/>
        <v>2683</v>
      </c>
      <c r="CK39" s="261">
        <f t="shared" si="545"/>
        <v>5475</v>
      </c>
      <c r="CL39" s="411">
        <f t="shared" si="761"/>
        <v>0.7649315068493151</v>
      </c>
      <c r="CM39" s="411">
        <f t="shared" si="761"/>
        <v>0.7227909482758621</v>
      </c>
      <c r="CN39" s="411">
        <f t="shared" si="761"/>
        <v>0.74368378158109205</v>
      </c>
      <c r="CO39" s="409">
        <v>5095</v>
      </c>
      <c r="CP39" s="409">
        <v>5425</v>
      </c>
      <c r="CQ39" s="409">
        <f t="shared" si="762"/>
        <v>10520</v>
      </c>
      <c r="CR39" s="409">
        <v>2324</v>
      </c>
      <c r="CS39" s="409">
        <v>1989</v>
      </c>
      <c r="CT39" s="409">
        <f t="shared" si="763"/>
        <v>4313</v>
      </c>
      <c r="CU39" s="409">
        <v>189</v>
      </c>
      <c r="CV39" s="409">
        <v>200</v>
      </c>
      <c r="CW39" s="409">
        <f>CU39+CV39</f>
        <v>389</v>
      </c>
      <c r="CX39" s="97">
        <f t="shared" si="764"/>
        <v>2513</v>
      </c>
      <c r="CY39" s="98">
        <f t="shared" si="738"/>
        <v>2189</v>
      </c>
      <c r="CZ39" s="98">
        <f t="shared" si="739"/>
        <v>4702</v>
      </c>
      <c r="DA39" s="411">
        <f t="shared" si="765"/>
        <v>0.49322865554465162</v>
      </c>
      <c r="DB39" s="411">
        <f t="shared" si="698"/>
        <v>0.40350230414746546</v>
      </c>
      <c r="DC39" s="411">
        <f t="shared" si="699"/>
        <v>0.44695817490494294</v>
      </c>
      <c r="DD39" s="409">
        <v>16</v>
      </c>
      <c r="DE39" s="409">
        <v>29</v>
      </c>
      <c r="DF39" s="409">
        <f t="shared" si="766"/>
        <v>45</v>
      </c>
      <c r="DG39" s="416"/>
      <c r="DH39" s="416"/>
      <c r="DI39" s="416"/>
      <c r="DJ39" s="416"/>
      <c r="DK39" s="416"/>
      <c r="DL39" s="416"/>
      <c r="DM39" s="404"/>
      <c r="DN39" s="404"/>
      <c r="DO39" s="404"/>
      <c r="DP39" s="417"/>
      <c r="DQ39" s="417"/>
      <c r="DR39" s="417"/>
      <c r="DS39" s="98">
        <f t="shared" si="474"/>
        <v>5111</v>
      </c>
      <c r="DT39" s="98">
        <f t="shared" si="474"/>
        <v>5454</v>
      </c>
      <c r="DU39" s="261">
        <f t="shared" si="474"/>
        <v>10565</v>
      </c>
      <c r="DV39" s="261">
        <f t="shared" si="474"/>
        <v>2324</v>
      </c>
      <c r="DW39" s="261">
        <f t="shared" si="474"/>
        <v>1989</v>
      </c>
      <c r="DX39" s="261">
        <f t="shared" si="474"/>
        <v>4313</v>
      </c>
      <c r="DY39" s="98">
        <f t="shared" ref="DY39" si="788">CU39+DJ39</f>
        <v>189</v>
      </c>
      <c r="DZ39" s="98">
        <f t="shared" ref="DZ39" si="789">CV39+DK39</f>
        <v>200</v>
      </c>
      <c r="EA39" s="98">
        <f t="shared" ref="EA39" si="790">CW39+DL39</f>
        <v>389</v>
      </c>
      <c r="EB39" s="261">
        <f t="shared" si="192"/>
        <v>2513</v>
      </c>
      <c r="EC39" s="261">
        <f t="shared" si="192"/>
        <v>2189</v>
      </c>
      <c r="ED39" s="261">
        <f t="shared" si="192"/>
        <v>4702</v>
      </c>
      <c r="EE39" s="411">
        <f t="shared" si="770"/>
        <v>0.4916846018391704</v>
      </c>
      <c r="EF39" s="411">
        <f t="shared" si="193"/>
        <v>0.40135680234690135</v>
      </c>
      <c r="EG39" s="411">
        <f t="shared" si="193"/>
        <v>0.4450544249881685</v>
      </c>
      <c r="EH39" s="416"/>
      <c r="EI39" s="416"/>
      <c r="EJ39" s="416"/>
      <c r="EK39" s="416"/>
      <c r="EL39" s="416"/>
      <c r="EM39" s="416"/>
      <c r="EN39" s="416"/>
      <c r="EO39" s="416"/>
      <c r="EP39" s="416"/>
      <c r="EQ39" s="404"/>
      <c r="ER39" s="404"/>
      <c r="ES39" s="404"/>
      <c r="ET39" s="417"/>
      <c r="EU39" s="417"/>
      <c r="EV39" s="417"/>
      <c r="EW39" s="416"/>
      <c r="EX39" s="416"/>
      <c r="EY39" s="416"/>
      <c r="EZ39" s="416"/>
      <c r="FA39" s="416"/>
      <c r="FB39" s="416"/>
      <c r="FC39" s="416"/>
      <c r="FD39" s="416"/>
      <c r="FE39" s="416"/>
      <c r="FF39" s="404"/>
      <c r="FG39" s="404"/>
      <c r="FH39" s="404"/>
      <c r="FI39" s="417"/>
      <c r="FJ39" s="417"/>
      <c r="FK39" s="417"/>
      <c r="FL39" s="404"/>
      <c r="FM39" s="404"/>
      <c r="FN39" s="418"/>
      <c r="FO39" s="418"/>
      <c r="FP39" s="418"/>
      <c r="FQ39" s="418"/>
      <c r="FR39" s="418"/>
      <c r="FS39" s="418"/>
      <c r="FT39" s="418"/>
      <c r="FU39" s="418"/>
      <c r="FV39" s="418"/>
      <c r="FW39" s="418"/>
      <c r="FX39" s="417"/>
      <c r="FY39" s="417"/>
      <c r="FZ39" s="417"/>
      <c r="GA39" s="261">
        <f t="shared" si="207"/>
        <v>12463</v>
      </c>
      <c r="GB39" s="261">
        <f t="shared" si="207"/>
        <v>12166</v>
      </c>
      <c r="GC39" s="261">
        <f t="shared" si="207"/>
        <v>24629</v>
      </c>
      <c r="GD39" s="418"/>
      <c r="GE39" s="418"/>
      <c r="GF39" s="418"/>
      <c r="GG39" s="407"/>
      <c r="GH39" s="419"/>
      <c r="GI39" s="419"/>
      <c r="GJ39" s="261">
        <f t="shared" si="210"/>
        <v>2792</v>
      </c>
      <c r="GK39" s="261">
        <f t="shared" si="210"/>
        <v>2683</v>
      </c>
      <c r="GL39" s="261">
        <f t="shared" si="210"/>
        <v>5475</v>
      </c>
      <c r="GM39" s="418"/>
      <c r="GN39" s="418"/>
      <c r="GO39" s="418"/>
      <c r="GP39" s="419"/>
      <c r="GQ39" s="419"/>
      <c r="GR39" s="419"/>
      <c r="GS39" s="261">
        <f t="shared" si="213"/>
        <v>2513</v>
      </c>
      <c r="GT39" s="261">
        <f t="shared" si="213"/>
        <v>2189</v>
      </c>
      <c r="GU39" s="261">
        <f t="shared" si="213"/>
        <v>4702</v>
      </c>
      <c r="GV39" s="418"/>
      <c r="GW39" s="418"/>
      <c r="GX39" s="418"/>
      <c r="GY39" s="419"/>
      <c r="GZ39" s="419"/>
      <c r="HA39" s="419"/>
      <c r="HB39" s="404"/>
      <c r="HC39" s="404"/>
      <c r="HD39" s="404"/>
      <c r="HE39" s="418"/>
      <c r="HF39" s="418"/>
      <c r="HG39" s="418"/>
      <c r="HH39" s="419"/>
      <c r="HI39" s="419"/>
      <c r="HJ39" s="419"/>
    </row>
    <row r="40" spans="1:220" s="363" customFormat="1" ht="28.5">
      <c r="A40" s="420">
        <v>32</v>
      </c>
      <c r="B40" s="118" t="s">
        <v>383</v>
      </c>
      <c r="C40" s="409">
        <v>1653551</v>
      </c>
      <c r="D40" s="409">
        <v>1325538</v>
      </c>
      <c r="E40" s="409">
        <f>C40+D40</f>
        <v>2979089</v>
      </c>
      <c r="F40" s="409">
        <v>1201386</v>
      </c>
      <c r="G40" s="409">
        <v>1046873</v>
      </c>
      <c r="H40" s="409">
        <f t="shared" si="177"/>
        <v>2248259</v>
      </c>
      <c r="I40" s="409">
        <v>47</v>
      </c>
      <c r="J40" s="409">
        <v>25</v>
      </c>
      <c r="K40" s="409">
        <f t="shared" si="416"/>
        <v>72</v>
      </c>
      <c r="L40" s="97">
        <f t="shared" si="648"/>
        <v>1201433</v>
      </c>
      <c r="M40" s="98">
        <f t="shared" si="648"/>
        <v>1046898</v>
      </c>
      <c r="N40" s="98">
        <f t="shared" si="648"/>
        <v>2248331</v>
      </c>
      <c r="O40" s="411">
        <f t="shared" si="178"/>
        <v>0.72657752920835217</v>
      </c>
      <c r="P40" s="411">
        <f t="shared" si="178"/>
        <v>0.78979101315843081</v>
      </c>
      <c r="Q40" s="411">
        <f t="shared" si="178"/>
        <v>0.75470420655441983</v>
      </c>
      <c r="R40" s="409">
        <v>36326</v>
      </c>
      <c r="S40" s="409">
        <v>13352</v>
      </c>
      <c r="T40" s="409">
        <f>R40+S40</f>
        <v>49678</v>
      </c>
      <c r="U40" s="409">
        <v>19816</v>
      </c>
      <c r="V40" s="409">
        <v>8370</v>
      </c>
      <c r="W40" s="409">
        <f t="shared" si="750"/>
        <v>28186</v>
      </c>
      <c r="X40" s="409">
        <v>3</v>
      </c>
      <c r="Y40" s="409">
        <v>1</v>
      </c>
      <c r="Z40" s="409">
        <f t="shared" ref="Z40" si="791">X40+Y40</f>
        <v>4</v>
      </c>
      <c r="AA40" s="97">
        <f t="shared" si="751"/>
        <v>19819</v>
      </c>
      <c r="AB40" s="98">
        <f t="shared" si="732"/>
        <v>8371</v>
      </c>
      <c r="AC40" s="98">
        <f t="shared" si="733"/>
        <v>28190</v>
      </c>
      <c r="AD40" s="411">
        <f t="shared" si="752"/>
        <v>0.54558718273412987</v>
      </c>
      <c r="AE40" s="411">
        <f t="shared" si="672"/>
        <v>0.62694727381665671</v>
      </c>
      <c r="AF40" s="411">
        <f t="shared" si="673"/>
        <v>0.56745440637706834</v>
      </c>
      <c r="AG40" s="261">
        <f t="shared" si="179"/>
        <v>1689877</v>
      </c>
      <c r="AH40" s="261">
        <f t="shared" si="179"/>
        <v>1338890</v>
      </c>
      <c r="AI40" s="261">
        <f t="shared" si="179"/>
        <v>3028767</v>
      </c>
      <c r="AJ40" s="261">
        <f t="shared" si="179"/>
        <v>1221202</v>
      </c>
      <c r="AK40" s="261">
        <f t="shared" si="179"/>
        <v>1055243</v>
      </c>
      <c r="AL40" s="261">
        <f t="shared" si="179"/>
        <v>2276445</v>
      </c>
      <c r="AM40" s="261">
        <f t="shared" si="179"/>
        <v>50</v>
      </c>
      <c r="AN40" s="261">
        <f t="shared" si="224"/>
        <v>26</v>
      </c>
      <c r="AO40" s="261">
        <f t="shared" si="224"/>
        <v>76</v>
      </c>
      <c r="AP40" s="261">
        <f t="shared" si="224"/>
        <v>1221252</v>
      </c>
      <c r="AQ40" s="261">
        <f t="shared" si="224"/>
        <v>1055269</v>
      </c>
      <c r="AR40" s="261">
        <f t="shared" si="224"/>
        <v>2276521</v>
      </c>
      <c r="AS40" s="411">
        <f t="shared" si="180"/>
        <v>0.72268691745020497</v>
      </c>
      <c r="AT40" s="411">
        <f t="shared" si="180"/>
        <v>0.78816706376177281</v>
      </c>
      <c r="AU40" s="411">
        <f t="shared" si="180"/>
        <v>0.75163292521346148</v>
      </c>
      <c r="AV40" s="409">
        <v>365990</v>
      </c>
      <c r="AW40" s="409">
        <v>295560</v>
      </c>
      <c r="AX40" s="409">
        <f>AV40+AW40</f>
        <v>661550</v>
      </c>
      <c r="AY40" s="409">
        <v>245657</v>
      </c>
      <c r="AZ40" s="409">
        <v>207457</v>
      </c>
      <c r="BA40" s="409">
        <f t="shared" si="754"/>
        <v>453114</v>
      </c>
      <c r="BB40" s="409">
        <v>7</v>
      </c>
      <c r="BC40" s="409">
        <v>4</v>
      </c>
      <c r="BD40" s="409">
        <f t="shared" ref="BD40" si="792">BB40+BC40</f>
        <v>11</v>
      </c>
      <c r="BE40" s="97">
        <f t="shared" si="755"/>
        <v>245664</v>
      </c>
      <c r="BF40" s="98">
        <f t="shared" si="734"/>
        <v>207461</v>
      </c>
      <c r="BG40" s="98">
        <f t="shared" si="735"/>
        <v>453125</v>
      </c>
      <c r="BH40" s="411">
        <f t="shared" si="756"/>
        <v>0.6712314544113227</v>
      </c>
      <c r="BI40" s="411">
        <f t="shared" si="682"/>
        <v>0.70192515902016506</v>
      </c>
      <c r="BJ40" s="411">
        <f t="shared" si="683"/>
        <v>0.68494444864333759</v>
      </c>
      <c r="BK40" s="409">
        <v>7201</v>
      </c>
      <c r="BL40" s="409">
        <v>2462</v>
      </c>
      <c r="BM40" s="409">
        <f>BK40+BL40</f>
        <v>9663</v>
      </c>
      <c r="BN40" s="409">
        <v>3548</v>
      </c>
      <c r="BO40" s="409">
        <v>1230</v>
      </c>
      <c r="BP40" s="409">
        <f t="shared" si="758"/>
        <v>4778</v>
      </c>
      <c r="BQ40" s="409">
        <v>1</v>
      </c>
      <c r="BR40" s="430">
        <v>0</v>
      </c>
      <c r="BS40" s="409">
        <f t="shared" ref="BS40" si="793">BQ40+BR40</f>
        <v>1</v>
      </c>
      <c r="BT40" s="97">
        <f t="shared" si="759"/>
        <v>3549</v>
      </c>
      <c r="BU40" s="98">
        <f t="shared" si="736"/>
        <v>1230</v>
      </c>
      <c r="BV40" s="98">
        <f t="shared" si="737"/>
        <v>4779</v>
      </c>
      <c r="BW40" s="411">
        <f t="shared" si="760"/>
        <v>0.49284821552562147</v>
      </c>
      <c r="BX40" s="411">
        <f t="shared" si="688"/>
        <v>0.49959382615759546</v>
      </c>
      <c r="BY40" s="411">
        <f t="shared" si="689"/>
        <v>0.49456690468798509</v>
      </c>
      <c r="BZ40" s="98">
        <f t="shared" si="545"/>
        <v>373191</v>
      </c>
      <c r="CA40" s="98">
        <f t="shared" si="545"/>
        <v>298022</v>
      </c>
      <c r="CB40" s="98">
        <f t="shared" si="545"/>
        <v>671213</v>
      </c>
      <c r="CC40" s="261">
        <f t="shared" si="545"/>
        <v>249205</v>
      </c>
      <c r="CD40" s="261">
        <f t="shared" si="545"/>
        <v>208687</v>
      </c>
      <c r="CE40" s="261">
        <f t="shared" si="545"/>
        <v>457892</v>
      </c>
      <c r="CF40" s="261">
        <f t="shared" si="545"/>
        <v>8</v>
      </c>
      <c r="CG40" s="261">
        <f t="shared" si="545"/>
        <v>4</v>
      </c>
      <c r="CH40" s="261">
        <f t="shared" si="545"/>
        <v>12</v>
      </c>
      <c r="CI40" s="261">
        <f t="shared" si="545"/>
        <v>249213</v>
      </c>
      <c r="CJ40" s="261">
        <f t="shared" si="545"/>
        <v>208691</v>
      </c>
      <c r="CK40" s="261">
        <f t="shared" si="545"/>
        <v>457904</v>
      </c>
      <c r="CL40" s="411">
        <f t="shared" si="761"/>
        <v>0.66778941614347609</v>
      </c>
      <c r="CM40" s="411">
        <f t="shared" si="761"/>
        <v>0.70025367254766424</v>
      </c>
      <c r="CN40" s="411">
        <f t="shared" si="761"/>
        <v>0.68220371178746542</v>
      </c>
      <c r="CO40" s="409">
        <v>13003</v>
      </c>
      <c r="CP40" s="409">
        <v>9471</v>
      </c>
      <c r="CQ40" s="409">
        <f>CO40+CP40</f>
        <v>22474</v>
      </c>
      <c r="CR40" s="409">
        <v>8593</v>
      </c>
      <c r="CS40" s="409">
        <v>6418</v>
      </c>
      <c r="CT40" s="409">
        <f t="shared" si="763"/>
        <v>15011</v>
      </c>
      <c r="CU40" s="409">
        <v>1</v>
      </c>
      <c r="CV40" s="409">
        <v>0</v>
      </c>
      <c r="CW40" s="409">
        <f t="shared" ref="CW40" si="794">CU40+CV40</f>
        <v>1</v>
      </c>
      <c r="CX40" s="97">
        <f t="shared" si="764"/>
        <v>8594</v>
      </c>
      <c r="CY40" s="98">
        <f t="shared" si="738"/>
        <v>6418</v>
      </c>
      <c r="CZ40" s="98">
        <f t="shared" si="739"/>
        <v>15012</v>
      </c>
      <c r="DA40" s="411">
        <f t="shared" si="765"/>
        <v>0.66092440206106284</v>
      </c>
      <c r="DB40" s="411">
        <f t="shared" si="698"/>
        <v>0.67764755569633617</v>
      </c>
      <c r="DC40" s="411">
        <f t="shared" si="699"/>
        <v>0.66797187861528873</v>
      </c>
      <c r="DD40" s="409">
        <v>306</v>
      </c>
      <c r="DE40" s="409">
        <v>121</v>
      </c>
      <c r="DF40" s="409">
        <f>DD40+DE40</f>
        <v>427</v>
      </c>
      <c r="DG40" s="409">
        <v>146</v>
      </c>
      <c r="DH40" s="409">
        <v>64</v>
      </c>
      <c r="DI40" s="409">
        <f t="shared" si="767"/>
        <v>210</v>
      </c>
      <c r="DJ40" s="409">
        <v>0</v>
      </c>
      <c r="DK40" s="409">
        <v>0</v>
      </c>
      <c r="DL40" s="409">
        <f t="shared" ref="DL40" si="795">DJ40+DK40</f>
        <v>0</v>
      </c>
      <c r="DM40" s="97">
        <f t="shared" si="768"/>
        <v>146</v>
      </c>
      <c r="DN40" s="98">
        <f t="shared" si="740"/>
        <v>64</v>
      </c>
      <c r="DO40" s="98">
        <f t="shared" si="741"/>
        <v>210</v>
      </c>
      <c r="DP40" s="411">
        <f t="shared" si="769"/>
        <v>0.47712418300653597</v>
      </c>
      <c r="DQ40" s="411">
        <f t="shared" si="703"/>
        <v>0.52892561983471076</v>
      </c>
      <c r="DR40" s="411">
        <f t="shared" si="704"/>
        <v>0.49180327868852458</v>
      </c>
      <c r="DS40" s="98">
        <f t="shared" si="474"/>
        <v>13309</v>
      </c>
      <c r="DT40" s="98">
        <f t="shared" si="474"/>
        <v>9592</v>
      </c>
      <c r="DU40" s="261">
        <f t="shared" si="474"/>
        <v>22901</v>
      </c>
      <c r="DV40" s="261">
        <f t="shared" si="474"/>
        <v>8739</v>
      </c>
      <c r="DW40" s="261">
        <f t="shared" si="474"/>
        <v>6482</v>
      </c>
      <c r="DX40" s="261">
        <f t="shared" si="474"/>
        <v>15221</v>
      </c>
      <c r="DY40" s="261">
        <f t="shared" si="474"/>
        <v>1</v>
      </c>
      <c r="DZ40" s="418"/>
      <c r="EA40" s="261">
        <f t="shared" si="474"/>
        <v>1</v>
      </c>
      <c r="EB40" s="261">
        <f t="shared" si="192"/>
        <v>8740</v>
      </c>
      <c r="EC40" s="261">
        <f t="shared" si="192"/>
        <v>6482</v>
      </c>
      <c r="ED40" s="261">
        <f t="shared" si="192"/>
        <v>15222</v>
      </c>
      <c r="EE40" s="411">
        <f t="shared" si="770"/>
        <v>0.65669847471635734</v>
      </c>
      <c r="EF40" s="411">
        <f t="shared" si="193"/>
        <v>0.67577147623019185</v>
      </c>
      <c r="EG40" s="411">
        <f t="shared" si="193"/>
        <v>0.6646871315663071</v>
      </c>
      <c r="EH40" s="416"/>
      <c r="EI40" s="416"/>
      <c r="EJ40" s="416"/>
      <c r="EK40" s="416"/>
      <c r="EL40" s="416"/>
      <c r="EM40" s="416"/>
      <c r="EN40" s="416"/>
      <c r="EO40" s="416"/>
      <c r="EP40" s="416"/>
      <c r="EQ40" s="404"/>
      <c r="ER40" s="404"/>
      <c r="ES40" s="404"/>
      <c r="ET40" s="417"/>
      <c r="EU40" s="417"/>
      <c r="EV40" s="417"/>
      <c r="EW40" s="416"/>
      <c r="EX40" s="416"/>
      <c r="EY40" s="416"/>
      <c r="EZ40" s="416"/>
      <c r="FA40" s="416"/>
      <c r="FB40" s="416"/>
      <c r="FC40" s="416"/>
      <c r="FD40" s="416"/>
      <c r="FE40" s="416"/>
      <c r="FF40" s="404"/>
      <c r="FG40" s="404"/>
      <c r="FH40" s="404"/>
      <c r="FI40" s="417"/>
      <c r="FJ40" s="417"/>
      <c r="FK40" s="417"/>
      <c r="FL40" s="404"/>
      <c r="FM40" s="404"/>
      <c r="FN40" s="418"/>
      <c r="FO40" s="418"/>
      <c r="FP40" s="418"/>
      <c r="FQ40" s="418"/>
      <c r="FR40" s="418"/>
      <c r="FS40" s="418"/>
      <c r="FT40" s="418"/>
      <c r="FU40" s="418"/>
      <c r="FV40" s="418"/>
      <c r="FW40" s="418"/>
      <c r="FX40" s="417"/>
      <c r="FY40" s="417"/>
      <c r="FZ40" s="417"/>
      <c r="GA40" s="261">
        <f t="shared" si="207"/>
        <v>1221252</v>
      </c>
      <c r="GB40" s="261">
        <f t="shared" si="207"/>
        <v>1055269</v>
      </c>
      <c r="GC40" s="261">
        <f t="shared" si="207"/>
        <v>2276521</v>
      </c>
      <c r="GD40" s="261">
        <v>666497</v>
      </c>
      <c r="GE40" s="261">
        <v>665025</v>
      </c>
      <c r="GF40" s="261">
        <f t="shared" si="208"/>
        <v>1331522</v>
      </c>
      <c r="GG40" s="100">
        <f t="shared" si="641"/>
        <v>54.574895271409993</v>
      </c>
      <c r="GH40" s="413">
        <f t="shared" si="641"/>
        <v>63.019476550528822</v>
      </c>
      <c r="GI40" s="413">
        <f t="shared" si="641"/>
        <v>58.489335262007245</v>
      </c>
      <c r="GJ40" s="261">
        <f t="shared" si="210"/>
        <v>249213</v>
      </c>
      <c r="GK40" s="261">
        <f t="shared" si="210"/>
        <v>208691</v>
      </c>
      <c r="GL40" s="261">
        <f t="shared" si="210"/>
        <v>457904</v>
      </c>
      <c r="GM40" s="261">
        <v>120685</v>
      </c>
      <c r="GN40" s="261">
        <v>112432</v>
      </c>
      <c r="GO40" s="261">
        <f t="shared" si="211"/>
        <v>233117</v>
      </c>
      <c r="GP40" s="413">
        <f t="shared" si="642"/>
        <v>48.426446453435418</v>
      </c>
      <c r="GQ40" s="413">
        <f t="shared" si="642"/>
        <v>53.874867627257522</v>
      </c>
      <c r="GR40" s="413">
        <f t="shared" si="642"/>
        <v>50.909579300464728</v>
      </c>
      <c r="GS40" s="261">
        <f t="shared" si="213"/>
        <v>8740</v>
      </c>
      <c r="GT40" s="261">
        <f t="shared" si="213"/>
        <v>6482</v>
      </c>
      <c r="GU40" s="261">
        <f t="shared" si="213"/>
        <v>15222</v>
      </c>
      <c r="GV40" s="261">
        <v>4359</v>
      </c>
      <c r="GW40" s="261">
        <v>3422</v>
      </c>
      <c r="GX40" s="261">
        <f t="shared" si="214"/>
        <v>7781</v>
      </c>
      <c r="GY40" s="413">
        <f t="shared" si="643"/>
        <v>49.874141876430208</v>
      </c>
      <c r="GZ40" s="413">
        <f t="shared" si="643"/>
        <v>52.792348040728172</v>
      </c>
      <c r="HA40" s="413">
        <f t="shared" si="643"/>
        <v>51.116804624885035</v>
      </c>
      <c r="HB40" s="404"/>
      <c r="HC40" s="404"/>
      <c r="HD40" s="404"/>
      <c r="HE40" s="418"/>
      <c r="HF40" s="418"/>
      <c r="HG40" s="418"/>
      <c r="HH40" s="419"/>
      <c r="HI40" s="419"/>
      <c r="HJ40" s="419"/>
    </row>
    <row r="41" spans="1:220" s="363" customFormat="1" ht="28.5">
      <c r="A41" s="420">
        <v>33</v>
      </c>
      <c r="B41" s="118" t="s">
        <v>169</v>
      </c>
      <c r="C41" s="363">
        <v>70480</v>
      </c>
      <c r="D41" s="363">
        <v>71104</v>
      </c>
      <c r="E41" s="409">
        <f>C41+D41</f>
        <v>141584</v>
      </c>
      <c r="F41" s="414">
        <v>49661</v>
      </c>
      <c r="G41" s="414">
        <v>57711</v>
      </c>
      <c r="H41" s="409">
        <f>F41+G41</f>
        <v>107372</v>
      </c>
      <c r="I41" s="410"/>
      <c r="J41" s="410"/>
      <c r="K41" s="410"/>
      <c r="L41" s="97">
        <f t="shared" ref="L41" si="796">F41+I41</f>
        <v>49661</v>
      </c>
      <c r="M41" s="98">
        <f t="shared" ref="M41" si="797">G41+J41</f>
        <v>57711</v>
      </c>
      <c r="N41" s="98">
        <f t="shared" ref="N41" si="798">H41+K41</f>
        <v>107372</v>
      </c>
      <c r="O41" s="411">
        <f t="shared" ref="O41" si="799">L41/C41</f>
        <v>0.70461123723041996</v>
      </c>
      <c r="P41" s="411">
        <f t="shared" ref="P41" si="800">M41/D41</f>
        <v>0.81164210171017104</v>
      </c>
      <c r="Q41" s="411">
        <f t="shared" ref="Q41" si="801">N41/E41</f>
        <v>0.75836252683919092</v>
      </c>
      <c r="R41" s="363">
        <v>2815</v>
      </c>
      <c r="S41" s="363">
        <v>1767</v>
      </c>
      <c r="T41" s="409">
        <f>R41+S41</f>
        <v>4582</v>
      </c>
      <c r="U41" s="363">
        <v>884</v>
      </c>
      <c r="V41" s="363">
        <v>750</v>
      </c>
      <c r="W41" s="409">
        <f>U41+V41</f>
        <v>1634</v>
      </c>
      <c r="X41" s="410"/>
      <c r="Y41" s="410"/>
      <c r="Z41" s="410"/>
      <c r="AA41" s="97">
        <f t="shared" ref="AA41" si="802">U41+X41</f>
        <v>884</v>
      </c>
      <c r="AB41" s="98">
        <f t="shared" ref="AB41" si="803">V41+Y41</f>
        <v>750</v>
      </c>
      <c r="AC41" s="98">
        <f t="shared" ref="AC41" si="804">W41+Z41</f>
        <v>1634</v>
      </c>
      <c r="AD41" s="411">
        <f t="shared" ref="AD41" si="805">AA41/R41</f>
        <v>0.31403197158081703</v>
      </c>
      <c r="AE41" s="411">
        <f t="shared" ref="AE41" si="806">AB41/S41</f>
        <v>0.42444821731748728</v>
      </c>
      <c r="AF41" s="411">
        <f t="shared" ref="AF41" si="807">AC41/T41</f>
        <v>0.35661283282409428</v>
      </c>
      <c r="AG41" s="261">
        <f t="shared" ref="AG41" si="808">C41+R41</f>
        <v>73295</v>
      </c>
      <c r="AH41" s="261">
        <f t="shared" ref="AH41" si="809">D41+S41</f>
        <v>72871</v>
      </c>
      <c r="AI41" s="261">
        <f t="shared" ref="AI41" si="810">E41+T41</f>
        <v>146166</v>
      </c>
      <c r="AJ41" s="261">
        <f t="shared" ref="AJ41" si="811">F41+U41</f>
        <v>50545</v>
      </c>
      <c r="AK41" s="261">
        <f t="shared" ref="AK41" si="812">G41+V41</f>
        <v>58461</v>
      </c>
      <c r="AL41" s="261">
        <f t="shared" ref="AL41" si="813">H41+W41</f>
        <v>109006</v>
      </c>
      <c r="AM41" s="410"/>
      <c r="AN41" s="410"/>
      <c r="AO41" s="410"/>
      <c r="AP41" s="261">
        <f>L41+AA50</f>
        <v>49698</v>
      </c>
      <c r="AQ41" s="261">
        <f>M41+AB50</f>
        <v>57713</v>
      </c>
      <c r="AR41" s="261">
        <f>N41+AC50</f>
        <v>107411</v>
      </c>
      <c r="AS41" s="411">
        <f t="shared" si="180"/>
        <v>0.67805443754689954</v>
      </c>
      <c r="AT41" s="411">
        <f t="shared" si="180"/>
        <v>0.79198858256370852</v>
      </c>
      <c r="AU41" s="411">
        <f t="shared" si="180"/>
        <v>0.73485625932159326</v>
      </c>
      <c r="AV41" s="409">
        <v>20950</v>
      </c>
      <c r="AW41" s="409">
        <v>20270</v>
      </c>
      <c r="AX41" s="409">
        <f>AV41+AW41</f>
        <v>41220</v>
      </c>
      <c r="AY41" s="409">
        <v>12735</v>
      </c>
      <c r="AZ41" s="409">
        <v>14668</v>
      </c>
      <c r="BA41" s="409">
        <f t="shared" si="754"/>
        <v>27403</v>
      </c>
      <c r="BB41" s="410"/>
      <c r="BC41" s="410"/>
      <c r="BD41" s="410"/>
      <c r="BE41" s="97">
        <f t="shared" si="755"/>
        <v>12735</v>
      </c>
      <c r="BF41" s="98">
        <f t="shared" si="734"/>
        <v>14668</v>
      </c>
      <c r="BG41" s="98">
        <f t="shared" si="735"/>
        <v>27403</v>
      </c>
      <c r="BH41" s="411">
        <f t="shared" si="756"/>
        <v>0.60787589498806682</v>
      </c>
      <c r="BI41" s="411">
        <f t="shared" si="682"/>
        <v>0.72363098174642326</v>
      </c>
      <c r="BJ41" s="411">
        <f t="shared" si="683"/>
        <v>0.66479864143619605</v>
      </c>
      <c r="BK41" s="409">
        <v>1162</v>
      </c>
      <c r="BL41" s="409">
        <v>749</v>
      </c>
      <c r="BM41" s="409">
        <f>BK41+BL41</f>
        <v>1911</v>
      </c>
      <c r="BN41" s="409">
        <v>332</v>
      </c>
      <c r="BO41" s="409">
        <v>304</v>
      </c>
      <c r="BP41" s="409">
        <f t="shared" si="758"/>
        <v>636</v>
      </c>
      <c r="BQ41" s="410"/>
      <c r="BR41" s="410"/>
      <c r="BS41" s="410"/>
      <c r="BT41" s="97">
        <f t="shared" si="759"/>
        <v>332</v>
      </c>
      <c r="BU41" s="98">
        <f t="shared" si="736"/>
        <v>304</v>
      </c>
      <c r="BV41" s="98">
        <f t="shared" si="737"/>
        <v>636</v>
      </c>
      <c r="BW41" s="411">
        <f t="shared" si="760"/>
        <v>0.2857142857142857</v>
      </c>
      <c r="BX41" s="411">
        <f t="shared" si="688"/>
        <v>0.40587449933244324</v>
      </c>
      <c r="BY41" s="411">
        <f t="shared" si="689"/>
        <v>0.3328100470957614</v>
      </c>
      <c r="BZ41" s="98">
        <f t="shared" si="545"/>
        <v>22112</v>
      </c>
      <c r="CA41" s="98">
        <f t="shared" si="545"/>
        <v>21019</v>
      </c>
      <c r="CB41" s="98">
        <f t="shared" si="545"/>
        <v>43131</v>
      </c>
      <c r="CC41" s="261">
        <f t="shared" si="545"/>
        <v>13067</v>
      </c>
      <c r="CD41" s="261">
        <f t="shared" si="545"/>
        <v>14972</v>
      </c>
      <c r="CE41" s="261">
        <f t="shared" si="545"/>
        <v>28039</v>
      </c>
      <c r="CF41" s="410"/>
      <c r="CG41" s="410"/>
      <c r="CH41" s="410"/>
      <c r="CI41" s="261">
        <f t="shared" si="545"/>
        <v>13067</v>
      </c>
      <c r="CJ41" s="261">
        <f t="shared" si="545"/>
        <v>14972</v>
      </c>
      <c r="CK41" s="261">
        <f t="shared" si="545"/>
        <v>28039</v>
      </c>
      <c r="CL41" s="411">
        <f t="shared" si="761"/>
        <v>0.59094609261939224</v>
      </c>
      <c r="CM41" s="411">
        <f t="shared" si="761"/>
        <v>0.71230791188924303</v>
      </c>
      <c r="CN41" s="411">
        <f t="shared" si="761"/>
        <v>0.65008926294312674</v>
      </c>
      <c r="CO41" s="409">
        <v>2386</v>
      </c>
      <c r="CP41" s="409">
        <v>2507</v>
      </c>
      <c r="CQ41" s="409">
        <f>CO41+CP41</f>
        <v>4893</v>
      </c>
      <c r="CR41" s="409">
        <v>1592</v>
      </c>
      <c r="CS41" s="409">
        <v>1970</v>
      </c>
      <c r="CT41" s="409">
        <f t="shared" si="763"/>
        <v>3562</v>
      </c>
      <c r="CU41" s="410"/>
      <c r="CV41" s="410"/>
      <c r="CW41" s="410"/>
      <c r="CX41" s="97">
        <f t="shared" si="764"/>
        <v>1592</v>
      </c>
      <c r="CY41" s="98">
        <f t="shared" si="738"/>
        <v>1970</v>
      </c>
      <c r="CZ41" s="98">
        <f t="shared" si="739"/>
        <v>3562</v>
      </c>
      <c r="DA41" s="411">
        <f t="shared" si="765"/>
        <v>0.66722548197820619</v>
      </c>
      <c r="DB41" s="411">
        <f t="shared" si="698"/>
        <v>0.78579976067012369</v>
      </c>
      <c r="DC41" s="411">
        <f t="shared" si="699"/>
        <v>0.72797874514612715</v>
      </c>
      <c r="DD41" s="409">
        <v>64</v>
      </c>
      <c r="DE41" s="409">
        <v>45</v>
      </c>
      <c r="DF41" s="409">
        <f>DD41+DE41</f>
        <v>109</v>
      </c>
      <c r="DG41" s="409">
        <v>17</v>
      </c>
      <c r="DH41" s="409">
        <v>23</v>
      </c>
      <c r="DI41" s="409">
        <f t="shared" si="767"/>
        <v>40</v>
      </c>
      <c r="DJ41" s="410"/>
      <c r="DK41" s="410"/>
      <c r="DL41" s="409"/>
      <c r="DM41" s="97">
        <f t="shared" si="768"/>
        <v>17</v>
      </c>
      <c r="DN41" s="98">
        <f t="shared" si="740"/>
        <v>23</v>
      </c>
      <c r="DO41" s="98">
        <f t="shared" si="741"/>
        <v>40</v>
      </c>
      <c r="DP41" s="411">
        <f t="shared" si="769"/>
        <v>0.265625</v>
      </c>
      <c r="DQ41" s="411">
        <f t="shared" si="703"/>
        <v>0.51111111111111107</v>
      </c>
      <c r="DR41" s="411">
        <f t="shared" si="704"/>
        <v>0.3669724770642202</v>
      </c>
      <c r="DS41" s="98">
        <f t="shared" si="474"/>
        <v>2450</v>
      </c>
      <c r="DT41" s="98">
        <f t="shared" si="474"/>
        <v>2552</v>
      </c>
      <c r="DU41" s="261">
        <f t="shared" si="474"/>
        <v>5002</v>
      </c>
      <c r="DV41" s="261">
        <f t="shared" si="474"/>
        <v>1609</v>
      </c>
      <c r="DW41" s="261">
        <f t="shared" si="474"/>
        <v>1993</v>
      </c>
      <c r="DX41" s="261">
        <f t="shared" si="474"/>
        <v>3602</v>
      </c>
      <c r="DY41" s="410"/>
      <c r="DZ41" s="410"/>
      <c r="EA41" s="410"/>
      <c r="EB41" s="261">
        <f t="shared" si="192"/>
        <v>1609</v>
      </c>
      <c r="EC41" s="261">
        <f t="shared" si="192"/>
        <v>1993</v>
      </c>
      <c r="ED41" s="261">
        <f t="shared" si="192"/>
        <v>3602</v>
      </c>
      <c r="EE41" s="411">
        <f t="shared" si="770"/>
        <v>0.65673469387755101</v>
      </c>
      <c r="EF41" s="411">
        <f t="shared" si="193"/>
        <v>0.78095611285266453</v>
      </c>
      <c r="EG41" s="411">
        <f t="shared" si="193"/>
        <v>0.72011195521791282</v>
      </c>
      <c r="EH41" s="416"/>
      <c r="EI41" s="416"/>
      <c r="EJ41" s="416"/>
      <c r="EK41" s="416"/>
      <c r="EL41" s="416"/>
      <c r="EM41" s="416"/>
      <c r="EN41" s="416"/>
      <c r="EO41" s="416"/>
      <c r="EP41" s="416"/>
      <c r="EQ41" s="404"/>
      <c r="ER41" s="404"/>
      <c r="ES41" s="404"/>
      <c r="ET41" s="417"/>
      <c r="EU41" s="417"/>
      <c r="EV41" s="417"/>
      <c r="EW41" s="416"/>
      <c r="EX41" s="416"/>
      <c r="EY41" s="416"/>
      <c r="EZ41" s="416"/>
      <c r="FA41" s="416"/>
      <c r="FB41" s="416"/>
      <c r="FC41" s="416"/>
      <c r="FD41" s="416"/>
      <c r="FE41" s="416"/>
      <c r="FF41" s="404"/>
      <c r="FG41" s="404"/>
      <c r="FH41" s="404"/>
      <c r="FI41" s="417"/>
      <c r="FJ41" s="417"/>
      <c r="FK41" s="417"/>
      <c r="FL41" s="404"/>
      <c r="FM41" s="404"/>
      <c r="FN41" s="418"/>
      <c r="FO41" s="418"/>
      <c r="FP41" s="418"/>
      <c r="FQ41" s="418"/>
      <c r="FR41" s="416"/>
      <c r="FS41" s="416"/>
      <c r="FT41" s="416"/>
      <c r="FU41" s="418"/>
      <c r="FV41" s="418"/>
      <c r="FW41" s="418"/>
      <c r="FX41" s="417"/>
      <c r="FY41" s="417"/>
      <c r="FZ41" s="417"/>
      <c r="GA41" s="261">
        <f t="shared" si="207"/>
        <v>49698</v>
      </c>
      <c r="GB41" s="261">
        <f t="shared" si="207"/>
        <v>57713</v>
      </c>
      <c r="GC41" s="261">
        <f t="shared" si="207"/>
        <v>107411</v>
      </c>
      <c r="GD41" s="32">
        <v>15855</v>
      </c>
      <c r="GE41" s="32">
        <v>21924</v>
      </c>
      <c r="GF41" s="261">
        <f t="shared" si="208"/>
        <v>37779</v>
      </c>
      <c r="GG41" s="100">
        <f t="shared" si="641"/>
        <v>31.902692261257997</v>
      </c>
      <c r="GH41" s="413">
        <f t="shared" si="641"/>
        <v>37.987974979640633</v>
      </c>
      <c r="GI41" s="413">
        <f t="shared" si="641"/>
        <v>35.172375268827217</v>
      </c>
      <c r="GJ41" s="261">
        <f t="shared" si="210"/>
        <v>13067</v>
      </c>
      <c r="GK41" s="261">
        <f t="shared" si="210"/>
        <v>14972</v>
      </c>
      <c r="GL41" s="261">
        <f t="shared" si="210"/>
        <v>28039</v>
      </c>
      <c r="GM41" s="32">
        <v>2845</v>
      </c>
      <c r="GN41" s="32">
        <v>3913</v>
      </c>
      <c r="GO41" s="261">
        <f t="shared" si="211"/>
        <v>6758</v>
      </c>
      <c r="GP41" s="413">
        <f t="shared" si="642"/>
        <v>21.772403765210072</v>
      </c>
      <c r="GQ41" s="413">
        <f t="shared" si="642"/>
        <v>26.135452845311249</v>
      </c>
      <c r="GR41" s="413">
        <f t="shared" si="642"/>
        <v>24.102143443061451</v>
      </c>
      <c r="GS41" s="261">
        <f t="shared" si="213"/>
        <v>1609</v>
      </c>
      <c r="GT41" s="261">
        <f t="shared" si="213"/>
        <v>1993</v>
      </c>
      <c r="GU41" s="261">
        <f t="shared" si="213"/>
        <v>3602</v>
      </c>
      <c r="GV41" s="32">
        <v>505</v>
      </c>
      <c r="GW41" s="32">
        <v>693</v>
      </c>
      <c r="GX41" s="261">
        <f t="shared" si="214"/>
        <v>1198</v>
      </c>
      <c r="GY41" s="413">
        <f t="shared" si="643"/>
        <v>31.385954008701056</v>
      </c>
      <c r="GZ41" s="413">
        <f t="shared" si="643"/>
        <v>34.771700953336676</v>
      </c>
      <c r="HA41" s="413">
        <f t="shared" si="643"/>
        <v>33.259300388672962</v>
      </c>
      <c r="HB41" s="404"/>
      <c r="HC41" s="404"/>
      <c r="HD41" s="404"/>
      <c r="HE41" s="224"/>
      <c r="HF41" s="224"/>
      <c r="HG41" s="418"/>
      <c r="HH41" s="419"/>
      <c r="HI41" s="419"/>
      <c r="HJ41" s="419"/>
    </row>
    <row r="42" spans="1:220" s="363" customFormat="1" ht="28.5">
      <c r="A42" s="420">
        <v>34</v>
      </c>
      <c r="B42" s="118" t="s">
        <v>172</v>
      </c>
      <c r="C42" s="409">
        <v>475363</v>
      </c>
      <c r="D42" s="409">
        <v>616545</v>
      </c>
      <c r="E42" s="409">
        <f>C42+D42</f>
        <v>1091908</v>
      </c>
      <c r="F42" s="409">
        <v>415913</v>
      </c>
      <c r="G42" s="409">
        <v>473423</v>
      </c>
      <c r="H42" s="409">
        <f>F42+G42</f>
        <v>889336</v>
      </c>
      <c r="I42" s="410"/>
      <c r="J42" s="410"/>
      <c r="K42" s="410"/>
      <c r="L42" s="97">
        <f>F42+I42</f>
        <v>415913</v>
      </c>
      <c r="M42" s="98">
        <f>G42+J42</f>
        <v>473423</v>
      </c>
      <c r="N42" s="98">
        <f>H42+K42</f>
        <v>889336</v>
      </c>
      <c r="O42" s="411">
        <f>L42/C42</f>
        <v>0.87493767920515475</v>
      </c>
      <c r="P42" s="411">
        <f>M42/D42</f>
        <v>0.76786447055770468</v>
      </c>
      <c r="Q42" s="411">
        <f>N42/E42</f>
        <v>0.81447887550965836</v>
      </c>
      <c r="R42" s="416"/>
      <c r="S42" s="416"/>
      <c r="T42" s="416"/>
      <c r="U42" s="416"/>
      <c r="V42" s="416"/>
      <c r="W42" s="416"/>
      <c r="X42" s="416"/>
      <c r="Y42" s="416"/>
      <c r="Z42" s="416"/>
      <c r="AA42" s="404"/>
      <c r="AB42" s="404"/>
      <c r="AC42" s="404"/>
      <c r="AD42" s="417"/>
      <c r="AE42" s="417"/>
      <c r="AF42" s="417"/>
      <c r="AG42" s="261">
        <f t="shared" si="179"/>
        <v>475363</v>
      </c>
      <c r="AH42" s="261">
        <f t="shared" si="179"/>
        <v>616545</v>
      </c>
      <c r="AI42" s="261">
        <f t="shared" si="179"/>
        <v>1091908</v>
      </c>
      <c r="AJ42" s="261">
        <f t="shared" si="179"/>
        <v>415913</v>
      </c>
      <c r="AK42" s="261">
        <f t="shared" si="179"/>
        <v>473423</v>
      </c>
      <c r="AL42" s="261">
        <f t="shared" si="179"/>
        <v>889336</v>
      </c>
      <c r="AM42" s="412"/>
      <c r="AN42" s="412"/>
      <c r="AO42" s="412"/>
      <c r="AP42" s="261">
        <f>L42+AA42</f>
        <v>415913</v>
      </c>
      <c r="AQ42" s="261">
        <f>M42+AB42</f>
        <v>473423</v>
      </c>
      <c r="AR42" s="261">
        <f>N42+AC42</f>
        <v>889336</v>
      </c>
      <c r="AS42" s="411">
        <f>AP42/AG42</f>
        <v>0.87493767920515475</v>
      </c>
      <c r="AT42" s="411">
        <f>AQ42/AH42</f>
        <v>0.76786447055770468</v>
      </c>
      <c r="AU42" s="411">
        <f>AR42/AI42</f>
        <v>0.81447887550965836</v>
      </c>
      <c r="AV42" s="409">
        <v>143400</v>
      </c>
      <c r="AW42" s="409">
        <v>175174</v>
      </c>
      <c r="AX42" s="409">
        <f>AV42+AW42</f>
        <v>318574</v>
      </c>
      <c r="AY42" s="409">
        <v>120541</v>
      </c>
      <c r="AZ42" s="409">
        <v>126937</v>
      </c>
      <c r="BA42" s="409">
        <f>AY42+AZ42</f>
        <v>247478</v>
      </c>
      <c r="BB42" s="410"/>
      <c r="BC42" s="410"/>
      <c r="BD42" s="410"/>
      <c r="BE42" s="97">
        <f>AY42+BB42</f>
        <v>120541</v>
      </c>
      <c r="BF42" s="98">
        <f>AZ42+BC42</f>
        <v>126937</v>
      </c>
      <c r="BG42" s="98">
        <f>BA42+BD42</f>
        <v>247478</v>
      </c>
      <c r="BH42" s="411">
        <f>BE42/AV42</f>
        <v>0.84059274755927471</v>
      </c>
      <c r="BI42" s="411">
        <f>BF42/AW42</f>
        <v>0.72463379268612926</v>
      </c>
      <c r="BJ42" s="411">
        <f>BG42/AX42</f>
        <v>0.7768305009197235</v>
      </c>
      <c r="BK42" s="416"/>
      <c r="BL42" s="416"/>
      <c r="BM42" s="416"/>
      <c r="BN42" s="416"/>
      <c r="BO42" s="416"/>
      <c r="BP42" s="416"/>
      <c r="BQ42" s="416"/>
      <c r="BR42" s="416"/>
      <c r="BS42" s="416"/>
      <c r="BT42" s="404"/>
      <c r="BU42" s="404"/>
      <c r="BV42" s="404"/>
      <c r="BW42" s="417"/>
      <c r="BX42" s="417"/>
      <c r="BY42" s="417"/>
      <c r="BZ42" s="98">
        <f t="shared" si="545"/>
        <v>143400</v>
      </c>
      <c r="CA42" s="98">
        <f t="shared" si="545"/>
        <v>175174</v>
      </c>
      <c r="CB42" s="98">
        <f t="shared" si="545"/>
        <v>318574</v>
      </c>
      <c r="CC42" s="261">
        <f t="shared" si="545"/>
        <v>120541</v>
      </c>
      <c r="CD42" s="261">
        <f t="shared" si="545"/>
        <v>126937</v>
      </c>
      <c r="CE42" s="261">
        <f t="shared" si="545"/>
        <v>247478</v>
      </c>
      <c r="CF42" s="412"/>
      <c r="CG42" s="412"/>
      <c r="CH42" s="412"/>
      <c r="CI42" s="261">
        <f>BE42+BT42</f>
        <v>120541</v>
      </c>
      <c r="CJ42" s="261">
        <f>BF42+BU42</f>
        <v>126937</v>
      </c>
      <c r="CK42" s="261">
        <f>BG42+BV42</f>
        <v>247478</v>
      </c>
      <c r="CL42" s="411">
        <f>CI42/BZ42</f>
        <v>0.84059274755927471</v>
      </c>
      <c r="CM42" s="411">
        <f>CJ42/CA42</f>
        <v>0.72463379268612926</v>
      </c>
      <c r="CN42" s="411">
        <f>CK42/CB42</f>
        <v>0.7768305009197235</v>
      </c>
      <c r="CO42" s="409">
        <v>28339</v>
      </c>
      <c r="CP42" s="409">
        <v>37081</v>
      </c>
      <c r="CQ42" s="409">
        <f>CO42+CP42</f>
        <v>65420</v>
      </c>
      <c r="CR42" s="409">
        <v>20856</v>
      </c>
      <c r="CS42" s="409">
        <v>22511</v>
      </c>
      <c r="CT42" s="409">
        <f>CR42+CS42</f>
        <v>43367</v>
      </c>
      <c r="CU42" s="410"/>
      <c r="CV42" s="410"/>
      <c r="CW42" s="410"/>
      <c r="CX42" s="97">
        <f>CR42+CU42</f>
        <v>20856</v>
      </c>
      <c r="CY42" s="98">
        <f>CS42+CV42</f>
        <v>22511</v>
      </c>
      <c r="CZ42" s="98">
        <f>CT42+CW42</f>
        <v>43367</v>
      </c>
      <c r="DA42" s="411">
        <f>CX42/CO42</f>
        <v>0.73594692826140651</v>
      </c>
      <c r="DB42" s="411">
        <f>CY42/CP42</f>
        <v>0.60707640031282872</v>
      </c>
      <c r="DC42" s="411">
        <f>CZ42/CQ42</f>
        <v>0.66290125343931516</v>
      </c>
      <c r="DD42" s="416"/>
      <c r="DE42" s="416"/>
      <c r="DF42" s="416"/>
      <c r="DG42" s="416"/>
      <c r="DH42" s="416"/>
      <c r="DI42" s="416"/>
      <c r="DJ42" s="416"/>
      <c r="DK42" s="416"/>
      <c r="DL42" s="416"/>
      <c r="DM42" s="404"/>
      <c r="DN42" s="404"/>
      <c r="DO42" s="404"/>
      <c r="DP42" s="417"/>
      <c r="DQ42" s="417"/>
      <c r="DR42" s="417"/>
      <c r="DS42" s="98">
        <f t="shared" si="474"/>
        <v>28339</v>
      </c>
      <c r="DT42" s="98">
        <f t="shared" si="474"/>
        <v>37081</v>
      </c>
      <c r="DU42" s="261">
        <f t="shared" si="474"/>
        <v>65420</v>
      </c>
      <c r="DV42" s="261">
        <f t="shared" si="474"/>
        <v>20856</v>
      </c>
      <c r="DW42" s="261">
        <f t="shared" si="474"/>
        <v>22511</v>
      </c>
      <c r="DX42" s="261">
        <f t="shared" si="474"/>
        <v>43367</v>
      </c>
      <c r="DY42" s="412"/>
      <c r="DZ42" s="412"/>
      <c r="EA42" s="412"/>
      <c r="EB42" s="261">
        <f>CX42+DM42</f>
        <v>20856</v>
      </c>
      <c r="EC42" s="261">
        <f>CY42+DN42</f>
        <v>22511</v>
      </c>
      <c r="ED42" s="261">
        <f>CZ42+DO42</f>
        <v>43367</v>
      </c>
      <c r="EE42" s="411">
        <f>EB42/DS42</f>
        <v>0.73594692826140651</v>
      </c>
      <c r="EF42" s="411">
        <f>EC42/DT42</f>
        <v>0.60707640031282872</v>
      </c>
      <c r="EG42" s="411">
        <f>ED42/DU42</f>
        <v>0.66290125343931516</v>
      </c>
      <c r="EH42" s="409">
        <v>81605</v>
      </c>
      <c r="EI42" s="409">
        <v>106533</v>
      </c>
      <c r="EJ42" s="409">
        <f>EH42+EI42</f>
        <v>188138</v>
      </c>
      <c r="EK42" s="409">
        <v>72080</v>
      </c>
      <c r="EL42" s="409">
        <v>81481</v>
      </c>
      <c r="EM42" s="409">
        <f>EK42+EL42</f>
        <v>153561</v>
      </c>
      <c r="EN42" s="410"/>
      <c r="EO42" s="410"/>
      <c r="EP42" s="410"/>
      <c r="EQ42" s="97">
        <f>EK42+EN42</f>
        <v>72080</v>
      </c>
      <c r="ER42" s="98">
        <f>EL42+EO42</f>
        <v>81481</v>
      </c>
      <c r="ES42" s="98">
        <f>EM42+EP42</f>
        <v>153561</v>
      </c>
      <c r="ET42" s="411">
        <f>EQ42/EH42</f>
        <v>0.88327921083266958</v>
      </c>
      <c r="EU42" s="411">
        <f>ER42/EI42</f>
        <v>0.76484281865712966</v>
      </c>
      <c r="EV42" s="411">
        <f>ES42/EJ42</f>
        <v>0.81621469346968711</v>
      </c>
      <c r="EW42" s="416"/>
      <c r="EX42" s="416"/>
      <c r="EY42" s="416"/>
      <c r="EZ42" s="416"/>
      <c r="FA42" s="416"/>
      <c r="FB42" s="416"/>
      <c r="FC42" s="416"/>
      <c r="FD42" s="416"/>
      <c r="FE42" s="416"/>
      <c r="FF42" s="404"/>
      <c r="FG42" s="404"/>
      <c r="FH42" s="404"/>
      <c r="FI42" s="417"/>
      <c r="FJ42" s="417"/>
      <c r="FK42" s="417"/>
      <c r="FL42" s="98">
        <f t="shared" si="452"/>
        <v>81605</v>
      </c>
      <c r="FM42" s="98">
        <f t="shared" si="453"/>
        <v>106533</v>
      </c>
      <c r="FN42" s="261">
        <f t="shared" si="454"/>
        <v>188138</v>
      </c>
      <c r="FO42" s="261">
        <f t="shared" si="455"/>
        <v>72080</v>
      </c>
      <c r="FP42" s="261">
        <f t="shared" si="456"/>
        <v>81481</v>
      </c>
      <c r="FQ42" s="261">
        <f t="shared" si="457"/>
        <v>153561</v>
      </c>
      <c r="FR42" s="412"/>
      <c r="FS42" s="412"/>
      <c r="FT42" s="412"/>
      <c r="FU42" s="261">
        <f>EQ42+FF42</f>
        <v>72080</v>
      </c>
      <c r="FV42" s="261">
        <f>ER42+FG42</f>
        <v>81481</v>
      </c>
      <c r="FW42" s="261">
        <f>ES42+FH42</f>
        <v>153561</v>
      </c>
      <c r="FX42" s="411">
        <f>FU42/FL42</f>
        <v>0.88327921083266958</v>
      </c>
      <c r="FY42" s="411">
        <f>FV42/FM42</f>
        <v>0.76484281865712966</v>
      </c>
      <c r="FZ42" s="411">
        <f>FW42/FN42</f>
        <v>0.81621469346968711</v>
      </c>
      <c r="GA42" s="261">
        <f>+AP42</f>
        <v>415913</v>
      </c>
      <c r="GB42" s="261">
        <f>+AQ42</f>
        <v>473423</v>
      </c>
      <c r="GC42" s="261">
        <f>+AR42</f>
        <v>889336</v>
      </c>
      <c r="GD42" s="261">
        <v>63597</v>
      </c>
      <c r="GE42" s="261">
        <v>54933</v>
      </c>
      <c r="GF42" s="261">
        <f>GD42+GE42</f>
        <v>118530</v>
      </c>
      <c r="GG42" s="100">
        <f>+GD42*100/GA42</f>
        <v>15.290938249104981</v>
      </c>
      <c r="GH42" s="413">
        <f>+GE42*100/GB42</f>
        <v>11.603365277986072</v>
      </c>
      <c r="GI42" s="413">
        <f>+GF42*100/GC42</f>
        <v>13.327921055708979</v>
      </c>
      <c r="GJ42" s="261">
        <f>+CI42</f>
        <v>120541</v>
      </c>
      <c r="GK42" s="261">
        <f>+CJ42</f>
        <v>126937</v>
      </c>
      <c r="GL42" s="261">
        <f>+CK42</f>
        <v>247478</v>
      </c>
      <c r="GM42" s="261">
        <v>11603</v>
      </c>
      <c r="GN42" s="261">
        <v>8780</v>
      </c>
      <c r="GO42" s="261">
        <f>GM42+GN42</f>
        <v>20383</v>
      </c>
      <c r="GP42" s="413">
        <f>+GM42*100/GJ42</f>
        <v>9.625770484731337</v>
      </c>
      <c r="GQ42" s="413">
        <f>+GN42*100/GK42</f>
        <v>6.9168170037105021</v>
      </c>
      <c r="GR42" s="413">
        <f>+GO42*100/GL42</f>
        <v>8.2362876700151126</v>
      </c>
      <c r="GS42" s="261">
        <f>+EB42</f>
        <v>20856</v>
      </c>
      <c r="GT42" s="261">
        <f>+EC42</f>
        <v>22511</v>
      </c>
      <c r="GU42" s="261">
        <f>+ED42</f>
        <v>43367</v>
      </c>
      <c r="GV42" s="261">
        <v>952</v>
      </c>
      <c r="GW42" s="261">
        <v>762</v>
      </c>
      <c r="GX42" s="261">
        <f>GV42+GW42</f>
        <v>1714</v>
      </c>
      <c r="GY42" s="413">
        <f>+GV42*100/GS42</f>
        <v>4.5646336785577288</v>
      </c>
      <c r="GZ42" s="413">
        <f>+GW42*100/GT42</f>
        <v>3.3850117720225668</v>
      </c>
      <c r="HA42" s="413">
        <f>+GX42*100/GU42</f>
        <v>3.952313971452948</v>
      </c>
      <c r="HB42" s="98">
        <f t="shared" si="167"/>
        <v>72080</v>
      </c>
      <c r="HC42" s="98">
        <f t="shared" si="168"/>
        <v>81481</v>
      </c>
      <c r="HD42" s="98">
        <f t="shared" si="169"/>
        <v>153561</v>
      </c>
      <c r="HE42" s="261">
        <v>11807</v>
      </c>
      <c r="HF42" s="261">
        <v>9263</v>
      </c>
      <c r="HG42" s="261">
        <f>HE42+HF42</f>
        <v>21070</v>
      </c>
      <c r="HH42" s="413">
        <f>+HE42*100/HB42</f>
        <v>16.380410654827969</v>
      </c>
      <c r="HI42" s="413">
        <f>+HF42*100/HC42</f>
        <v>11.368294449012653</v>
      </c>
      <c r="HJ42" s="413">
        <f>+HG42*100/HD42</f>
        <v>13.720931746993051</v>
      </c>
    </row>
    <row r="43" spans="1:220" s="363" customFormat="1" ht="28.5">
      <c r="A43" s="420">
        <v>35</v>
      </c>
      <c r="B43" s="118" t="s">
        <v>171</v>
      </c>
      <c r="C43" s="409">
        <v>14977</v>
      </c>
      <c r="D43" s="409">
        <v>39899</v>
      </c>
      <c r="E43" s="409">
        <f t="shared" si="176"/>
        <v>54876</v>
      </c>
      <c r="F43" s="409">
        <v>13077</v>
      </c>
      <c r="G43" s="409">
        <v>28176</v>
      </c>
      <c r="H43" s="409">
        <f t="shared" si="177"/>
        <v>41253</v>
      </c>
      <c r="I43" s="410"/>
      <c r="J43" s="410"/>
      <c r="K43" s="410"/>
      <c r="L43" s="97">
        <f t="shared" si="648"/>
        <v>13077</v>
      </c>
      <c r="M43" s="98">
        <f t="shared" si="648"/>
        <v>28176</v>
      </c>
      <c r="N43" s="98">
        <f t="shared" si="648"/>
        <v>41253</v>
      </c>
      <c r="O43" s="411">
        <f t="shared" ref="O43:Q48" si="814">L43/C43</f>
        <v>0.87313881284636441</v>
      </c>
      <c r="P43" s="411">
        <f t="shared" si="814"/>
        <v>0.70618311235870568</v>
      </c>
      <c r="Q43" s="411">
        <f t="shared" si="814"/>
        <v>0.75174939864421608</v>
      </c>
      <c r="R43" s="409">
        <v>959</v>
      </c>
      <c r="S43" s="409">
        <v>667</v>
      </c>
      <c r="T43" s="409">
        <f t="shared" ref="T43:T45" si="815">R43+S43</f>
        <v>1626</v>
      </c>
      <c r="U43" s="409">
        <v>869</v>
      </c>
      <c r="V43" s="409">
        <v>522</v>
      </c>
      <c r="W43" s="409">
        <f t="shared" ref="W43:W45" si="816">U43+V43</f>
        <v>1391</v>
      </c>
      <c r="X43" s="410"/>
      <c r="Y43" s="410"/>
      <c r="Z43" s="410"/>
      <c r="AA43" s="97">
        <f t="shared" ref="AA43:AA44" si="817">U43+X43</f>
        <v>869</v>
      </c>
      <c r="AB43" s="98">
        <f t="shared" ref="AB43:AB45" si="818">V43+Y43</f>
        <v>522</v>
      </c>
      <c r="AC43" s="98">
        <f t="shared" ref="AC43:AC45" si="819">W43+Z43</f>
        <v>1391</v>
      </c>
      <c r="AD43" s="411">
        <f t="shared" ref="AD43:AD44" si="820">AA43/R43</f>
        <v>0.90615224191866528</v>
      </c>
      <c r="AE43" s="411">
        <f t="shared" ref="AE43:AE45" si="821">AB43/S43</f>
        <v>0.78260869565217395</v>
      </c>
      <c r="AF43" s="411">
        <f t="shared" ref="AF43:AF45" si="822">AC43/T43</f>
        <v>0.85547355473554731</v>
      </c>
      <c r="AG43" s="261">
        <f t="shared" si="179"/>
        <v>15936</v>
      </c>
      <c r="AH43" s="261">
        <f t="shared" si="179"/>
        <v>40566</v>
      </c>
      <c r="AI43" s="261">
        <f t="shared" si="179"/>
        <v>56502</v>
      </c>
      <c r="AJ43" s="261">
        <f t="shared" si="179"/>
        <v>13946</v>
      </c>
      <c r="AK43" s="261">
        <f t="shared" si="179"/>
        <v>28698</v>
      </c>
      <c r="AL43" s="261">
        <f t="shared" si="179"/>
        <v>42644</v>
      </c>
      <c r="AM43" s="412"/>
      <c r="AN43" s="412"/>
      <c r="AO43" s="412"/>
      <c r="AP43" s="261">
        <f t="shared" ref="AP43:AR43" si="823">L43+AA43</f>
        <v>13946</v>
      </c>
      <c r="AQ43" s="261">
        <f t="shared" si="823"/>
        <v>28698</v>
      </c>
      <c r="AR43" s="261">
        <f t="shared" si="823"/>
        <v>42644</v>
      </c>
      <c r="AS43" s="411">
        <f t="shared" si="180"/>
        <v>0.87512550200803207</v>
      </c>
      <c r="AT43" s="411">
        <f t="shared" si="180"/>
        <v>0.70743972785090958</v>
      </c>
      <c r="AU43" s="411">
        <f t="shared" si="180"/>
        <v>0.75473434568687836</v>
      </c>
      <c r="AV43" s="409">
        <v>348</v>
      </c>
      <c r="AW43" s="409">
        <v>568</v>
      </c>
      <c r="AX43" s="409">
        <f t="shared" ref="AX43:AX50" si="824">AV43+AW43</f>
        <v>916</v>
      </c>
      <c r="AY43" s="409">
        <v>277</v>
      </c>
      <c r="AZ43" s="409">
        <v>377</v>
      </c>
      <c r="BA43" s="409">
        <f t="shared" ref="BA43:BA50" si="825">AY43+AZ43</f>
        <v>654</v>
      </c>
      <c r="BB43" s="410"/>
      <c r="BC43" s="410"/>
      <c r="BD43" s="410"/>
      <c r="BE43" s="97">
        <f t="shared" ref="BE43:BE50" si="826">AY43+BB43</f>
        <v>277</v>
      </c>
      <c r="BF43" s="98">
        <f t="shared" ref="BF43:BF50" si="827">AZ43+BC43</f>
        <v>377</v>
      </c>
      <c r="BG43" s="98">
        <f t="shared" ref="BG43:BG50" si="828">BA43+BD43</f>
        <v>654</v>
      </c>
      <c r="BH43" s="411">
        <f t="shared" ref="BH43:BH51" si="829">BE43/AV43</f>
        <v>0.79597701149425293</v>
      </c>
      <c r="BI43" s="411">
        <f t="shared" ref="BI43:BI51" si="830">BF43/AW43</f>
        <v>0.66373239436619713</v>
      </c>
      <c r="BJ43" s="411">
        <f t="shared" ref="BJ43:BJ51" si="831">BG43/AX43</f>
        <v>0.71397379912663761</v>
      </c>
      <c r="BK43" s="409">
        <v>91</v>
      </c>
      <c r="BL43" s="409">
        <v>75</v>
      </c>
      <c r="BM43" s="409">
        <f t="shared" ref="BM43:BM50" si="832">BK43+BL43</f>
        <v>166</v>
      </c>
      <c r="BN43" s="409">
        <v>76</v>
      </c>
      <c r="BO43" s="409">
        <v>66</v>
      </c>
      <c r="BP43" s="409">
        <f t="shared" ref="BP43:BP50" si="833">BN43+BO43</f>
        <v>142</v>
      </c>
      <c r="BQ43" s="410"/>
      <c r="BR43" s="410"/>
      <c r="BS43" s="410"/>
      <c r="BT43" s="97">
        <f t="shared" ref="BT43:BT50" si="834">BN43+BQ43</f>
        <v>76</v>
      </c>
      <c r="BU43" s="98">
        <f t="shared" ref="BU43:BU50" si="835">BO43+BR43</f>
        <v>66</v>
      </c>
      <c r="BV43" s="98">
        <f t="shared" ref="BV43:BV50" si="836">BP43+BS43</f>
        <v>142</v>
      </c>
      <c r="BW43" s="411">
        <f t="shared" ref="BW43:BW51" si="837">BT43/BK43</f>
        <v>0.8351648351648352</v>
      </c>
      <c r="BX43" s="411">
        <f t="shared" ref="BX43:BX51" si="838">BU43/BL43</f>
        <v>0.88</v>
      </c>
      <c r="BY43" s="411">
        <f t="shared" ref="BY43:BY51" si="839">BV43/BM43</f>
        <v>0.85542168674698793</v>
      </c>
      <c r="BZ43" s="98">
        <f t="shared" si="545"/>
        <v>439</v>
      </c>
      <c r="CA43" s="98">
        <f t="shared" si="545"/>
        <v>643</v>
      </c>
      <c r="CB43" s="98">
        <f t="shared" si="545"/>
        <v>1082</v>
      </c>
      <c r="CC43" s="261">
        <f t="shared" si="545"/>
        <v>353</v>
      </c>
      <c r="CD43" s="261">
        <f t="shared" si="545"/>
        <v>443</v>
      </c>
      <c r="CE43" s="261">
        <f t="shared" si="545"/>
        <v>796</v>
      </c>
      <c r="CF43" s="412"/>
      <c r="CG43" s="412"/>
      <c r="CH43" s="412"/>
      <c r="CI43" s="261">
        <f t="shared" si="545"/>
        <v>353</v>
      </c>
      <c r="CJ43" s="261">
        <f t="shared" si="545"/>
        <v>443</v>
      </c>
      <c r="CK43" s="261">
        <f t="shared" si="545"/>
        <v>796</v>
      </c>
      <c r="CL43" s="411">
        <f t="shared" si="761"/>
        <v>0.80410022779043278</v>
      </c>
      <c r="CM43" s="411">
        <f t="shared" si="761"/>
        <v>0.68895800933125972</v>
      </c>
      <c r="CN43" s="411">
        <f t="shared" si="761"/>
        <v>0.73567467652495377</v>
      </c>
      <c r="CO43" s="409">
        <v>109</v>
      </c>
      <c r="CP43" s="409">
        <v>188</v>
      </c>
      <c r="CQ43" s="409">
        <f t="shared" ref="CQ43:CQ50" si="840">CO43+CP43</f>
        <v>297</v>
      </c>
      <c r="CR43" s="409">
        <v>89</v>
      </c>
      <c r="CS43" s="409">
        <v>108</v>
      </c>
      <c r="CT43" s="409">
        <f t="shared" ref="CT43:CT50" si="841">CR43+CS43</f>
        <v>197</v>
      </c>
      <c r="CU43" s="410"/>
      <c r="CV43" s="410"/>
      <c r="CW43" s="410"/>
      <c r="CX43" s="97">
        <f t="shared" ref="CX43:CX50" si="842">CR43+CU43</f>
        <v>89</v>
      </c>
      <c r="CY43" s="98">
        <f t="shared" ref="CY43:CY48" si="843">CS43+CV43</f>
        <v>108</v>
      </c>
      <c r="CZ43" s="98">
        <f t="shared" ref="CZ43:CZ50" si="844">CT43+CW43</f>
        <v>197</v>
      </c>
      <c r="DA43" s="411">
        <f t="shared" ref="DA43:DA51" si="845">CX43/CO43</f>
        <v>0.8165137614678899</v>
      </c>
      <c r="DB43" s="411">
        <f t="shared" ref="DB43:DB48" si="846">CY43/CP43</f>
        <v>0.57446808510638303</v>
      </c>
      <c r="DC43" s="411">
        <f t="shared" ref="DC43:DC51" si="847">CZ43/CQ43</f>
        <v>0.66329966329966328</v>
      </c>
      <c r="DD43" s="409">
        <v>20</v>
      </c>
      <c r="DE43" s="409">
        <v>25</v>
      </c>
      <c r="DF43" s="409">
        <f t="shared" ref="DF43:DF50" si="848">DD43+DE43</f>
        <v>45</v>
      </c>
      <c r="DG43" s="409">
        <v>18</v>
      </c>
      <c r="DH43" s="409">
        <v>20</v>
      </c>
      <c r="DI43" s="409">
        <f t="shared" ref="DI43:DI50" si="849">DG43+DH43</f>
        <v>38</v>
      </c>
      <c r="DJ43" s="410"/>
      <c r="DK43" s="410"/>
      <c r="DL43" s="410"/>
      <c r="DM43" s="97">
        <f t="shared" ref="DM43:DM50" si="850">DG43+DJ43</f>
        <v>18</v>
      </c>
      <c r="DN43" s="98">
        <f t="shared" ref="DN43" si="851">DH43+DK43</f>
        <v>20</v>
      </c>
      <c r="DO43" s="98">
        <f t="shared" ref="DO43:DO50" si="852">DI43+DL43</f>
        <v>38</v>
      </c>
      <c r="DP43" s="411">
        <f t="shared" ref="DP43:DP51" si="853">DM43/DD43</f>
        <v>0.9</v>
      </c>
      <c r="DQ43" s="411">
        <f t="shared" ref="DQ43" si="854">DN43/DE43</f>
        <v>0.8</v>
      </c>
      <c r="DR43" s="411">
        <f t="shared" ref="DR43:DR51" si="855">DO43/DF43</f>
        <v>0.84444444444444444</v>
      </c>
      <c r="DS43" s="98">
        <f t="shared" si="474"/>
        <v>129</v>
      </c>
      <c r="DT43" s="98">
        <f t="shared" si="474"/>
        <v>213</v>
      </c>
      <c r="DU43" s="261">
        <f t="shared" si="474"/>
        <v>342</v>
      </c>
      <c r="DV43" s="261">
        <f t="shared" si="474"/>
        <v>107</v>
      </c>
      <c r="DW43" s="261">
        <f t="shared" si="474"/>
        <v>128</v>
      </c>
      <c r="DX43" s="261">
        <f t="shared" si="474"/>
        <v>235</v>
      </c>
      <c r="DY43" s="412"/>
      <c r="DZ43" s="412"/>
      <c r="EA43" s="412"/>
      <c r="EB43" s="261">
        <f t="shared" si="192"/>
        <v>107</v>
      </c>
      <c r="EC43" s="261">
        <f t="shared" si="192"/>
        <v>128</v>
      </c>
      <c r="ED43" s="261">
        <f t="shared" si="192"/>
        <v>235</v>
      </c>
      <c r="EE43" s="411">
        <f t="shared" si="770"/>
        <v>0.8294573643410853</v>
      </c>
      <c r="EF43" s="411">
        <f t="shared" si="193"/>
        <v>0.60093896713615025</v>
      </c>
      <c r="EG43" s="411">
        <f t="shared" si="193"/>
        <v>0.6871345029239766</v>
      </c>
      <c r="EH43" s="409">
        <v>4324</v>
      </c>
      <c r="EI43" s="409">
        <v>10229</v>
      </c>
      <c r="EJ43" s="409">
        <f t="shared" ref="EJ43:EJ50" si="856">EH43+EI43</f>
        <v>14553</v>
      </c>
      <c r="EK43" s="409">
        <v>3773</v>
      </c>
      <c r="EL43" s="409">
        <v>7841</v>
      </c>
      <c r="EM43" s="409">
        <f t="shared" ref="EM43:EM50" si="857">EK43+EL43</f>
        <v>11614</v>
      </c>
      <c r="EN43" s="410"/>
      <c r="EO43" s="410"/>
      <c r="EP43" s="410"/>
      <c r="EQ43" s="97">
        <f t="shared" ref="EQ43:EQ50" si="858">EK43+EN43</f>
        <v>3773</v>
      </c>
      <c r="ER43" s="98">
        <f t="shared" ref="ER43:ER50" si="859">EL43+EO43</f>
        <v>7841</v>
      </c>
      <c r="ES43" s="98">
        <f t="shared" ref="ES43:ES50" si="860">EM43+EP43</f>
        <v>11614</v>
      </c>
      <c r="ET43" s="411">
        <f t="shared" ref="ET43:ET51" si="861">EQ43/EH43</f>
        <v>0.87257169287696579</v>
      </c>
      <c r="EU43" s="411">
        <f t="shared" ref="EU43:EU51" si="862">ER43/EI43</f>
        <v>0.76654609443738386</v>
      </c>
      <c r="EV43" s="411">
        <f t="shared" ref="EV43:EV51" si="863">ES43/EJ43</f>
        <v>0.79804851233422658</v>
      </c>
      <c r="EW43" s="409">
        <v>139</v>
      </c>
      <c r="EX43" s="409">
        <v>59</v>
      </c>
      <c r="EY43" s="409">
        <f t="shared" ref="EY43:EY50" si="864">EW43+EX43</f>
        <v>198</v>
      </c>
      <c r="EZ43" s="409">
        <v>126</v>
      </c>
      <c r="FA43" s="409">
        <v>52</v>
      </c>
      <c r="FB43" s="409">
        <f t="shared" ref="FB43:FB50" si="865">EZ43+FA43</f>
        <v>178</v>
      </c>
      <c r="FC43" s="410"/>
      <c r="FD43" s="410"/>
      <c r="FE43" s="410"/>
      <c r="FF43" s="97">
        <f t="shared" ref="FF43:FF50" si="866">EZ43+FC43</f>
        <v>126</v>
      </c>
      <c r="FG43" s="98">
        <f t="shared" ref="FG43" si="867">FA43+FD43</f>
        <v>52</v>
      </c>
      <c r="FH43" s="98">
        <f t="shared" ref="FH43:FH50" si="868">FB43+FE43</f>
        <v>178</v>
      </c>
      <c r="FI43" s="411">
        <f t="shared" ref="FI43:FI51" si="869">FF43/EW43</f>
        <v>0.90647482014388492</v>
      </c>
      <c r="FJ43" s="411">
        <f t="shared" ref="FJ43:FJ51" si="870">FG43/EX43</f>
        <v>0.88135593220338981</v>
      </c>
      <c r="FK43" s="411">
        <f t="shared" ref="FK43:FK51" si="871">FH43/EY43</f>
        <v>0.89898989898989901</v>
      </c>
      <c r="FL43" s="98">
        <f>EH43+EW43</f>
        <v>4463</v>
      </c>
      <c r="FM43" s="98">
        <f t="shared" si="453"/>
        <v>10288</v>
      </c>
      <c r="FN43" s="261">
        <f t="shared" si="454"/>
        <v>14751</v>
      </c>
      <c r="FO43" s="261">
        <f t="shared" si="455"/>
        <v>3899</v>
      </c>
      <c r="FP43" s="261">
        <f t="shared" si="456"/>
        <v>7893</v>
      </c>
      <c r="FQ43" s="261">
        <f t="shared" si="457"/>
        <v>11792</v>
      </c>
      <c r="FR43" s="412"/>
      <c r="FS43" s="412"/>
      <c r="FT43" s="412"/>
      <c r="FU43" s="261">
        <f t="shared" ref="FU43" si="872">EQ43+FF43</f>
        <v>3899</v>
      </c>
      <c r="FV43" s="261">
        <f t="shared" ref="FV43" si="873">ER43+FG43</f>
        <v>7893</v>
      </c>
      <c r="FW43" s="261">
        <f t="shared" ref="FW43" si="874">ES43+FH43</f>
        <v>11792</v>
      </c>
      <c r="FX43" s="411">
        <f t="shared" ref="FX43" si="875">FU43/FL43</f>
        <v>0.8736276047501681</v>
      </c>
      <c r="FY43" s="411">
        <f t="shared" ref="FY43" si="876">FV43/FM43</f>
        <v>0.7672045101088647</v>
      </c>
      <c r="FZ43" s="411">
        <f t="shared" ref="FZ43" si="877">FW43/FN43</f>
        <v>0.79940343027591354</v>
      </c>
      <c r="GA43" s="261">
        <f t="shared" si="207"/>
        <v>13946</v>
      </c>
      <c r="GB43" s="261">
        <f t="shared" si="207"/>
        <v>28698</v>
      </c>
      <c r="GC43" s="261">
        <f t="shared" si="207"/>
        <v>42644</v>
      </c>
      <c r="GD43" s="261">
        <v>1518</v>
      </c>
      <c r="GE43" s="261">
        <v>2013</v>
      </c>
      <c r="GF43" s="261">
        <f t="shared" si="208"/>
        <v>3531</v>
      </c>
      <c r="GG43" s="100">
        <f t="shared" si="641"/>
        <v>10.884841531621971</v>
      </c>
      <c r="GH43" s="413">
        <f t="shared" si="641"/>
        <v>7.0144260924106208</v>
      </c>
      <c r="GI43" s="413">
        <f t="shared" si="641"/>
        <v>8.2801800956758278</v>
      </c>
      <c r="GJ43" s="261">
        <f t="shared" si="210"/>
        <v>353</v>
      </c>
      <c r="GK43" s="261">
        <f t="shared" si="210"/>
        <v>443</v>
      </c>
      <c r="GL43" s="261">
        <f t="shared" si="210"/>
        <v>796</v>
      </c>
      <c r="GM43" s="261">
        <v>12</v>
      </c>
      <c r="GN43" s="261">
        <v>10</v>
      </c>
      <c r="GO43" s="261">
        <f t="shared" si="211"/>
        <v>22</v>
      </c>
      <c r="GP43" s="413">
        <f t="shared" si="642"/>
        <v>3.3994334277620397</v>
      </c>
      <c r="GQ43" s="413">
        <f t="shared" si="642"/>
        <v>2.2573363431151243</v>
      </c>
      <c r="GR43" s="413">
        <f t="shared" si="642"/>
        <v>2.7638190954773871</v>
      </c>
      <c r="GS43" s="261">
        <f t="shared" si="213"/>
        <v>107</v>
      </c>
      <c r="GT43" s="261">
        <f t="shared" si="213"/>
        <v>128</v>
      </c>
      <c r="GU43" s="261">
        <f t="shared" si="213"/>
        <v>235</v>
      </c>
      <c r="GV43" s="261">
        <v>4</v>
      </c>
      <c r="GW43" s="261">
        <v>5</v>
      </c>
      <c r="GX43" s="261">
        <f t="shared" si="214"/>
        <v>9</v>
      </c>
      <c r="GY43" s="413">
        <f t="shared" si="643"/>
        <v>3.7383177570093458</v>
      </c>
      <c r="GZ43" s="413">
        <f t="shared" si="643"/>
        <v>3.90625</v>
      </c>
      <c r="HA43" s="413">
        <f t="shared" si="643"/>
        <v>3.8297872340425534</v>
      </c>
      <c r="HB43" s="98">
        <f t="shared" si="167"/>
        <v>3899</v>
      </c>
      <c r="HC43" s="98">
        <f t="shared" si="168"/>
        <v>7893</v>
      </c>
      <c r="HD43" s="98">
        <f t="shared" si="169"/>
        <v>11792</v>
      </c>
      <c r="HE43" s="261">
        <v>504</v>
      </c>
      <c r="HF43" s="261">
        <v>581</v>
      </c>
      <c r="HG43" s="261">
        <f t="shared" ref="HG43" si="878">HE43+HF43</f>
        <v>1085</v>
      </c>
      <c r="HH43" s="413">
        <f t="shared" ref="HH43" si="879">+HE43*100/HB43</f>
        <v>12.926391382405745</v>
      </c>
      <c r="HI43" s="413">
        <f t="shared" ref="HI43" si="880">+HF43*100/HC43</f>
        <v>7.3609527429367798</v>
      </c>
      <c r="HJ43" s="413">
        <f t="shared" ref="HJ43" si="881">+HG43*100/HD43</f>
        <v>9.2011533242876524</v>
      </c>
    </row>
    <row r="44" spans="1:220" s="363" customFormat="1" ht="28.5">
      <c r="A44" s="420">
        <v>36</v>
      </c>
      <c r="B44" s="118" t="s">
        <v>408</v>
      </c>
      <c r="C44" s="96">
        <v>1485</v>
      </c>
      <c r="D44" s="96">
        <v>785</v>
      </c>
      <c r="E44" s="96">
        <f t="shared" si="176"/>
        <v>2270</v>
      </c>
      <c r="F44" s="96">
        <v>1258</v>
      </c>
      <c r="G44" s="96">
        <v>667</v>
      </c>
      <c r="H44" s="96">
        <f t="shared" si="177"/>
        <v>1925</v>
      </c>
      <c r="I44" s="96">
        <v>5</v>
      </c>
      <c r="J44" s="403"/>
      <c r="K44" s="96">
        <f>I44+J44</f>
        <v>5</v>
      </c>
      <c r="L44" s="97">
        <f t="shared" si="648"/>
        <v>1263</v>
      </c>
      <c r="M44" s="98">
        <f t="shared" si="648"/>
        <v>667</v>
      </c>
      <c r="N44" s="98">
        <f t="shared" si="648"/>
        <v>1930</v>
      </c>
      <c r="O44" s="116">
        <f t="shared" si="814"/>
        <v>0.85050505050505054</v>
      </c>
      <c r="P44" s="116">
        <f t="shared" si="814"/>
        <v>0.84968152866242042</v>
      </c>
      <c r="Q44" s="116">
        <f t="shared" si="814"/>
        <v>0.85022026431718056</v>
      </c>
      <c r="R44" s="96">
        <v>4</v>
      </c>
      <c r="S44" s="403"/>
      <c r="T44" s="96">
        <f t="shared" si="815"/>
        <v>4</v>
      </c>
      <c r="U44" s="96">
        <v>4</v>
      </c>
      <c r="V44" s="403"/>
      <c r="W44" s="96">
        <f t="shared" si="816"/>
        <v>4</v>
      </c>
      <c r="X44" s="403"/>
      <c r="Y44" s="403"/>
      <c r="Z44" s="403"/>
      <c r="AA44" s="97">
        <f t="shared" si="817"/>
        <v>4</v>
      </c>
      <c r="AB44" s="404"/>
      <c r="AC44" s="98">
        <f t="shared" si="819"/>
        <v>4</v>
      </c>
      <c r="AD44" s="116">
        <f t="shared" si="820"/>
        <v>1</v>
      </c>
      <c r="AE44" s="405"/>
      <c r="AF44" s="116">
        <f t="shared" si="822"/>
        <v>1</v>
      </c>
      <c r="AG44" s="98">
        <f t="shared" ref="AG44:AR50" si="882">C44+R44</f>
        <v>1489</v>
      </c>
      <c r="AH44" s="98">
        <f t="shared" si="882"/>
        <v>785</v>
      </c>
      <c r="AI44" s="98">
        <f t="shared" si="882"/>
        <v>2274</v>
      </c>
      <c r="AJ44" s="98">
        <f t="shared" si="882"/>
        <v>1262</v>
      </c>
      <c r="AK44" s="98">
        <f t="shared" si="882"/>
        <v>667</v>
      </c>
      <c r="AL44" s="98">
        <f t="shared" si="882"/>
        <v>1929</v>
      </c>
      <c r="AM44" s="98">
        <f t="shared" si="882"/>
        <v>5</v>
      </c>
      <c r="AN44" s="404"/>
      <c r="AO44" s="98">
        <f t="shared" si="882"/>
        <v>5</v>
      </c>
      <c r="AP44" s="98">
        <f t="shared" si="882"/>
        <v>1267</v>
      </c>
      <c r="AQ44" s="98">
        <f t="shared" si="882"/>
        <v>667</v>
      </c>
      <c r="AR44" s="98">
        <f t="shared" si="882"/>
        <v>1934</v>
      </c>
      <c r="AS44" s="116">
        <f t="shared" ref="AS44:AU48" si="883">AP44/AG44</f>
        <v>0.85090664875755539</v>
      </c>
      <c r="AT44" s="116">
        <f t="shared" si="883"/>
        <v>0.84968152866242042</v>
      </c>
      <c r="AU44" s="116">
        <f t="shared" si="883"/>
        <v>0.85048372911169745</v>
      </c>
      <c r="AV44" s="403"/>
      <c r="AW44" s="403"/>
      <c r="AX44" s="403"/>
      <c r="AY44" s="403"/>
      <c r="AZ44" s="403"/>
      <c r="BA44" s="403"/>
      <c r="BB44" s="403"/>
      <c r="BC44" s="403"/>
      <c r="BD44" s="403"/>
      <c r="BE44" s="404"/>
      <c r="BF44" s="404"/>
      <c r="BG44" s="404"/>
      <c r="BH44" s="405"/>
      <c r="BI44" s="405"/>
      <c r="BJ44" s="405"/>
      <c r="BK44" s="403"/>
      <c r="BL44" s="403"/>
      <c r="BM44" s="403"/>
      <c r="BN44" s="403"/>
      <c r="BO44" s="403"/>
      <c r="BP44" s="403"/>
      <c r="BQ44" s="403"/>
      <c r="BR44" s="403"/>
      <c r="BS44" s="403"/>
      <c r="BT44" s="404"/>
      <c r="BU44" s="404"/>
      <c r="BV44" s="404"/>
      <c r="BW44" s="405"/>
      <c r="BX44" s="405"/>
      <c r="BY44" s="405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12"/>
      <c r="CM44" s="112"/>
      <c r="CN44" s="112"/>
      <c r="CO44" s="403"/>
      <c r="CP44" s="403"/>
      <c r="CQ44" s="403"/>
      <c r="CR44" s="403"/>
      <c r="CS44" s="403"/>
      <c r="CT44" s="403"/>
      <c r="CU44" s="403"/>
      <c r="CV44" s="403"/>
      <c r="CW44" s="403"/>
      <c r="CX44" s="404"/>
      <c r="CY44" s="404"/>
      <c r="CZ44" s="404"/>
      <c r="DA44" s="405"/>
      <c r="DB44" s="405"/>
      <c r="DC44" s="405"/>
      <c r="DD44" s="403"/>
      <c r="DE44" s="403"/>
      <c r="DF44" s="403"/>
      <c r="DG44" s="403"/>
      <c r="DH44" s="403"/>
      <c r="DI44" s="403"/>
      <c r="DJ44" s="403"/>
      <c r="DK44" s="403"/>
      <c r="DL44" s="403"/>
      <c r="DM44" s="404"/>
      <c r="DN44" s="404"/>
      <c r="DO44" s="404"/>
      <c r="DP44" s="405"/>
      <c r="DQ44" s="405"/>
      <c r="DR44" s="405"/>
      <c r="DS44" s="404"/>
      <c r="DT44" s="404"/>
      <c r="DU44" s="404"/>
      <c r="DV44" s="103"/>
      <c r="DW44" s="103"/>
      <c r="DX44" s="103"/>
      <c r="DY44" s="103"/>
      <c r="DZ44" s="103"/>
      <c r="EA44" s="103"/>
      <c r="EB44" s="103"/>
      <c r="EC44" s="103"/>
      <c r="ED44" s="103"/>
      <c r="EE44" s="112"/>
      <c r="EF44" s="112"/>
      <c r="EG44" s="112"/>
      <c r="EH44" s="403"/>
      <c r="EI44" s="403"/>
      <c r="EJ44" s="403"/>
      <c r="EK44" s="403"/>
      <c r="EL44" s="403"/>
      <c r="EM44" s="403"/>
      <c r="EN44" s="403"/>
      <c r="EO44" s="403"/>
      <c r="EP44" s="403"/>
      <c r="EQ44" s="404"/>
      <c r="ER44" s="404"/>
      <c r="ES44" s="404"/>
      <c r="ET44" s="405"/>
      <c r="EU44" s="405"/>
      <c r="EV44" s="405"/>
      <c r="EW44" s="403"/>
      <c r="EX44" s="403"/>
      <c r="EY44" s="403"/>
      <c r="EZ44" s="403"/>
      <c r="FA44" s="403"/>
      <c r="FB44" s="403"/>
      <c r="FC44" s="403"/>
      <c r="FD44" s="403"/>
      <c r="FE44" s="403"/>
      <c r="FF44" s="404"/>
      <c r="FG44" s="404"/>
      <c r="FH44" s="404"/>
      <c r="FI44" s="405"/>
      <c r="FJ44" s="405"/>
      <c r="FK44" s="405"/>
      <c r="FL44" s="404"/>
      <c r="FM44" s="404"/>
      <c r="FN44" s="404"/>
      <c r="FO44" s="404"/>
      <c r="FP44" s="404"/>
      <c r="FQ44" s="404"/>
      <c r="FR44" s="404"/>
      <c r="FS44" s="404"/>
      <c r="FT44" s="404"/>
      <c r="FU44" s="404"/>
      <c r="FV44" s="404"/>
      <c r="FW44" s="404"/>
      <c r="FX44" s="405"/>
      <c r="FY44" s="405"/>
      <c r="FZ44" s="405"/>
      <c r="GA44" s="98">
        <f t="shared" ref="GA44:GC50" si="884">+AP44</f>
        <v>1267</v>
      </c>
      <c r="GB44" s="98">
        <f t="shared" si="884"/>
        <v>667</v>
      </c>
      <c r="GC44" s="261">
        <f t="shared" si="207"/>
        <v>1934</v>
      </c>
      <c r="GD44" s="103"/>
      <c r="GE44" s="103"/>
      <c r="GF44" s="103"/>
      <c r="GG44" s="110"/>
      <c r="GH44" s="110"/>
      <c r="GI44" s="110"/>
      <c r="GJ44" s="103"/>
      <c r="GK44" s="103"/>
      <c r="GL44" s="103"/>
      <c r="GM44" s="103"/>
      <c r="GN44" s="103"/>
      <c r="GO44" s="103"/>
      <c r="GP44" s="110"/>
      <c r="GQ44" s="110"/>
      <c r="GR44" s="110"/>
      <c r="GS44" s="103"/>
      <c r="GT44" s="103"/>
      <c r="GU44" s="103"/>
      <c r="GV44" s="103"/>
      <c r="GW44" s="103"/>
      <c r="GX44" s="103"/>
      <c r="GY44" s="110"/>
      <c r="GZ44" s="110"/>
      <c r="HA44" s="110"/>
      <c r="HB44" s="404"/>
      <c r="HC44" s="404"/>
      <c r="HD44" s="404"/>
      <c r="HE44" s="103"/>
      <c r="HF44" s="103"/>
      <c r="HG44" s="103"/>
      <c r="HH44" s="110"/>
      <c r="HI44" s="110"/>
      <c r="HJ44" s="110"/>
    </row>
    <row r="45" spans="1:220" s="363" customFormat="1" ht="42.75">
      <c r="A45" s="420">
        <v>37</v>
      </c>
      <c r="B45" s="118" t="s">
        <v>132</v>
      </c>
      <c r="C45" s="96">
        <v>926</v>
      </c>
      <c r="D45" s="96">
        <v>730</v>
      </c>
      <c r="E45" s="96">
        <f t="shared" si="176"/>
        <v>1656</v>
      </c>
      <c r="F45" s="96">
        <v>755</v>
      </c>
      <c r="G45" s="96">
        <v>667</v>
      </c>
      <c r="H45" s="96">
        <f t="shared" si="177"/>
        <v>1422</v>
      </c>
      <c r="I45" s="96">
        <v>62</v>
      </c>
      <c r="J45" s="96">
        <v>36</v>
      </c>
      <c r="K45" s="96">
        <f>I45+J45</f>
        <v>98</v>
      </c>
      <c r="L45" s="97">
        <f t="shared" si="648"/>
        <v>817</v>
      </c>
      <c r="M45" s="98">
        <f t="shared" si="648"/>
        <v>703</v>
      </c>
      <c r="N45" s="98">
        <f t="shared" si="648"/>
        <v>1520</v>
      </c>
      <c r="O45" s="116">
        <f t="shared" si="814"/>
        <v>0.8822894168466523</v>
      </c>
      <c r="P45" s="116">
        <f t="shared" si="814"/>
        <v>0.96301369863013697</v>
      </c>
      <c r="Q45" s="116">
        <f t="shared" si="814"/>
        <v>0.91787439613526567</v>
      </c>
      <c r="R45" s="403"/>
      <c r="S45" s="96">
        <v>329</v>
      </c>
      <c r="T45" s="96">
        <f t="shared" si="815"/>
        <v>329</v>
      </c>
      <c r="U45" s="403"/>
      <c r="V45" s="96">
        <v>160</v>
      </c>
      <c r="W45" s="96">
        <f t="shared" si="816"/>
        <v>160</v>
      </c>
      <c r="X45" s="403"/>
      <c r="Y45" s="96">
        <v>58</v>
      </c>
      <c r="Z45" s="96">
        <f>X45+Y45</f>
        <v>58</v>
      </c>
      <c r="AA45" s="404"/>
      <c r="AB45" s="98">
        <f t="shared" si="818"/>
        <v>218</v>
      </c>
      <c r="AC45" s="98">
        <f t="shared" si="819"/>
        <v>218</v>
      </c>
      <c r="AD45" s="405"/>
      <c r="AE45" s="116">
        <f t="shared" si="821"/>
        <v>0.66261398176291797</v>
      </c>
      <c r="AF45" s="116">
        <f t="shared" si="822"/>
        <v>0.66261398176291797</v>
      </c>
      <c r="AG45" s="98">
        <f t="shared" si="882"/>
        <v>926</v>
      </c>
      <c r="AH45" s="98">
        <f t="shared" si="882"/>
        <v>1059</v>
      </c>
      <c r="AI45" s="98">
        <f t="shared" si="882"/>
        <v>1985</v>
      </c>
      <c r="AJ45" s="98">
        <f t="shared" si="882"/>
        <v>755</v>
      </c>
      <c r="AK45" s="98">
        <f t="shared" si="882"/>
        <v>827</v>
      </c>
      <c r="AL45" s="98">
        <f t="shared" si="882"/>
        <v>1582</v>
      </c>
      <c r="AM45" s="98">
        <f t="shared" si="882"/>
        <v>62</v>
      </c>
      <c r="AN45" s="98">
        <f t="shared" si="882"/>
        <v>94</v>
      </c>
      <c r="AO45" s="98">
        <f>K45+Z45</f>
        <v>156</v>
      </c>
      <c r="AP45" s="98">
        <f t="shared" si="882"/>
        <v>817</v>
      </c>
      <c r="AQ45" s="98">
        <f t="shared" si="882"/>
        <v>921</v>
      </c>
      <c r="AR45" s="98">
        <f t="shared" si="882"/>
        <v>1738</v>
      </c>
      <c r="AS45" s="116">
        <f t="shared" si="883"/>
        <v>0.8822894168466523</v>
      </c>
      <c r="AT45" s="116">
        <f t="shared" si="883"/>
        <v>0.86968838526912184</v>
      </c>
      <c r="AU45" s="116">
        <f t="shared" si="883"/>
        <v>0.87556675062972289</v>
      </c>
      <c r="AV45" s="96">
        <v>11</v>
      </c>
      <c r="AW45" s="96">
        <v>6</v>
      </c>
      <c r="AX45" s="96">
        <f t="shared" si="824"/>
        <v>17</v>
      </c>
      <c r="AY45" s="96">
        <v>10</v>
      </c>
      <c r="AZ45" s="96">
        <v>5</v>
      </c>
      <c r="BA45" s="96">
        <f t="shared" si="825"/>
        <v>15</v>
      </c>
      <c r="BB45" s="403"/>
      <c r="BC45" s="403"/>
      <c r="BD45" s="403"/>
      <c r="BE45" s="97">
        <f t="shared" si="826"/>
        <v>10</v>
      </c>
      <c r="BF45" s="98">
        <f t="shared" si="827"/>
        <v>5</v>
      </c>
      <c r="BG45" s="98">
        <f t="shared" si="828"/>
        <v>15</v>
      </c>
      <c r="BH45" s="116">
        <f t="shared" si="829"/>
        <v>0.90909090909090906</v>
      </c>
      <c r="BI45" s="116">
        <f t="shared" si="830"/>
        <v>0.83333333333333337</v>
      </c>
      <c r="BJ45" s="116">
        <f t="shared" si="831"/>
        <v>0.88235294117647056</v>
      </c>
      <c r="BK45" s="403"/>
      <c r="BL45" s="403"/>
      <c r="BM45" s="403"/>
      <c r="BN45" s="403"/>
      <c r="BO45" s="403"/>
      <c r="BP45" s="403"/>
      <c r="BQ45" s="403"/>
      <c r="BR45" s="403"/>
      <c r="BS45" s="403"/>
      <c r="BT45" s="404"/>
      <c r="BU45" s="404"/>
      <c r="BV45" s="404"/>
      <c r="BW45" s="405"/>
      <c r="BX45" s="405"/>
      <c r="BY45" s="405"/>
      <c r="BZ45" s="98">
        <f t="shared" ref="BZ45:CH50" si="885">AV45+BK45</f>
        <v>11</v>
      </c>
      <c r="CA45" s="98">
        <f t="shared" si="885"/>
        <v>6</v>
      </c>
      <c r="CB45" s="98">
        <f t="shared" si="885"/>
        <v>17</v>
      </c>
      <c r="CC45" s="98">
        <f t="shared" si="885"/>
        <v>10</v>
      </c>
      <c r="CD45" s="98">
        <f t="shared" si="885"/>
        <v>5</v>
      </c>
      <c r="CE45" s="98">
        <f t="shared" si="885"/>
        <v>15</v>
      </c>
      <c r="CF45" s="103"/>
      <c r="CG45" s="103"/>
      <c r="CH45" s="103"/>
      <c r="CI45" s="98">
        <f t="shared" ref="CI45:CK50" si="886">BE45+BT45</f>
        <v>10</v>
      </c>
      <c r="CJ45" s="98">
        <f t="shared" si="886"/>
        <v>5</v>
      </c>
      <c r="CK45" s="98">
        <f t="shared" si="886"/>
        <v>15</v>
      </c>
      <c r="CL45" s="116">
        <f t="shared" ref="CL45:CN50" si="887">CI45/BZ45</f>
        <v>0.90909090909090906</v>
      </c>
      <c r="CM45" s="116">
        <f t="shared" si="887"/>
        <v>0.83333333333333337</v>
      </c>
      <c r="CN45" s="116">
        <f t="shared" si="887"/>
        <v>0.88235294117647056</v>
      </c>
      <c r="CO45" s="403"/>
      <c r="CP45" s="403"/>
      <c r="CQ45" s="403"/>
      <c r="CR45" s="403"/>
      <c r="CS45" s="403"/>
      <c r="CT45" s="403"/>
      <c r="CU45" s="403"/>
      <c r="CV45" s="403"/>
      <c r="CW45" s="403"/>
      <c r="CX45" s="404"/>
      <c r="CY45" s="404"/>
      <c r="CZ45" s="404"/>
      <c r="DA45" s="405"/>
      <c r="DB45" s="405"/>
      <c r="DC45" s="405"/>
      <c r="DD45" s="403"/>
      <c r="DE45" s="403"/>
      <c r="DF45" s="403"/>
      <c r="DG45" s="403"/>
      <c r="DH45" s="403"/>
      <c r="DI45" s="403"/>
      <c r="DJ45" s="403"/>
      <c r="DK45" s="403"/>
      <c r="DL45" s="403"/>
      <c r="DM45" s="404"/>
      <c r="DN45" s="404"/>
      <c r="DO45" s="404"/>
      <c r="DP45" s="405"/>
      <c r="DQ45" s="405"/>
      <c r="DR45" s="405"/>
      <c r="DS45" s="404"/>
      <c r="DT45" s="404"/>
      <c r="DU45" s="404"/>
      <c r="DV45" s="103"/>
      <c r="DW45" s="103"/>
      <c r="DX45" s="103"/>
      <c r="DY45" s="103"/>
      <c r="DZ45" s="103"/>
      <c r="EA45" s="103"/>
      <c r="EB45" s="103"/>
      <c r="EC45" s="103"/>
      <c r="ED45" s="103"/>
      <c r="EE45" s="112"/>
      <c r="EF45" s="112"/>
      <c r="EG45" s="112"/>
      <c r="EH45" s="96">
        <v>312</v>
      </c>
      <c r="EI45" s="96">
        <v>222</v>
      </c>
      <c r="EJ45" s="96">
        <f t="shared" si="856"/>
        <v>534</v>
      </c>
      <c r="EK45" s="96">
        <v>311</v>
      </c>
      <c r="EL45" s="96">
        <v>221</v>
      </c>
      <c r="EM45" s="96">
        <f t="shared" si="857"/>
        <v>532</v>
      </c>
      <c r="EN45" s="403"/>
      <c r="EO45" s="403"/>
      <c r="EP45" s="403"/>
      <c r="EQ45" s="97">
        <f t="shared" si="858"/>
        <v>311</v>
      </c>
      <c r="ER45" s="98">
        <f t="shared" si="859"/>
        <v>221</v>
      </c>
      <c r="ES45" s="98">
        <f t="shared" si="860"/>
        <v>532</v>
      </c>
      <c r="ET45" s="116">
        <f t="shared" si="861"/>
        <v>0.99679487179487181</v>
      </c>
      <c r="EU45" s="116">
        <f t="shared" si="862"/>
        <v>0.99549549549549554</v>
      </c>
      <c r="EV45" s="116">
        <f t="shared" si="863"/>
        <v>0.99625468164794007</v>
      </c>
      <c r="EW45" s="403"/>
      <c r="EX45" s="403"/>
      <c r="EY45" s="403"/>
      <c r="EZ45" s="403"/>
      <c r="FA45" s="403"/>
      <c r="FB45" s="403"/>
      <c r="FC45" s="403"/>
      <c r="FD45" s="403"/>
      <c r="FE45" s="403"/>
      <c r="FF45" s="404"/>
      <c r="FG45" s="404"/>
      <c r="FH45" s="404"/>
      <c r="FI45" s="405"/>
      <c r="FJ45" s="405"/>
      <c r="FK45" s="405"/>
      <c r="FL45" s="98">
        <f>EH45+EW45</f>
        <v>312</v>
      </c>
      <c r="FM45" s="98">
        <f t="shared" ref="FM45" si="888">EI45+EX45</f>
        <v>222</v>
      </c>
      <c r="FN45" s="261">
        <f t="shared" ref="FN45" si="889">EJ45+EY45</f>
        <v>534</v>
      </c>
      <c r="FO45" s="261">
        <f t="shared" ref="FO45" si="890">EK45+EZ45</f>
        <v>311</v>
      </c>
      <c r="FP45" s="261">
        <f t="shared" ref="FP45" si="891">EL45+FA45</f>
        <v>221</v>
      </c>
      <c r="FQ45" s="261">
        <f t="shared" ref="FQ45" si="892">EM45+FB45</f>
        <v>532</v>
      </c>
      <c r="FR45" s="412"/>
      <c r="FS45" s="412"/>
      <c r="FT45" s="412"/>
      <c r="FU45" s="261">
        <f t="shared" ref="FU45" si="893">EQ45+FF45</f>
        <v>311</v>
      </c>
      <c r="FV45" s="261">
        <f t="shared" ref="FV45" si="894">ER45+FG45</f>
        <v>221</v>
      </c>
      <c r="FW45" s="261">
        <f t="shared" ref="FW45" si="895">ES45+FH45</f>
        <v>532</v>
      </c>
      <c r="FX45" s="411">
        <f t="shared" ref="FX45" si="896">FU45/FL45</f>
        <v>0.99679487179487181</v>
      </c>
      <c r="FY45" s="411">
        <f t="shared" ref="FY45" si="897">FV45/FM45</f>
        <v>0.99549549549549554</v>
      </c>
      <c r="FZ45" s="411">
        <f t="shared" ref="FZ45" si="898">FW45/FN45</f>
        <v>0.99625468164794007</v>
      </c>
      <c r="GA45" s="98">
        <f t="shared" si="884"/>
        <v>817</v>
      </c>
      <c r="GB45" s="98">
        <f t="shared" si="884"/>
        <v>921</v>
      </c>
      <c r="GC45" s="98">
        <f t="shared" si="884"/>
        <v>1738</v>
      </c>
      <c r="GD45" s="98">
        <v>525</v>
      </c>
      <c r="GE45" s="98">
        <v>454</v>
      </c>
      <c r="GF45" s="98">
        <f>GD45+GE45</f>
        <v>979</v>
      </c>
      <c r="GG45" s="100">
        <f>+GD45*100/GA45</f>
        <v>64.25948592411261</v>
      </c>
      <c r="GH45" s="100">
        <f t="shared" ref="GH45:GI45" si="899">+GE45*100/GB45</f>
        <v>49.294245385450594</v>
      </c>
      <c r="GI45" s="100">
        <f t="shared" si="899"/>
        <v>56.329113924050631</v>
      </c>
      <c r="GJ45" s="98">
        <f t="shared" ref="GJ45:GL50" si="900">+CI45</f>
        <v>10</v>
      </c>
      <c r="GK45" s="98">
        <f t="shared" si="900"/>
        <v>5</v>
      </c>
      <c r="GL45" s="98">
        <f t="shared" si="900"/>
        <v>15</v>
      </c>
      <c r="GM45" s="404"/>
      <c r="GN45" s="404"/>
      <c r="GO45" s="404"/>
      <c r="GP45" s="407"/>
      <c r="GQ45" s="407"/>
      <c r="GR45" s="407"/>
      <c r="GS45" s="103"/>
      <c r="GT45" s="103"/>
      <c r="GU45" s="103"/>
      <c r="GV45" s="103"/>
      <c r="GW45" s="103"/>
      <c r="GX45" s="103"/>
      <c r="GY45" s="110"/>
      <c r="GZ45" s="110"/>
      <c r="HA45" s="110"/>
      <c r="HB45" s="98">
        <f t="shared" si="167"/>
        <v>311</v>
      </c>
      <c r="HC45" s="98">
        <f t="shared" si="168"/>
        <v>221</v>
      </c>
      <c r="HD45" s="98">
        <f t="shared" si="169"/>
        <v>532</v>
      </c>
      <c r="HE45" s="103"/>
      <c r="HF45" s="103"/>
      <c r="HG45" s="103"/>
      <c r="HH45" s="110"/>
      <c r="HI45" s="110"/>
      <c r="HJ45" s="110"/>
    </row>
    <row r="46" spans="1:220" s="363" customFormat="1" ht="28.5">
      <c r="A46" s="408">
        <v>38</v>
      </c>
      <c r="B46" s="118" t="s">
        <v>157</v>
      </c>
      <c r="C46" s="96">
        <v>1296</v>
      </c>
      <c r="D46" s="96">
        <v>376</v>
      </c>
      <c r="E46" s="96">
        <f t="shared" si="176"/>
        <v>1672</v>
      </c>
      <c r="F46" s="96">
        <v>529</v>
      </c>
      <c r="G46" s="96">
        <v>201</v>
      </c>
      <c r="H46" s="96">
        <f t="shared" si="177"/>
        <v>730</v>
      </c>
      <c r="I46" s="96">
        <v>308</v>
      </c>
      <c r="J46" s="96">
        <v>162</v>
      </c>
      <c r="K46" s="96">
        <f>I46+J46</f>
        <v>470</v>
      </c>
      <c r="L46" s="97">
        <f t="shared" si="648"/>
        <v>837</v>
      </c>
      <c r="M46" s="98">
        <f t="shared" si="648"/>
        <v>363</v>
      </c>
      <c r="N46" s="98">
        <f t="shared" si="648"/>
        <v>1200</v>
      </c>
      <c r="O46" s="116">
        <f t="shared" si="814"/>
        <v>0.64583333333333337</v>
      </c>
      <c r="P46" s="116">
        <f t="shared" si="814"/>
        <v>0.96542553191489366</v>
      </c>
      <c r="Q46" s="116">
        <f t="shared" si="814"/>
        <v>0.71770334928229662</v>
      </c>
      <c r="R46" s="403"/>
      <c r="S46" s="403"/>
      <c r="T46" s="403"/>
      <c r="U46" s="403"/>
      <c r="V46" s="403"/>
      <c r="W46" s="403"/>
      <c r="X46" s="403"/>
      <c r="Y46" s="403"/>
      <c r="Z46" s="403"/>
      <c r="AA46" s="404"/>
      <c r="AB46" s="404"/>
      <c r="AC46" s="404"/>
      <c r="AD46" s="405"/>
      <c r="AE46" s="405"/>
      <c r="AF46" s="405"/>
      <c r="AG46" s="98">
        <f t="shared" si="882"/>
        <v>1296</v>
      </c>
      <c r="AH46" s="98">
        <f t="shared" si="882"/>
        <v>376</v>
      </c>
      <c r="AI46" s="98">
        <f t="shared" si="882"/>
        <v>1672</v>
      </c>
      <c r="AJ46" s="98">
        <f t="shared" si="882"/>
        <v>529</v>
      </c>
      <c r="AK46" s="98">
        <f t="shared" si="882"/>
        <v>201</v>
      </c>
      <c r="AL46" s="98">
        <f t="shared" si="882"/>
        <v>730</v>
      </c>
      <c r="AM46" s="98">
        <f t="shared" si="882"/>
        <v>308</v>
      </c>
      <c r="AN46" s="98">
        <f t="shared" si="882"/>
        <v>162</v>
      </c>
      <c r="AO46" s="98">
        <f>K46+Z46</f>
        <v>470</v>
      </c>
      <c r="AP46" s="98">
        <f t="shared" si="882"/>
        <v>837</v>
      </c>
      <c r="AQ46" s="98">
        <f t="shared" si="882"/>
        <v>363</v>
      </c>
      <c r="AR46" s="98">
        <f t="shared" si="882"/>
        <v>1200</v>
      </c>
      <c r="AS46" s="116">
        <f t="shared" si="883"/>
        <v>0.64583333333333337</v>
      </c>
      <c r="AT46" s="116">
        <f t="shared" si="883"/>
        <v>0.96542553191489366</v>
      </c>
      <c r="AU46" s="116">
        <f t="shared" si="883"/>
        <v>0.71770334928229662</v>
      </c>
      <c r="AV46" s="96">
        <v>95</v>
      </c>
      <c r="AW46" s="96">
        <v>41</v>
      </c>
      <c r="AX46" s="96">
        <f t="shared" si="824"/>
        <v>136</v>
      </c>
      <c r="AY46" s="96">
        <v>30</v>
      </c>
      <c r="AZ46" s="96">
        <v>12</v>
      </c>
      <c r="BA46" s="96">
        <f t="shared" si="825"/>
        <v>42</v>
      </c>
      <c r="BB46" s="96">
        <v>42</v>
      </c>
      <c r="BC46" s="96">
        <v>11</v>
      </c>
      <c r="BD46" s="96">
        <f>BB46+BC46</f>
        <v>53</v>
      </c>
      <c r="BE46" s="97">
        <f t="shared" si="826"/>
        <v>72</v>
      </c>
      <c r="BF46" s="98">
        <f t="shared" si="827"/>
        <v>23</v>
      </c>
      <c r="BG46" s="98">
        <f t="shared" si="828"/>
        <v>95</v>
      </c>
      <c r="BH46" s="116">
        <f t="shared" si="829"/>
        <v>0.75789473684210529</v>
      </c>
      <c r="BI46" s="116">
        <f t="shared" si="830"/>
        <v>0.56097560975609762</v>
      </c>
      <c r="BJ46" s="116">
        <f t="shared" si="831"/>
        <v>0.69852941176470584</v>
      </c>
      <c r="BK46" s="403"/>
      <c r="BL46" s="403"/>
      <c r="BM46" s="403"/>
      <c r="BN46" s="403"/>
      <c r="BO46" s="403"/>
      <c r="BP46" s="403"/>
      <c r="BQ46" s="403"/>
      <c r="BR46" s="403"/>
      <c r="BS46" s="403"/>
      <c r="BT46" s="404"/>
      <c r="BU46" s="404"/>
      <c r="BV46" s="404"/>
      <c r="BW46" s="405"/>
      <c r="BX46" s="405"/>
      <c r="BY46" s="405"/>
      <c r="BZ46" s="98">
        <f t="shared" si="885"/>
        <v>95</v>
      </c>
      <c r="CA46" s="98">
        <f t="shared" si="885"/>
        <v>41</v>
      </c>
      <c r="CB46" s="98">
        <f t="shared" si="885"/>
        <v>136</v>
      </c>
      <c r="CC46" s="98">
        <f t="shared" si="885"/>
        <v>30</v>
      </c>
      <c r="CD46" s="98">
        <f t="shared" si="885"/>
        <v>12</v>
      </c>
      <c r="CE46" s="98">
        <f t="shared" si="885"/>
        <v>42</v>
      </c>
      <c r="CF46" s="98">
        <f t="shared" si="885"/>
        <v>42</v>
      </c>
      <c r="CG46" s="98">
        <f t="shared" si="885"/>
        <v>11</v>
      </c>
      <c r="CH46" s="98">
        <f t="shared" si="885"/>
        <v>53</v>
      </c>
      <c r="CI46" s="98">
        <f t="shared" si="886"/>
        <v>72</v>
      </c>
      <c r="CJ46" s="98">
        <f t="shared" si="886"/>
        <v>23</v>
      </c>
      <c r="CK46" s="98">
        <f t="shared" si="886"/>
        <v>95</v>
      </c>
      <c r="CL46" s="116">
        <f t="shared" si="887"/>
        <v>0.75789473684210529</v>
      </c>
      <c r="CM46" s="116">
        <f t="shared" si="887"/>
        <v>0.56097560975609762</v>
      </c>
      <c r="CN46" s="116">
        <f t="shared" si="887"/>
        <v>0.69852941176470584</v>
      </c>
      <c r="CO46" s="96">
        <v>58</v>
      </c>
      <c r="CP46" s="96">
        <v>15</v>
      </c>
      <c r="CQ46" s="96">
        <f t="shared" si="840"/>
        <v>73</v>
      </c>
      <c r="CR46" s="96">
        <v>17</v>
      </c>
      <c r="CS46" s="96">
        <v>3</v>
      </c>
      <c r="CT46" s="96">
        <f t="shared" si="841"/>
        <v>20</v>
      </c>
      <c r="CU46" s="96">
        <v>25</v>
      </c>
      <c r="CV46" s="96">
        <v>11</v>
      </c>
      <c r="CW46" s="96">
        <f>CU46+CV46</f>
        <v>36</v>
      </c>
      <c r="CX46" s="97">
        <f t="shared" si="842"/>
        <v>42</v>
      </c>
      <c r="CY46" s="98">
        <f t="shared" si="843"/>
        <v>14</v>
      </c>
      <c r="CZ46" s="98">
        <f t="shared" si="844"/>
        <v>56</v>
      </c>
      <c r="DA46" s="116">
        <f t="shared" si="845"/>
        <v>0.72413793103448276</v>
      </c>
      <c r="DB46" s="116">
        <f t="shared" si="846"/>
        <v>0.93333333333333335</v>
      </c>
      <c r="DC46" s="116">
        <f t="shared" si="847"/>
        <v>0.76712328767123283</v>
      </c>
      <c r="DD46" s="403"/>
      <c r="DE46" s="403"/>
      <c r="DF46" s="403"/>
      <c r="DG46" s="403"/>
      <c r="DH46" s="403"/>
      <c r="DI46" s="403"/>
      <c r="DJ46" s="403"/>
      <c r="DK46" s="403"/>
      <c r="DL46" s="403"/>
      <c r="DM46" s="404"/>
      <c r="DN46" s="404"/>
      <c r="DO46" s="404"/>
      <c r="DP46" s="405"/>
      <c r="DQ46" s="405"/>
      <c r="DR46" s="405"/>
      <c r="DS46" s="98">
        <f t="shared" ref="DS46:ED50" si="901">CO46+DD46</f>
        <v>58</v>
      </c>
      <c r="DT46" s="98">
        <f t="shared" si="901"/>
        <v>15</v>
      </c>
      <c r="DU46" s="98">
        <f t="shared" si="901"/>
        <v>73</v>
      </c>
      <c r="DV46" s="98">
        <f t="shared" si="901"/>
        <v>17</v>
      </c>
      <c r="DW46" s="98">
        <f t="shared" si="901"/>
        <v>3</v>
      </c>
      <c r="DX46" s="98">
        <f t="shared" si="901"/>
        <v>20</v>
      </c>
      <c r="DY46" s="98">
        <f t="shared" si="901"/>
        <v>25</v>
      </c>
      <c r="DZ46" s="98">
        <f t="shared" si="901"/>
        <v>11</v>
      </c>
      <c r="EA46" s="98">
        <f t="shared" si="901"/>
        <v>36</v>
      </c>
      <c r="EB46" s="98">
        <f t="shared" si="901"/>
        <v>42</v>
      </c>
      <c r="EC46" s="98">
        <f t="shared" si="901"/>
        <v>14</v>
      </c>
      <c r="ED46" s="98">
        <f t="shared" si="901"/>
        <v>56</v>
      </c>
      <c r="EE46" s="116">
        <f t="shared" ref="EE46:EG48" si="902">EB46/DS46</f>
        <v>0.72413793103448276</v>
      </c>
      <c r="EF46" s="116">
        <f t="shared" si="902"/>
        <v>0.93333333333333335</v>
      </c>
      <c r="EG46" s="116">
        <f t="shared" si="902"/>
        <v>0.76712328767123283</v>
      </c>
      <c r="EH46" s="403"/>
      <c r="EI46" s="403"/>
      <c r="EJ46" s="403"/>
      <c r="EK46" s="403"/>
      <c r="EL46" s="403"/>
      <c r="EM46" s="403"/>
      <c r="EN46" s="403"/>
      <c r="EO46" s="403"/>
      <c r="EP46" s="403"/>
      <c r="EQ46" s="404"/>
      <c r="ER46" s="404"/>
      <c r="ES46" s="404"/>
      <c r="ET46" s="405"/>
      <c r="EU46" s="405"/>
      <c r="EV46" s="405"/>
      <c r="EW46" s="403"/>
      <c r="EX46" s="403"/>
      <c r="EY46" s="403"/>
      <c r="EZ46" s="403"/>
      <c r="FA46" s="403"/>
      <c r="FB46" s="403"/>
      <c r="FC46" s="403"/>
      <c r="FD46" s="403"/>
      <c r="FE46" s="403"/>
      <c r="FF46" s="404"/>
      <c r="FG46" s="404"/>
      <c r="FH46" s="404"/>
      <c r="FI46" s="405"/>
      <c r="FJ46" s="405"/>
      <c r="FK46" s="405"/>
      <c r="FL46" s="404"/>
      <c r="FM46" s="404"/>
      <c r="FN46" s="404"/>
      <c r="FO46" s="404"/>
      <c r="FP46" s="404"/>
      <c r="FQ46" s="404"/>
      <c r="FR46" s="404"/>
      <c r="FS46" s="404"/>
      <c r="FT46" s="404"/>
      <c r="FU46" s="404"/>
      <c r="FV46" s="404"/>
      <c r="FW46" s="404"/>
      <c r="FX46" s="405"/>
      <c r="FY46" s="405"/>
      <c r="FZ46" s="405"/>
      <c r="GA46" s="98">
        <f t="shared" si="884"/>
        <v>837</v>
      </c>
      <c r="GB46" s="98">
        <f t="shared" si="884"/>
        <v>363</v>
      </c>
      <c r="GC46" s="98">
        <f t="shared" si="884"/>
        <v>1200</v>
      </c>
      <c r="GD46" s="103"/>
      <c r="GE46" s="103"/>
      <c r="GF46" s="103"/>
      <c r="GG46" s="110"/>
      <c r="GH46" s="110"/>
      <c r="GI46" s="110"/>
      <c r="GJ46" s="98">
        <f t="shared" si="900"/>
        <v>72</v>
      </c>
      <c r="GK46" s="98">
        <f t="shared" si="900"/>
        <v>23</v>
      </c>
      <c r="GL46" s="98">
        <f t="shared" si="900"/>
        <v>95</v>
      </c>
      <c r="GM46" s="103"/>
      <c r="GN46" s="103"/>
      <c r="GO46" s="103"/>
      <c r="GP46" s="103"/>
      <c r="GQ46" s="103"/>
      <c r="GR46" s="103"/>
      <c r="GS46" s="98">
        <f t="shared" ref="GS46:GU50" si="903">+EB46</f>
        <v>42</v>
      </c>
      <c r="GT46" s="98">
        <f t="shared" si="903"/>
        <v>14</v>
      </c>
      <c r="GU46" s="98">
        <f t="shared" si="903"/>
        <v>56</v>
      </c>
      <c r="GV46" s="103"/>
      <c r="GW46" s="103"/>
      <c r="GX46" s="103"/>
      <c r="GY46" s="103"/>
      <c r="GZ46" s="103"/>
      <c r="HA46" s="103"/>
      <c r="HB46" s="404"/>
      <c r="HC46" s="404"/>
      <c r="HD46" s="404"/>
      <c r="HE46" s="103"/>
      <c r="HF46" s="103"/>
      <c r="HG46" s="103"/>
      <c r="HH46" s="103"/>
      <c r="HI46" s="103"/>
      <c r="HJ46" s="103"/>
    </row>
    <row r="47" spans="1:220" s="363" customFormat="1" ht="28.5">
      <c r="A47" s="408">
        <v>39</v>
      </c>
      <c r="B47" s="118" t="s">
        <v>385</v>
      </c>
      <c r="C47" s="96">
        <v>507</v>
      </c>
      <c r="D47" s="96">
        <v>250</v>
      </c>
      <c r="E47" s="96">
        <f t="shared" si="176"/>
        <v>757</v>
      </c>
      <c r="F47" s="96">
        <v>488</v>
      </c>
      <c r="G47" s="96">
        <v>242</v>
      </c>
      <c r="H47" s="96">
        <f t="shared" si="177"/>
        <v>730</v>
      </c>
      <c r="I47" s="403"/>
      <c r="J47" s="403"/>
      <c r="K47" s="403"/>
      <c r="L47" s="97">
        <f t="shared" si="648"/>
        <v>488</v>
      </c>
      <c r="M47" s="98">
        <f t="shared" si="648"/>
        <v>242</v>
      </c>
      <c r="N47" s="98">
        <f t="shared" si="648"/>
        <v>730</v>
      </c>
      <c r="O47" s="116">
        <f t="shared" si="814"/>
        <v>0.96252465483234717</v>
      </c>
      <c r="P47" s="116">
        <f t="shared" si="814"/>
        <v>0.96799999999999997</v>
      </c>
      <c r="Q47" s="116">
        <f t="shared" si="814"/>
        <v>0.96433289299867897</v>
      </c>
      <c r="R47" s="403"/>
      <c r="S47" s="403"/>
      <c r="T47" s="403"/>
      <c r="U47" s="403"/>
      <c r="V47" s="403"/>
      <c r="W47" s="403"/>
      <c r="X47" s="403"/>
      <c r="Y47" s="403"/>
      <c r="Z47" s="403"/>
      <c r="AA47" s="404"/>
      <c r="AB47" s="404"/>
      <c r="AC47" s="404"/>
      <c r="AD47" s="405"/>
      <c r="AE47" s="405"/>
      <c r="AF47" s="405"/>
      <c r="AG47" s="98">
        <f t="shared" si="882"/>
        <v>507</v>
      </c>
      <c r="AH47" s="98">
        <f t="shared" si="882"/>
        <v>250</v>
      </c>
      <c r="AI47" s="98">
        <f t="shared" si="882"/>
        <v>757</v>
      </c>
      <c r="AJ47" s="98">
        <f t="shared" si="882"/>
        <v>488</v>
      </c>
      <c r="AK47" s="98">
        <f t="shared" si="882"/>
        <v>242</v>
      </c>
      <c r="AL47" s="98">
        <f t="shared" si="882"/>
        <v>730</v>
      </c>
      <c r="AM47" s="404"/>
      <c r="AN47" s="404"/>
      <c r="AO47" s="404"/>
      <c r="AP47" s="98">
        <f t="shared" si="882"/>
        <v>488</v>
      </c>
      <c r="AQ47" s="98">
        <f t="shared" si="882"/>
        <v>242</v>
      </c>
      <c r="AR47" s="98">
        <f t="shared" si="882"/>
        <v>730</v>
      </c>
      <c r="AS47" s="116">
        <f t="shared" si="883"/>
        <v>0.96252465483234717</v>
      </c>
      <c r="AT47" s="116">
        <f t="shared" si="883"/>
        <v>0.96799999999999997</v>
      </c>
      <c r="AU47" s="116">
        <f t="shared" si="883"/>
        <v>0.96433289299867897</v>
      </c>
      <c r="AV47" s="96">
        <v>57</v>
      </c>
      <c r="AW47" s="96">
        <v>40</v>
      </c>
      <c r="AX47" s="96">
        <f t="shared" si="824"/>
        <v>97</v>
      </c>
      <c r="AY47" s="96">
        <v>54</v>
      </c>
      <c r="AZ47" s="96">
        <v>39</v>
      </c>
      <c r="BA47" s="96">
        <f t="shared" si="825"/>
        <v>93</v>
      </c>
      <c r="BB47" s="403"/>
      <c r="BC47" s="403"/>
      <c r="BD47" s="403"/>
      <c r="BE47" s="97">
        <f t="shared" si="826"/>
        <v>54</v>
      </c>
      <c r="BF47" s="98">
        <f t="shared" si="827"/>
        <v>39</v>
      </c>
      <c r="BG47" s="98">
        <f t="shared" si="828"/>
        <v>93</v>
      </c>
      <c r="BH47" s="116">
        <f t="shared" si="829"/>
        <v>0.94736842105263153</v>
      </c>
      <c r="BI47" s="116">
        <f t="shared" si="830"/>
        <v>0.97499999999999998</v>
      </c>
      <c r="BJ47" s="116">
        <f t="shared" si="831"/>
        <v>0.95876288659793818</v>
      </c>
      <c r="BK47" s="403"/>
      <c r="BL47" s="403"/>
      <c r="BM47" s="403"/>
      <c r="BN47" s="403"/>
      <c r="BO47" s="403"/>
      <c r="BP47" s="403"/>
      <c r="BQ47" s="403"/>
      <c r="BR47" s="403"/>
      <c r="BS47" s="403"/>
      <c r="BT47" s="404"/>
      <c r="BU47" s="404"/>
      <c r="BV47" s="404"/>
      <c r="BW47" s="405"/>
      <c r="BX47" s="405"/>
      <c r="BY47" s="405"/>
      <c r="BZ47" s="98">
        <f t="shared" si="885"/>
        <v>57</v>
      </c>
      <c r="CA47" s="98">
        <f t="shared" si="885"/>
        <v>40</v>
      </c>
      <c r="CB47" s="98">
        <f t="shared" si="885"/>
        <v>97</v>
      </c>
      <c r="CC47" s="98">
        <f t="shared" si="885"/>
        <v>54</v>
      </c>
      <c r="CD47" s="98">
        <f t="shared" si="885"/>
        <v>39</v>
      </c>
      <c r="CE47" s="98">
        <f t="shared" si="885"/>
        <v>93</v>
      </c>
      <c r="CF47" s="404"/>
      <c r="CG47" s="404"/>
      <c r="CH47" s="404"/>
      <c r="CI47" s="98">
        <f t="shared" si="886"/>
        <v>54</v>
      </c>
      <c r="CJ47" s="98">
        <f t="shared" si="886"/>
        <v>39</v>
      </c>
      <c r="CK47" s="98">
        <f t="shared" si="886"/>
        <v>93</v>
      </c>
      <c r="CL47" s="116">
        <f t="shared" si="887"/>
        <v>0.94736842105263153</v>
      </c>
      <c r="CM47" s="116">
        <f t="shared" si="887"/>
        <v>0.97499999999999998</v>
      </c>
      <c r="CN47" s="116">
        <f t="shared" si="887"/>
        <v>0.95876288659793818</v>
      </c>
      <c r="CO47" s="96">
        <v>10</v>
      </c>
      <c r="CP47" s="96">
        <v>6</v>
      </c>
      <c r="CQ47" s="96">
        <f t="shared" si="840"/>
        <v>16</v>
      </c>
      <c r="CR47" s="96">
        <v>10</v>
      </c>
      <c r="CS47" s="96">
        <v>6</v>
      </c>
      <c r="CT47" s="96">
        <f t="shared" si="841"/>
        <v>16</v>
      </c>
      <c r="CU47" s="403"/>
      <c r="CV47" s="403"/>
      <c r="CW47" s="403"/>
      <c r="CX47" s="97">
        <f t="shared" si="842"/>
        <v>10</v>
      </c>
      <c r="CY47" s="98">
        <f t="shared" si="843"/>
        <v>6</v>
      </c>
      <c r="CZ47" s="98">
        <f t="shared" si="844"/>
        <v>16</v>
      </c>
      <c r="DA47" s="116">
        <f t="shared" si="845"/>
        <v>1</v>
      </c>
      <c r="DB47" s="116">
        <f t="shared" si="846"/>
        <v>1</v>
      </c>
      <c r="DC47" s="116">
        <f t="shared" si="847"/>
        <v>1</v>
      </c>
      <c r="DD47" s="403"/>
      <c r="DE47" s="403"/>
      <c r="DF47" s="403"/>
      <c r="DG47" s="403"/>
      <c r="DH47" s="403"/>
      <c r="DI47" s="403"/>
      <c r="DJ47" s="403"/>
      <c r="DK47" s="403"/>
      <c r="DL47" s="403"/>
      <c r="DM47" s="404"/>
      <c r="DN47" s="404"/>
      <c r="DO47" s="404"/>
      <c r="DP47" s="405"/>
      <c r="DQ47" s="405"/>
      <c r="DR47" s="405"/>
      <c r="DS47" s="98">
        <f t="shared" si="901"/>
        <v>10</v>
      </c>
      <c r="DT47" s="98">
        <f t="shared" si="901"/>
        <v>6</v>
      </c>
      <c r="DU47" s="98">
        <f t="shared" si="901"/>
        <v>16</v>
      </c>
      <c r="DV47" s="98">
        <f t="shared" si="901"/>
        <v>10</v>
      </c>
      <c r="DW47" s="98">
        <f t="shared" si="901"/>
        <v>6</v>
      </c>
      <c r="DX47" s="98">
        <f t="shared" si="901"/>
        <v>16</v>
      </c>
      <c r="DY47" s="404"/>
      <c r="DZ47" s="404"/>
      <c r="EA47" s="404"/>
      <c r="EB47" s="98">
        <f t="shared" si="901"/>
        <v>10</v>
      </c>
      <c r="EC47" s="98">
        <f t="shared" si="901"/>
        <v>6</v>
      </c>
      <c r="ED47" s="98">
        <f t="shared" si="901"/>
        <v>16</v>
      </c>
      <c r="EE47" s="116">
        <f t="shared" si="902"/>
        <v>1</v>
      </c>
      <c r="EF47" s="116">
        <f t="shared" si="902"/>
        <v>1</v>
      </c>
      <c r="EG47" s="116">
        <f t="shared" si="902"/>
        <v>1</v>
      </c>
      <c r="EH47" s="96">
        <v>45</v>
      </c>
      <c r="EI47" s="96">
        <v>40</v>
      </c>
      <c r="EJ47" s="96">
        <f t="shared" si="856"/>
        <v>85</v>
      </c>
      <c r="EK47" s="96">
        <v>44</v>
      </c>
      <c r="EL47" s="96">
        <v>38</v>
      </c>
      <c r="EM47" s="96">
        <f t="shared" si="857"/>
        <v>82</v>
      </c>
      <c r="EN47" s="403"/>
      <c r="EO47" s="403"/>
      <c r="EP47" s="403"/>
      <c r="EQ47" s="97">
        <f t="shared" si="858"/>
        <v>44</v>
      </c>
      <c r="ER47" s="98">
        <f t="shared" si="859"/>
        <v>38</v>
      </c>
      <c r="ES47" s="98">
        <f t="shared" si="860"/>
        <v>82</v>
      </c>
      <c r="ET47" s="116">
        <f t="shared" si="861"/>
        <v>0.97777777777777775</v>
      </c>
      <c r="EU47" s="116">
        <f t="shared" si="862"/>
        <v>0.95</v>
      </c>
      <c r="EV47" s="116">
        <f t="shared" si="863"/>
        <v>0.96470588235294119</v>
      </c>
      <c r="EW47" s="403"/>
      <c r="EX47" s="403"/>
      <c r="EY47" s="403"/>
      <c r="EZ47" s="403"/>
      <c r="FA47" s="403"/>
      <c r="FB47" s="403"/>
      <c r="FC47" s="403"/>
      <c r="FD47" s="403"/>
      <c r="FE47" s="403"/>
      <c r="FF47" s="404"/>
      <c r="FG47" s="404"/>
      <c r="FH47" s="404"/>
      <c r="FI47" s="405"/>
      <c r="FJ47" s="405"/>
      <c r="FK47" s="405"/>
      <c r="FL47" s="98">
        <f t="shared" ref="FL47:FL50" si="904">EH47+EW47</f>
        <v>45</v>
      </c>
      <c r="FM47" s="98">
        <f t="shared" ref="FM47:FM50" si="905">EI47+EX47</f>
        <v>40</v>
      </c>
      <c r="FN47" s="98">
        <f t="shared" ref="FN47:FN50" si="906">EJ47+EY47</f>
        <v>85</v>
      </c>
      <c r="FO47" s="98">
        <f t="shared" ref="FO47:FO50" si="907">EK47+EZ47</f>
        <v>44</v>
      </c>
      <c r="FP47" s="98">
        <f t="shared" ref="FP47:FP50" si="908">EL47+FA47</f>
        <v>38</v>
      </c>
      <c r="FQ47" s="98">
        <f t="shared" ref="FQ47:FQ50" si="909">EM47+FB47</f>
        <v>82</v>
      </c>
      <c r="FR47" s="404"/>
      <c r="FS47" s="404"/>
      <c r="FT47" s="404"/>
      <c r="FU47" s="98">
        <f t="shared" ref="FU47:FU50" si="910">EQ47+FF47</f>
        <v>44</v>
      </c>
      <c r="FV47" s="98">
        <f t="shared" ref="FV47:FV50" si="911">ER47+FG47</f>
        <v>38</v>
      </c>
      <c r="FW47" s="98">
        <f t="shared" ref="FW47:FW50" si="912">ES47+FH47</f>
        <v>82</v>
      </c>
      <c r="FX47" s="116">
        <f t="shared" ref="FX47:FX48" si="913">FU47/FL47</f>
        <v>0.97777777777777775</v>
      </c>
      <c r="FY47" s="116">
        <f t="shared" ref="FY47:FY48" si="914">FV47/FM47</f>
        <v>0.95</v>
      </c>
      <c r="FZ47" s="116">
        <f t="shared" ref="FZ47:FZ48" si="915">FW47/FN47</f>
        <v>0.96470588235294119</v>
      </c>
      <c r="GA47" s="98">
        <f t="shared" si="884"/>
        <v>488</v>
      </c>
      <c r="GB47" s="98">
        <f t="shared" si="884"/>
        <v>242</v>
      </c>
      <c r="GC47" s="98">
        <f t="shared" si="884"/>
        <v>730</v>
      </c>
      <c r="GD47" s="101">
        <v>189</v>
      </c>
      <c r="GE47" s="101">
        <v>121</v>
      </c>
      <c r="GF47" s="98">
        <f>GD47+GE47</f>
        <v>310</v>
      </c>
      <c r="GG47" s="100">
        <f t="shared" ref="GG47:GI50" si="916">+GD47*100/GA47</f>
        <v>38.729508196721312</v>
      </c>
      <c r="GH47" s="100">
        <f t="shared" si="916"/>
        <v>50</v>
      </c>
      <c r="GI47" s="100">
        <f t="shared" si="916"/>
        <v>42.465753424657535</v>
      </c>
      <c r="GJ47" s="98">
        <f t="shared" si="900"/>
        <v>54</v>
      </c>
      <c r="GK47" s="98">
        <f t="shared" si="900"/>
        <v>39</v>
      </c>
      <c r="GL47" s="98">
        <f t="shared" si="900"/>
        <v>93</v>
      </c>
      <c r="GM47" s="101">
        <v>9</v>
      </c>
      <c r="GN47" s="101">
        <v>4</v>
      </c>
      <c r="GO47" s="98">
        <f>GM47+GN47</f>
        <v>13</v>
      </c>
      <c r="GP47" s="100">
        <f t="shared" ref="GP47:GR48" si="917">+GM47*100/GJ47</f>
        <v>16.666666666666668</v>
      </c>
      <c r="GQ47" s="100">
        <f t="shared" si="917"/>
        <v>10.256410256410257</v>
      </c>
      <c r="GR47" s="100">
        <f t="shared" si="917"/>
        <v>13.978494623655914</v>
      </c>
      <c r="GS47" s="98">
        <f t="shared" si="903"/>
        <v>10</v>
      </c>
      <c r="GT47" s="98">
        <f t="shared" si="903"/>
        <v>6</v>
      </c>
      <c r="GU47" s="98">
        <f t="shared" si="903"/>
        <v>16</v>
      </c>
      <c r="GV47" s="101">
        <v>2</v>
      </c>
      <c r="GW47" s="101">
        <v>2</v>
      </c>
      <c r="GX47" s="98">
        <f>GV47+GW47</f>
        <v>4</v>
      </c>
      <c r="GY47" s="100">
        <f t="shared" ref="GY47:HA48" si="918">+GV47*100/GS47</f>
        <v>20</v>
      </c>
      <c r="GZ47" s="100">
        <f t="shared" si="918"/>
        <v>33.333333333333336</v>
      </c>
      <c r="HA47" s="100">
        <f t="shared" si="918"/>
        <v>25</v>
      </c>
      <c r="HB47" s="98">
        <f t="shared" si="167"/>
        <v>44</v>
      </c>
      <c r="HC47" s="98">
        <f t="shared" si="168"/>
        <v>38</v>
      </c>
      <c r="HD47" s="98">
        <f t="shared" si="169"/>
        <v>82</v>
      </c>
      <c r="HE47" s="101">
        <v>13</v>
      </c>
      <c r="HF47" s="101">
        <v>18</v>
      </c>
      <c r="HG47" s="98">
        <f>HE47+HF47</f>
        <v>31</v>
      </c>
      <c r="HH47" s="100">
        <f t="shared" ref="HH47:HH48" si="919">+HE47*100/HB47</f>
        <v>29.545454545454547</v>
      </c>
      <c r="HI47" s="100">
        <f t="shared" ref="HI47:HI50" si="920">+HF47*100/HC47</f>
        <v>47.368421052631582</v>
      </c>
      <c r="HJ47" s="100">
        <f t="shared" ref="HJ47:HJ48" si="921">+HG47*100/HD47</f>
        <v>37.804878048780488</v>
      </c>
    </row>
    <row r="48" spans="1:220" s="363" customFormat="1">
      <c r="A48" s="408">
        <v>40</v>
      </c>
      <c r="B48" s="118" t="s">
        <v>166</v>
      </c>
      <c r="C48" s="409">
        <v>109</v>
      </c>
      <c r="D48" s="409">
        <v>109</v>
      </c>
      <c r="E48" s="409">
        <f t="shared" si="176"/>
        <v>218</v>
      </c>
      <c r="F48" s="409">
        <v>106</v>
      </c>
      <c r="G48" s="409">
        <v>104</v>
      </c>
      <c r="H48" s="409">
        <f t="shared" si="177"/>
        <v>210</v>
      </c>
      <c r="I48" s="409">
        <v>3</v>
      </c>
      <c r="J48" s="409">
        <v>3</v>
      </c>
      <c r="K48" s="409">
        <f>I48+J48</f>
        <v>6</v>
      </c>
      <c r="L48" s="97">
        <f t="shared" si="648"/>
        <v>109</v>
      </c>
      <c r="M48" s="98">
        <f t="shared" si="648"/>
        <v>107</v>
      </c>
      <c r="N48" s="98">
        <f t="shared" si="648"/>
        <v>216</v>
      </c>
      <c r="O48" s="411">
        <f t="shared" si="814"/>
        <v>1</v>
      </c>
      <c r="P48" s="411">
        <f t="shared" si="814"/>
        <v>0.98165137614678899</v>
      </c>
      <c r="Q48" s="411">
        <f t="shared" si="814"/>
        <v>0.99082568807339455</v>
      </c>
      <c r="R48" s="416"/>
      <c r="S48" s="416"/>
      <c r="T48" s="416"/>
      <c r="U48" s="416"/>
      <c r="V48" s="416"/>
      <c r="W48" s="416"/>
      <c r="X48" s="416"/>
      <c r="Y48" s="416"/>
      <c r="Z48" s="416"/>
      <c r="AA48" s="404"/>
      <c r="AB48" s="404"/>
      <c r="AC48" s="404"/>
      <c r="AD48" s="417"/>
      <c r="AE48" s="417"/>
      <c r="AF48" s="417"/>
      <c r="AG48" s="261">
        <f t="shared" si="882"/>
        <v>109</v>
      </c>
      <c r="AH48" s="261">
        <f t="shared" si="882"/>
        <v>109</v>
      </c>
      <c r="AI48" s="261">
        <f t="shared" si="882"/>
        <v>218</v>
      </c>
      <c r="AJ48" s="261">
        <f t="shared" si="882"/>
        <v>106</v>
      </c>
      <c r="AK48" s="261">
        <f t="shared" si="882"/>
        <v>104</v>
      </c>
      <c r="AL48" s="261">
        <f t="shared" si="882"/>
        <v>210</v>
      </c>
      <c r="AM48" s="261">
        <f t="shared" si="882"/>
        <v>3</v>
      </c>
      <c r="AN48" s="261">
        <f t="shared" si="882"/>
        <v>3</v>
      </c>
      <c r="AO48" s="261">
        <f>K48+Z48</f>
        <v>6</v>
      </c>
      <c r="AP48" s="261">
        <f t="shared" si="882"/>
        <v>109</v>
      </c>
      <c r="AQ48" s="261">
        <f t="shared" si="882"/>
        <v>107</v>
      </c>
      <c r="AR48" s="261">
        <f t="shared" si="882"/>
        <v>216</v>
      </c>
      <c r="AS48" s="411">
        <f t="shared" si="883"/>
        <v>1</v>
      </c>
      <c r="AT48" s="411">
        <f t="shared" si="883"/>
        <v>0.98165137614678899</v>
      </c>
      <c r="AU48" s="411">
        <f t="shared" si="883"/>
        <v>0.99082568807339455</v>
      </c>
      <c r="AV48" s="409">
        <v>15</v>
      </c>
      <c r="AW48" s="409">
        <v>13</v>
      </c>
      <c r="AX48" s="409">
        <f t="shared" si="824"/>
        <v>28</v>
      </c>
      <c r="AY48" s="409">
        <v>15</v>
      </c>
      <c r="AZ48" s="409">
        <v>13</v>
      </c>
      <c r="BA48" s="409">
        <f t="shared" si="825"/>
        <v>28</v>
      </c>
      <c r="BB48" s="416"/>
      <c r="BC48" s="416"/>
      <c r="BD48" s="416"/>
      <c r="BE48" s="97">
        <f t="shared" si="826"/>
        <v>15</v>
      </c>
      <c r="BF48" s="98">
        <f t="shared" si="827"/>
        <v>13</v>
      </c>
      <c r="BG48" s="98">
        <f t="shared" si="828"/>
        <v>28</v>
      </c>
      <c r="BH48" s="411">
        <f t="shared" si="829"/>
        <v>1</v>
      </c>
      <c r="BI48" s="411">
        <f t="shared" si="830"/>
        <v>1</v>
      </c>
      <c r="BJ48" s="411">
        <f t="shared" si="831"/>
        <v>1</v>
      </c>
      <c r="BK48" s="416"/>
      <c r="BL48" s="416"/>
      <c r="BM48" s="416"/>
      <c r="BN48" s="416"/>
      <c r="BO48" s="416"/>
      <c r="BP48" s="416"/>
      <c r="BQ48" s="416"/>
      <c r="BR48" s="416"/>
      <c r="BS48" s="416"/>
      <c r="BT48" s="404"/>
      <c r="BU48" s="404"/>
      <c r="BV48" s="404"/>
      <c r="BW48" s="417"/>
      <c r="BX48" s="417"/>
      <c r="BY48" s="417"/>
      <c r="BZ48" s="98">
        <f t="shared" si="885"/>
        <v>15</v>
      </c>
      <c r="CA48" s="98">
        <f t="shared" si="885"/>
        <v>13</v>
      </c>
      <c r="CB48" s="98">
        <f t="shared" si="885"/>
        <v>28</v>
      </c>
      <c r="CC48" s="261">
        <f t="shared" si="885"/>
        <v>15</v>
      </c>
      <c r="CD48" s="261">
        <f t="shared" si="885"/>
        <v>13</v>
      </c>
      <c r="CE48" s="261">
        <f t="shared" si="885"/>
        <v>28</v>
      </c>
      <c r="CF48" s="418"/>
      <c r="CG48" s="418"/>
      <c r="CH48" s="418"/>
      <c r="CI48" s="261">
        <f t="shared" si="886"/>
        <v>15</v>
      </c>
      <c r="CJ48" s="261">
        <f t="shared" si="886"/>
        <v>13</v>
      </c>
      <c r="CK48" s="261">
        <f t="shared" si="886"/>
        <v>28</v>
      </c>
      <c r="CL48" s="411">
        <f t="shared" si="887"/>
        <v>1</v>
      </c>
      <c r="CM48" s="411">
        <f t="shared" si="887"/>
        <v>1</v>
      </c>
      <c r="CN48" s="411">
        <f t="shared" si="887"/>
        <v>1</v>
      </c>
      <c r="CO48" s="409">
        <v>15</v>
      </c>
      <c r="CP48" s="409">
        <v>22</v>
      </c>
      <c r="CQ48" s="409">
        <f t="shared" si="840"/>
        <v>37</v>
      </c>
      <c r="CR48" s="409">
        <v>15</v>
      </c>
      <c r="CS48" s="409">
        <v>19</v>
      </c>
      <c r="CT48" s="409">
        <f t="shared" si="841"/>
        <v>34</v>
      </c>
      <c r="CU48" s="416"/>
      <c r="CV48" s="409">
        <v>1</v>
      </c>
      <c r="CW48" s="409">
        <f>CU48+CV48</f>
        <v>1</v>
      </c>
      <c r="CX48" s="97">
        <f t="shared" si="842"/>
        <v>15</v>
      </c>
      <c r="CY48" s="98">
        <f t="shared" si="843"/>
        <v>20</v>
      </c>
      <c r="CZ48" s="98">
        <f t="shared" si="844"/>
        <v>35</v>
      </c>
      <c r="DA48" s="411">
        <f t="shared" si="845"/>
        <v>1</v>
      </c>
      <c r="DB48" s="411">
        <f t="shared" si="846"/>
        <v>0.90909090909090906</v>
      </c>
      <c r="DC48" s="411">
        <f t="shared" si="847"/>
        <v>0.94594594594594594</v>
      </c>
      <c r="DD48" s="416"/>
      <c r="DE48" s="416"/>
      <c r="DF48" s="416"/>
      <c r="DG48" s="416"/>
      <c r="DH48" s="416"/>
      <c r="DI48" s="416"/>
      <c r="DJ48" s="416"/>
      <c r="DK48" s="416"/>
      <c r="DL48" s="416"/>
      <c r="DM48" s="404"/>
      <c r="DN48" s="404"/>
      <c r="DO48" s="404"/>
      <c r="DP48" s="417"/>
      <c r="DQ48" s="417"/>
      <c r="DR48" s="417"/>
      <c r="DS48" s="98">
        <f t="shared" si="901"/>
        <v>15</v>
      </c>
      <c r="DT48" s="98">
        <f t="shared" si="901"/>
        <v>22</v>
      </c>
      <c r="DU48" s="261">
        <f t="shared" si="901"/>
        <v>37</v>
      </c>
      <c r="DV48" s="261">
        <f t="shared" si="901"/>
        <v>15</v>
      </c>
      <c r="DW48" s="261">
        <f t="shared" si="901"/>
        <v>19</v>
      </c>
      <c r="DX48" s="261">
        <f t="shared" si="901"/>
        <v>34</v>
      </c>
      <c r="DY48" s="412"/>
      <c r="DZ48" s="412"/>
      <c r="EA48" s="412"/>
      <c r="EB48" s="261">
        <f t="shared" si="901"/>
        <v>15</v>
      </c>
      <c r="EC48" s="261">
        <f t="shared" si="901"/>
        <v>20</v>
      </c>
      <c r="ED48" s="261">
        <f t="shared" si="901"/>
        <v>35</v>
      </c>
      <c r="EE48" s="411">
        <f t="shared" si="902"/>
        <v>1</v>
      </c>
      <c r="EF48" s="411">
        <f t="shared" si="902"/>
        <v>0.90909090909090906</v>
      </c>
      <c r="EG48" s="411">
        <f t="shared" si="902"/>
        <v>0.94594594594594594</v>
      </c>
      <c r="EH48" s="409">
        <v>37</v>
      </c>
      <c r="EI48" s="409">
        <v>37</v>
      </c>
      <c r="EJ48" s="409">
        <f t="shared" si="856"/>
        <v>74</v>
      </c>
      <c r="EK48" s="409">
        <v>34</v>
      </c>
      <c r="EL48" s="409">
        <v>36</v>
      </c>
      <c r="EM48" s="409">
        <f t="shared" si="857"/>
        <v>70</v>
      </c>
      <c r="EN48" s="409">
        <v>3</v>
      </c>
      <c r="EO48" s="409">
        <v>1</v>
      </c>
      <c r="EP48" s="409">
        <f>EN48+EO48</f>
        <v>4</v>
      </c>
      <c r="EQ48" s="97">
        <f t="shared" si="858"/>
        <v>37</v>
      </c>
      <c r="ER48" s="98">
        <f t="shared" si="859"/>
        <v>37</v>
      </c>
      <c r="ES48" s="98">
        <f t="shared" si="860"/>
        <v>74</v>
      </c>
      <c r="ET48" s="411">
        <f t="shared" si="861"/>
        <v>1</v>
      </c>
      <c r="EU48" s="411">
        <f t="shared" si="862"/>
        <v>1</v>
      </c>
      <c r="EV48" s="411">
        <f t="shared" si="863"/>
        <v>1</v>
      </c>
      <c r="EW48" s="416"/>
      <c r="EX48" s="416"/>
      <c r="EY48" s="416"/>
      <c r="EZ48" s="416"/>
      <c r="FA48" s="416"/>
      <c r="FB48" s="416"/>
      <c r="FC48" s="416"/>
      <c r="FD48" s="416"/>
      <c r="FE48" s="416"/>
      <c r="FF48" s="404"/>
      <c r="FG48" s="404"/>
      <c r="FH48" s="404"/>
      <c r="FI48" s="417"/>
      <c r="FJ48" s="417"/>
      <c r="FK48" s="417"/>
      <c r="FL48" s="98">
        <f t="shared" si="904"/>
        <v>37</v>
      </c>
      <c r="FM48" s="98">
        <f t="shared" si="905"/>
        <v>37</v>
      </c>
      <c r="FN48" s="261">
        <f t="shared" si="906"/>
        <v>74</v>
      </c>
      <c r="FO48" s="261">
        <f t="shared" si="907"/>
        <v>34</v>
      </c>
      <c r="FP48" s="261">
        <f t="shared" si="908"/>
        <v>36</v>
      </c>
      <c r="FQ48" s="261">
        <f t="shared" si="909"/>
        <v>70</v>
      </c>
      <c r="FR48" s="98">
        <f t="shared" ref="FR48" si="922">EN48+FC48</f>
        <v>3</v>
      </c>
      <c r="FS48" s="98">
        <f t="shared" ref="FS48" si="923">EO48+FD48</f>
        <v>1</v>
      </c>
      <c r="FT48" s="98">
        <f t="shared" ref="FT48" si="924">EP48+FE48</f>
        <v>4</v>
      </c>
      <c r="FU48" s="261">
        <f t="shared" si="910"/>
        <v>37</v>
      </c>
      <c r="FV48" s="261">
        <f t="shared" si="911"/>
        <v>37</v>
      </c>
      <c r="FW48" s="261">
        <f t="shared" si="912"/>
        <v>74</v>
      </c>
      <c r="FX48" s="411">
        <f t="shared" si="913"/>
        <v>1</v>
      </c>
      <c r="FY48" s="411">
        <f t="shared" si="914"/>
        <v>1</v>
      </c>
      <c r="FZ48" s="411">
        <f t="shared" si="915"/>
        <v>1</v>
      </c>
      <c r="GA48" s="261">
        <f t="shared" si="884"/>
        <v>109</v>
      </c>
      <c r="GB48" s="261">
        <f t="shared" si="884"/>
        <v>107</v>
      </c>
      <c r="GC48" s="261">
        <f t="shared" si="884"/>
        <v>216</v>
      </c>
      <c r="GD48" s="32">
        <v>85</v>
      </c>
      <c r="GE48" s="32">
        <v>96</v>
      </c>
      <c r="GF48" s="261">
        <f>GD48+GE48</f>
        <v>181</v>
      </c>
      <c r="GG48" s="100">
        <f t="shared" si="916"/>
        <v>77.981651376146786</v>
      </c>
      <c r="GH48" s="413">
        <f t="shared" si="916"/>
        <v>89.719626168224295</v>
      </c>
      <c r="GI48" s="413">
        <f t="shared" si="916"/>
        <v>83.796296296296291</v>
      </c>
      <c r="GJ48" s="261">
        <f t="shared" si="900"/>
        <v>15</v>
      </c>
      <c r="GK48" s="261">
        <f t="shared" si="900"/>
        <v>13</v>
      </c>
      <c r="GL48" s="261">
        <f t="shared" si="900"/>
        <v>28</v>
      </c>
      <c r="GM48" s="32">
        <v>11</v>
      </c>
      <c r="GN48" s="32">
        <v>11</v>
      </c>
      <c r="GO48" s="261">
        <f>GM48+GN48</f>
        <v>22</v>
      </c>
      <c r="GP48" s="413">
        <f t="shared" si="917"/>
        <v>73.333333333333329</v>
      </c>
      <c r="GQ48" s="413">
        <f t="shared" si="917"/>
        <v>84.615384615384613</v>
      </c>
      <c r="GR48" s="413">
        <f t="shared" si="917"/>
        <v>78.571428571428569</v>
      </c>
      <c r="GS48" s="261">
        <f t="shared" si="903"/>
        <v>15</v>
      </c>
      <c r="GT48" s="261">
        <f t="shared" si="903"/>
        <v>20</v>
      </c>
      <c r="GU48" s="261">
        <f t="shared" si="903"/>
        <v>35</v>
      </c>
      <c r="GV48" s="32">
        <v>11</v>
      </c>
      <c r="GW48" s="32">
        <v>16</v>
      </c>
      <c r="GX48" s="261">
        <f>GV48+GW48</f>
        <v>27</v>
      </c>
      <c r="GY48" s="413">
        <f t="shared" si="918"/>
        <v>73.333333333333329</v>
      </c>
      <c r="GZ48" s="413">
        <f t="shared" si="918"/>
        <v>80</v>
      </c>
      <c r="HA48" s="413">
        <f t="shared" si="918"/>
        <v>77.142857142857139</v>
      </c>
      <c r="HB48" s="98">
        <f t="shared" si="167"/>
        <v>37</v>
      </c>
      <c r="HC48" s="98">
        <f t="shared" si="168"/>
        <v>37</v>
      </c>
      <c r="HD48" s="98">
        <f t="shared" si="169"/>
        <v>74</v>
      </c>
      <c r="HE48" s="32">
        <v>28</v>
      </c>
      <c r="HF48" s="32">
        <v>33</v>
      </c>
      <c r="HG48" s="261">
        <f>HE48+HF48</f>
        <v>61</v>
      </c>
      <c r="HH48" s="413">
        <f t="shared" si="919"/>
        <v>75.675675675675677</v>
      </c>
      <c r="HI48" s="413">
        <f t="shared" si="920"/>
        <v>89.189189189189193</v>
      </c>
      <c r="HJ48" s="413">
        <f t="shared" si="921"/>
        <v>82.432432432432435</v>
      </c>
    </row>
    <row r="49" spans="1:218" s="363" customFormat="1" ht="28.5">
      <c r="A49" s="408">
        <v>41</v>
      </c>
      <c r="B49" s="118" t="s">
        <v>437</v>
      </c>
      <c r="C49" s="409">
        <v>11829</v>
      </c>
      <c r="D49" s="409">
        <v>4870</v>
      </c>
      <c r="E49" s="409">
        <v>16699</v>
      </c>
      <c r="F49" s="409">
        <v>11328</v>
      </c>
      <c r="G49" s="409">
        <v>4673</v>
      </c>
      <c r="H49" s="409">
        <v>16001</v>
      </c>
      <c r="I49" s="403"/>
      <c r="J49" s="403"/>
      <c r="K49" s="403"/>
      <c r="L49" s="97">
        <f t="shared" ref="L49" si="925">F49+I49</f>
        <v>11328</v>
      </c>
      <c r="M49" s="98">
        <f t="shared" ref="M49" si="926">G49+J49</f>
        <v>4673</v>
      </c>
      <c r="N49" s="98">
        <f t="shared" ref="N49" si="927">H49+K49</f>
        <v>16001</v>
      </c>
      <c r="O49" s="411">
        <f t="shared" ref="O49" si="928">L49/C49</f>
        <v>0.95764646208470705</v>
      </c>
      <c r="P49" s="411">
        <f t="shared" ref="P49" si="929">M49/D49</f>
        <v>0.95954825462012316</v>
      </c>
      <c r="Q49" s="411">
        <f t="shared" ref="Q49" si="930">N49/E49</f>
        <v>0.95820108988562191</v>
      </c>
      <c r="R49" s="261">
        <v>1128</v>
      </c>
      <c r="S49" s="261">
        <v>516</v>
      </c>
      <c r="T49" s="261">
        <f>R49+S49</f>
        <v>1644</v>
      </c>
      <c r="U49" s="261">
        <v>917</v>
      </c>
      <c r="V49" s="261">
        <v>423</v>
      </c>
      <c r="W49" s="261">
        <f>U49+V49</f>
        <v>1340</v>
      </c>
      <c r="X49" s="412"/>
      <c r="Y49" s="412"/>
      <c r="Z49" s="412"/>
      <c r="AA49" s="261">
        <f t="shared" ref="AA49:AC49" si="931">U49+X49</f>
        <v>917</v>
      </c>
      <c r="AB49" s="261">
        <f t="shared" si="931"/>
        <v>423</v>
      </c>
      <c r="AC49" s="261">
        <f t="shared" si="931"/>
        <v>1340</v>
      </c>
      <c r="AD49" s="411">
        <f t="shared" ref="AD49:AF51" si="932">AA49/R49</f>
        <v>0.81294326241134751</v>
      </c>
      <c r="AE49" s="411">
        <f t="shared" si="932"/>
        <v>0.81976744186046513</v>
      </c>
      <c r="AF49" s="411">
        <f t="shared" si="932"/>
        <v>0.81508515815085159</v>
      </c>
      <c r="AG49" s="261">
        <f t="shared" ref="AG49" si="933">C49+R49</f>
        <v>12957</v>
      </c>
      <c r="AH49" s="261">
        <f t="shared" ref="AH49" si="934">D49+S49</f>
        <v>5386</v>
      </c>
      <c r="AI49" s="261">
        <f t="shared" ref="AI49" si="935">E49+T49</f>
        <v>18343</v>
      </c>
      <c r="AJ49" s="261">
        <f t="shared" ref="AJ49" si="936">F49+U49</f>
        <v>12245</v>
      </c>
      <c r="AK49" s="261">
        <f t="shared" ref="AK49" si="937">G49+V49</f>
        <v>5096</v>
      </c>
      <c r="AL49" s="261">
        <f t="shared" ref="AL49" si="938">H49+W49</f>
        <v>17341</v>
      </c>
      <c r="AM49" s="261">
        <f t="shared" ref="AM49" si="939">I49+X49</f>
        <v>0</v>
      </c>
      <c r="AN49" s="261">
        <f t="shared" ref="AN49" si="940">J49+Y49</f>
        <v>0</v>
      </c>
      <c r="AO49" s="261">
        <f>K49+Z49</f>
        <v>0</v>
      </c>
      <c r="AP49" s="261">
        <f t="shared" ref="AP49" si="941">L49+AA49</f>
        <v>12245</v>
      </c>
      <c r="AQ49" s="261">
        <f t="shared" ref="AQ49" si="942">M49+AB49</f>
        <v>5096</v>
      </c>
      <c r="AR49" s="261">
        <f t="shared" ref="AR49" si="943">N49+AC49</f>
        <v>17341</v>
      </c>
      <c r="AS49" s="411">
        <f t="shared" ref="AS49" si="944">AP49/AG49</f>
        <v>0.94504900825808447</v>
      </c>
      <c r="AT49" s="411">
        <f t="shared" ref="AT49" si="945">AQ49/AH49</f>
        <v>0.9461567025621983</v>
      </c>
      <c r="AU49" s="411">
        <f t="shared" ref="AU49" si="946">AR49/AI49</f>
        <v>0.94537425720983481</v>
      </c>
      <c r="AV49" s="430">
        <v>1499</v>
      </c>
      <c r="AW49" s="430">
        <v>787</v>
      </c>
      <c r="AX49" s="430">
        <v>2286</v>
      </c>
      <c r="AY49" s="430">
        <v>1280</v>
      </c>
      <c r="AZ49" s="430">
        <v>702</v>
      </c>
      <c r="BA49" s="430">
        <v>1982</v>
      </c>
      <c r="BB49" s="416"/>
      <c r="BC49" s="416"/>
      <c r="BD49" s="416"/>
      <c r="BE49" s="392">
        <v>1280</v>
      </c>
      <c r="BF49" s="392">
        <v>702</v>
      </c>
      <c r="BG49" s="392">
        <v>1982</v>
      </c>
      <c r="BH49" s="411">
        <f t="shared" ref="BH49" si="947">BE49/AV49</f>
        <v>0.85390260173448962</v>
      </c>
      <c r="BI49" s="411">
        <f t="shared" ref="BI49" si="948">BF49/AW49</f>
        <v>0.89199491740787806</v>
      </c>
      <c r="BJ49" s="411">
        <f t="shared" ref="BJ49" si="949">BG49/AX49</f>
        <v>0.86701662292213477</v>
      </c>
      <c r="BK49" s="416"/>
      <c r="BL49" s="416"/>
      <c r="BM49" s="416"/>
      <c r="BN49" s="416"/>
      <c r="BO49" s="416"/>
      <c r="BP49" s="416"/>
      <c r="BQ49" s="416"/>
      <c r="BR49" s="416"/>
      <c r="BS49" s="416"/>
      <c r="BT49" s="404"/>
      <c r="BU49" s="404"/>
      <c r="BV49" s="404"/>
      <c r="BW49" s="417"/>
      <c r="BX49" s="417"/>
      <c r="BY49" s="417"/>
      <c r="BZ49" s="392">
        <v>1562</v>
      </c>
      <c r="CA49" s="392">
        <v>847</v>
      </c>
      <c r="CB49" s="392">
        <v>2409</v>
      </c>
      <c r="CC49" s="526">
        <v>1324</v>
      </c>
      <c r="CD49" s="526">
        <v>755</v>
      </c>
      <c r="CE49" s="526">
        <v>2079</v>
      </c>
      <c r="CF49" s="526"/>
      <c r="CG49" s="526"/>
      <c r="CH49" s="526"/>
      <c r="CI49" s="526">
        <v>1324</v>
      </c>
      <c r="CJ49" s="526">
        <v>755</v>
      </c>
      <c r="CK49" s="526">
        <v>2079</v>
      </c>
      <c r="CL49" s="411">
        <f t="shared" ref="CL49" si="950">CI49/BZ49</f>
        <v>0.84763124199743922</v>
      </c>
      <c r="CM49" s="411">
        <f t="shared" ref="CM49" si="951">CJ49/CA49</f>
        <v>0.89138134592680052</v>
      </c>
      <c r="CN49" s="411">
        <f t="shared" ref="CN49" si="952">CK49/CB49</f>
        <v>0.86301369863013699</v>
      </c>
      <c r="CO49" s="430">
        <v>5</v>
      </c>
      <c r="CP49" s="430">
        <v>0</v>
      </c>
      <c r="CQ49" s="430">
        <v>5</v>
      </c>
      <c r="CR49" s="430">
        <v>4</v>
      </c>
      <c r="CS49" s="430">
        <v>0</v>
      </c>
      <c r="CT49" s="430">
        <v>4</v>
      </c>
      <c r="CU49" s="430"/>
      <c r="CV49" s="430"/>
      <c r="CW49" s="430"/>
      <c r="CX49" s="392">
        <v>4</v>
      </c>
      <c r="CY49" s="392">
        <v>0</v>
      </c>
      <c r="CZ49" s="392">
        <v>4</v>
      </c>
      <c r="DA49" s="411">
        <f t="shared" ref="DA49" si="953">CX49/CO49</f>
        <v>0.8</v>
      </c>
      <c r="DB49" s="411">
        <v>0</v>
      </c>
      <c r="DC49" s="411">
        <f t="shared" ref="DC49" si="954">CZ49/CQ49</f>
        <v>0.8</v>
      </c>
      <c r="DD49" s="416"/>
      <c r="DE49" s="416"/>
      <c r="DF49" s="416"/>
      <c r="DG49" s="416"/>
      <c r="DH49" s="416"/>
      <c r="DI49" s="416"/>
      <c r="DJ49" s="416"/>
      <c r="DK49" s="416"/>
      <c r="DL49" s="416"/>
      <c r="DM49" s="404"/>
      <c r="DN49" s="404"/>
      <c r="DO49" s="404"/>
      <c r="DP49" s="417"/>
      <c r="DQ49" s="417"/>
      <c r="DR49" s="417"/>
      <c r="DS49" s="404"/>
      <c r="DT49" s="404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7"/>
      <c r="EF49" s="417"/>
      <c r="EG49" s="417"/>
      <c r="EH49" s="416"/>
      <c r="EI49" s="416"/>
      <c r="EJ49" s="416"/>
      <c r="EK49" s="416"/>
      <c r="EL49" s="416"/>
      <c r="EM49" s="416"/>
      <c r="EN49" s="416"/>
      <c r="EO49" s="416"/>
      <c r="EP49" s="416"/>
      <c r="EQ49" s="404"/>
      <c r="ER49" s="404"/>
      <c r="ES49" s="404"/>
      <c r="ET49" s="417"/>
      <c r="EU49" s="417"/>
      <c r="EV49" s="417"/>
      <c r="EW49" s="416"/>
      <c r="EX49" s="416"/>
      <c r="EY49" s="416"/>
      <c r="EZ49" s="416"/>
      <c r="FA49" s="416"/>
      <c r="FB49" s="416"/>
      <c r="FC49" s="416"/>
      <c r="FD49" s="416"/>
      <c r="FE49" s="416"/>
      <c r="FF49" s="404"/>
      <c r="FG49" s="404"/>
      <c r="FH49" s="404"/>
      <c r="FI49" s="417"/>
      <c r="FJ49" s="417"/>
      <c r="FK49" s="417"/>
      <c r="FL49" s="404"/>
      <c r="FM49" s="404"/>
      <c r="FN49" s="418"/>
      <c r="FO49" s="418"/>
      <c r="FP49" s="418"/>
      <c r="FQ49" s="418"/>
      <c r="FR49" s="418"/>
      <c r="FS49" s="418"/>
      <c r="FT49" s="418"/>
      <c r="FU49" s="418"/>
      <c r="FV49" s="418"/>
      <c r="FW49" s="418"/>
      <c r="FX49" s="417"/>
      <c r="FY49" s="417"/>
      <c r="FZ49" s="417"/>
      <c r="GA49" s="526">
        <v>12245</v>
      </c>
      <c r="GB49" s="526">
        <v>5096</v>
      </c>
      <c r="GC49" s="526">
        <v>17341</v>
      </c>
      <c r="GD49" s="526">
        <v>6530</v>
      </c>
      <c r="GE49" s="526">
        <v>3080</v>
      </c>
      <c r="GF49" s="526">
        <v>9610</v>
      </c>
      <c r="GG49" s="100">
        <f t="shared" ref="GG49" si="955">+GD49*100/GA49</f>
        <v>53.32788893425888</v>
      </c>
      <c r="GH49" s="413">
        <f t="shared" ref="GH49" si="956">+GE49*100/GB49</f>
        <v>60.439560439560438</v>
      </c>
      <c r="GI49" s="413">
        <f t="shared" ref="GI49" si="957">+GF49*100/GC49</f>
        <v>55.417795974857277</v>
      </c>
      <c r="GJ49" s="526">
        <v>1324</v>
      </c>
      <c r="GK49" s="526">
        <v>755</v>
      </c>
      <c r="GL49" s="526">
        <v>2079</v>
      </c>
      <c r="GM49" s="526">
        <v>550</v>
      </c>
      <c r="GN49" s="526">
        <v>680</v>
      </c>
      <c r="GO49" s="526">
        <v>1230</v>
      </c>
      <c r="GP49" s="413">
        <f t="shared" ref="GP49" si="958">+GM49*100/GJ49</f>
        <v>41.540785498489427</v>
      </c>
      <c r="GQ49" s="413">
        <f t="shared" ref="GQ49" si="959">+GN49*100/GK49</f>
        <v>90.066225165562912</v>
      </c>
      <c r="GR49" s="413">
        <f t="shared" ref="GR49" si="960">+GO49*100/GL49</f>
        <v>59.16305916305916</v>
      </c>
      <c r="GS49" s="526">
        <v>4</v>
      </c>
      <c r="GT49" s="526">
        <v>0</v>
      </c>
      <c r="GU49" s="526">
        <v>4</v>
      </c>
      <c r="GV49" s="526">
        <v>3</v>
      </c>
      <c r="GW49" s="526">
        <v>0</v>
      </c>
      <c r="GX49" s="526">
        <v>3</v>
      </c>
      <c r="GY49" s="413">
        <f t="shared" ref="GY49" si="961">+GV49*100/GS49</f>
        <v>75</v>
      </c>
      <c r="GZ49" s="527">
        <v>0</v>
      </c>
      <c r="HA49" s="413">
        <f t="shared" ref="HA49" si="962">+GX49*100/GU49</f>
        <v>75</v>
      </c>
      <c r="HB49" s="404"/>
      <c r="HC49" s="404"/>
      <c r="HD49" s="404"/>
      <c r="HE49" s="418"/>
      <c r="HF49" s="418"/>
      <c r="HG49" s="418"/>
      <c r="HH49" s="419"/>
      <c r="HI49" s="419"/>
      <c r="HJ49" s="419"/>
    </row>
    <row r="50" spans="1:218" s="363" customFormat="1" ht="28.5">
      <c r="A50" s="415">
        <v>42</v>
      </c>
      <c r="B50" s="118" t="s">
        <v>214</v>
      </c>
      <c r="C50" s="409">
        <v>745</v>
      </c>
      <c r="D50" s="409">
        <v>57</v>
      </c>
      <c r="E50" s="409">
        <f>C50+D50</f>
        <v>802</v>
      </c>
      <c r="F50" s="409">
        <v>702</v>
      </c>
      <c r="G50" s="409">
        <v>52</v>
      </c>
      <c r="H50" s="409">
        <f>F50+G50</f>
        <v>754</v>
      </c>
      <c r="I50" s="410"/>
      <c r="J50" s="410"/>
      <c r="K50" s="410"/>
      <c r="L50" s="97">
        <f t="shared" ref="L50" si="963">F50+I50</f>
        <v>702</v>
      </c>
      <c r="M50" s="98">
        <f t="shared" ref="M50" si="964">G50+J50</f>
        <v>52</v>
      </c>
      <c r="N50" s="98">
        <f t="shared" ref="N50" si="965">H50+K50</f>
        <v>754</v>
      </c>
      <c r="O50" s="411">
        <f t="shared" ref="O50" si="966">L50/C50</f>
        <v>0.94228187919463091</v>
      </c>
      <c r="P50" s="411">
        <f t="shared" ref="P50" si="967">M50/D50</f>
        <v>0.91228070175438591</v>
      </c>
      <c r="Q50" s="411">
        <f t="shared" ref="Q50" si="968">N50/E50</f>
        <v>0.94014962593516205</v>
      </c>
      <c r="R50" s="409">
        <v>46</v>
      </c>
      <c r="S50" s="409">
        <v>2</v>
      </c>
      <c r="T50" s="409">
        <f>R50+S50</f>
        <v>48</v>
      </c>
      <c r="U50" s="409">
        <v>37</v>
      </c>
      <c r="V50" s="409">
        <v>2</v>
      </c>
      <c r="W50" s="409">
        <f>U50+V50</f>
        <v>39</v>
      </c>
      <c r="X50" s="410"/>
      <c r="Y50" s="410"/>
      <c r="Z50" s="410"/>
      <c r="AA50" s="97">
        <f>U50+X41</f>
        <v>37</v>
      </c>
      <c r="AB50" s="98">
        <f>V50+Y41</f>
        <v>2</v>
      </c>
      <c r="AC50" s="98">
        <f>W50+Z41</f>
        <v>39</v>
      </c>
      <c r="AD50" s="411">
        <f t="shared" si="932"/>
        <v>0.80434782608695654</v>
      </c>
      <c r="AE50" s="411">
        <f t="shared" si="932"/>
        <v>1</v>
      </c>
      <c r="AF50" s="411">
        <f t="shared" si="932"/>
        <v>0.8125</v>
      </c>
      <c r="AG50" s="261">
        <f t="shared" si="882"/>
        <v>791</v>
      </c>
      <c r="AH50" s="261">
        <f t="shared" si="882"/>
        <v>59</v>
      </c>
      <c r="AI50" s="261">
        <f t="shared" si="882"/>
        <v>850</v>
      </c>
      <c r="AJ50" s="261">
        <f t="shared" si="882"/>
        <v>739</v>
      </c>
      <c r="AK50" s="261">
        <f t="shared" si="882"/>
        <v>54</v>
      </c>
      <c r="AL50" s="261">
        <f t="shared" si="882"/>
        <v>793</v>
      </c>
      <c r="AM50" s="412"/>
      <c r="AN50" s="412"/>
      <c r="AO50" s="412"/>
      <c r="AP50" s="261">
        <f t="shared" ref="AP50" si="969">L50+AA50</f>
        <v>739</v>
      </c>
      <c r="AQ50" s="261">
        <f t="shared" ref="AQ50" si="970">M50+AB50</f>
        <v>54</v>
      </c>
      <c r="AR50" s="261">
        <f t="shared" ref="AR50" si="971">N50+AC50</f>
        <v>793</v>
      </c>
      <c r="AS50" s="411">
        <f t="shared" ref="AS50:AS51" si="972">AP50/AG50</f>
        <v>0.93426042983565105</v>
      </c>
      <c r="AT50" s="411">
        <f t="shared" ref="AT50:AT51" si="973">AQ50/AH50</f>
        <v>0.9152542372881356</v>
      </c>
      <c r="AU50" s="411">
        <f t="shared" ref="AU50:AU51" si="974">AR50/AI50</f>
        <v>0.93294117647058827</v>
      </c>
      <c r="AV50" s="409">
        <v>24</v>
      </c>
      <c r="AW50" s="409">
        <v>10</v>
      </c>
      <c r="AX50" s="409">
        <f t="shared" si="824"/>
        <v>34</v>
      </c>
      <c r="AY50" s="409">
        <v>20</v>
      </c>
      <c r="AZ50" s="409">
        <v>10</v>
      </c>
      <c r="BA50" s="409">
        <f t="shared" si="825"/>
        <v>30</v>
      </c>
      <c r="BB50" s="410"/>
      <c r="BC50" s="410"/>
      <c r="BD50" s="410"/>
      <c r="BE50" s="97">
        <f t="shared" si="826"/>
        <v>20</v>
      </c>
      <c r="BF50" s="98">
        <f t="shared" si="827"/>
        <v>10</v>
      </c>
      <c r="BG50" s="98">
        <f t="shared" si="828"/>
        <v>30</v>
      </c>
      <c r="BH50" s="411">
        <f t="shared" si="829"/>
        <v>0.83333333333333337</v>
      </c>
      <c r="BI50" s="411">
        <f t="shared" si="830"/>
        <v>1</v>
      </c>
      <c r="BJ50" s="411">
        <f t="shared" si="831"/>
        <v>0.88235294117647056</v>
      </c>
      <c r="BK50" s="409">
        <v>3</v>
      </c>
      <c r="BL50" s="409">
        <v>1</v>
      </c>
      <c r="BM50" s="409">
        <f t="shared" si="832"/>
        <v>4</v>
      </c>
      <c r="BN50" s="409">
        <v>3</v>
      </c>
      <c r="BO50" s="409">
        <v>1</v>
      </c>
      <c r="BP50" s="409">
        <f t="shared" si="833"/>
        <v>4</v>
      </c>
      <c r="BQ50" s="410"/>
      <c r="BR50" s="410"/>
      <c r="BS50" s="410"/>
      <c r="BT50" s="97">
        <f t="shared" si="834"/>
        <v>3</v>
      </c>
      <c r="BU50" s="98">
        <f t="shared" si="835"/>
        <v>1</v>
      </c>
      <c r="BV50" s="98">
        <f t="shared" si="836"/>
        <v>4</v>
      </c>
      <c r="BW50" s="411">
        <f t="shared" si="837"/>
        <v>1</v>
      </c>
      <c r="BX50" s="411">
        <f t="shared" si="838"/>
        <v>1</v>
      </c>
      <c r="BY50" s="411">
        <f t="shared" si="839"/>
        <v>1</v>
      </c>
      <c r="BZ50" s="98">
        <f t="shared" si="885"/>
        <v>27</v>
      </c>
      <c r="CA50" s="98">
        <f t="shared" si="885"/>
        <v>11</v>
      </c>
      <c r="CB50" s="98">
        <f t="shared" si="885"/>
        <v>38</v>
      </c>
      <c r="CC50" s="261">
        <f t="shared" si="885"/>
        <v>23</v>
      </c>
      <c r="CD50" s="261">
        <f t="shared" si="885"/>
        <v>11</v>
      </c>
      <c r="CE50" s="261">
        <f t="shared" si="885"/>
        <v>34</v>
      </c>
      <c r="CF50" s="412"/>
      <c r="CG50" s="412"/>
      <c r="CH50" s="412"/>
      <c r="CI50" s="261">
        <f t="shared" si="886"/>
        <v>23</v>
      </c>
      <c r="CJ50" s="261">
        <f t="shared" si="886"/>
        <v>11</v>
      </c>
      <c r="CK50" s="261">
        <f t="shared" si="886"/>
        <v>34</v>
      </c>
      <c r="CL50" s="411">
        <f t="shared" si="887"/>
        <v>0.85185185185185186</v>
      </c>
      <c r="CM50" s="411">
        <f t="shared" si="887"/>
        <v>1</v>
      </c>
      <c r="CN50" s="411">
        <f t="shared" si="887"/>
        <v>0.89473684210526316</v>
      </c>
      <c r="CO50" s="409">
        <v>9</v>
      </c>
      <c r="CP50" s="416"/>
      <c r="CQ50" s="409">
        <f t="shared" si="840"/>
        <v>9</v>
      </c>
      <c r="CR50" s="409">
        <v>9</v>
      </c>
      <c r="CS50" s="416"/>
      <c r="CT50" s="409">
        <f t="shared" si="841"/>
        <v>9</v>
      </c>
      <c r="CU50" s="410"/>
      <c r="CV50" s="410"/>
      <c r="CW50" s="410"/>
      <c r="CX50" s="97">
        <f t="shared" si="842"/>
        <v>9</v>
      </c>
      <c r="CY50" s="404"/>
      <c r="CZ50" s="98">
        <f t="shared" si="844"/>
        <v>9</v>
      </c>
      <c r="DA50" s="411">
        <f t="shared" si="845"/>
        <v>1</v>
      </c>
      <c r="DB50" s="411"/>
      <c r="DC50" s="411">
        <f t="shared" si="847"/>
        <v>1</v>
      </c>
      <c r="DD50" s="409">
        <v>2</v>
      </c>
      <c r="DE50" s="416"/>
      <c r="DF50" s="409">
        <f t="shared" si="848"/>
        <v>2</v>
      </c>
      <c r="DG50" s="409">
        <v>1</v>
      </c>
      <c r="DH50" s="416"/>
      <c r="DI50" s="409">
        <f t="shared" si="849"/>
        <v>1</v>
      </c>
      <c r="DJ50" s="410"/>
      <c r="DK50" s="410"/>
      <c r="DL50" s="410"/>
      <c r="DM50" s="97">
        <f t="shared" si="850"/>
        <v>1</v>
      </c>
      <c r="DN50" s="404"/>
      <c r="DO50" s="98">
        <f t="shared" si="852"/>
        <v>1</v>
      </c>
      <c r="DP50" s="411">
        <f t="shared" si="853"/>
        <v>0.5</v>
      </c>
      <c r="DQ50" s="411"/>
      <c r="DR50" s="411">
        <f t="shared" si="855"/>
        <v>0.5</v>
      </c>
      <c r="DS50" s="98">
        <f t="shared" si="901"/>
        <v>11</v>
      </c>
      <c r="DT50" s="404"/>
      <c r="DU50" s="261">
        <f t="shared" si="901"/>
        <v>11</v>
      </c>
      <c r="DV50" s="261">
        <f t="shared" si="901"/>
        <v>10</v>
      </c>
      <c r="DW50" s="418"/>
      <c r="DX50" s="261">
        <f t="shared" si="901"/>
        <v>10</v>
      </c>
      <c r="DY50" s="412"/>
      <c r="DZ50" s="412"/>
      <c r="EA50" s="412"/>
      <c r="EB50" s="261">
        <f t="shared" si="901"/>
        <v>10</v>
      </c>
      <c r="EC50" s="418"/>
      <c r="ED50" s="261">
        <f t="shared" si="901"/>
        <v>10</v>
      </c>
      <c r="EE50" s="411">
        <f>EB50/DS50</f>
        <v>0.90909090909090906</v>
      </c>
      <c r="EF50" s="417"/>
      <c r="EG50" s="411">
        <f>ED50/DU50</f>
        <v>0.90909090909090906</v>
      </c>
      <c r="EH50" s="409">
        <v>82</v>
      </c>
      <c r="EI50" s="409">
        <v>16</v>
      </c>
      <c r="EJ50" s="409">
        <f t="shared" si="856"/>
        <v>98</v>
      </c>
      <c r="EK50" s="409">
        <v>77</v>
      </c>
      <c r="EL50" s="409">
        <v>13</v>
      </c>
      <c r="EM50" s="409">
        <f t="shared" si="857"/>
        <v>90</v>
      </c>
      <c r="EN50" s="410"/>
      <c r="EO50" s="410"/>
      <c r="EP50" s="410"/>
      <c r="EQ50" s="97">
        <f t="shared" si="858"/>
        <v>77</v>
      </c>
      <c r="ER50" s="98">
        <f t="shared" si="859"/>
        <v>13</v>
      </c>
      <c r="ES50" s="98">
        <f t="shared" si="860"/>
        <v>90</v>
      </c>
      <c r="ET50" s="411">
        <f t="shared" si="861"/>
        <v>0.93902439024390238</v>
      </c>
      <c r="EU50" s="411">
        <f t="shared" si="862"/>
        <v>0.8125</v>
      </c>
      <c r="EV50" s="411">
        <f t="shared" si="863"/>
        <v>0.91836734693877553</v>
      </c>
      <c r="EW50" s="409">
        <v>4</v>
      </c>
      <c r="EX50" s="416"/>
      <c r="EY50" s="409">
        <f t="shared" si="864"/>
        <v>4</v>
      </c>
      <c r="EZ50" s="409">
        <v>4</v>
      </c>
      <c r="FA50" s="423"/>
      <c r="FB50" s="409">
        <f t="shared" si="865"/>
        <v>4</v>
      </c>
      <c r="FC50" s="410"/>
      <c r="FD50" s="410"/>
      <c r="FE50" s="410"/>
      <c r="FF50" s="97">
        <f t="shared" si="866"/>
        <v>4</v>
      </c>
      <c r="FG50" s="424"/>
      <c r="FH50" s="98">
        <f t="shared" si="868"/>
        <v>4</v>
      </c>
      <c r="FI50" s="411">
        <f t="shared" si="869"/>
        <v>1</v>
      </c>
      <c r="FJ50" s="425"/>
      <c r="FK50" s="411">
        <f t="shared" si="871"/>
        <v>1</v>
      </c>
      <c r="FL50" s="98">
        <f t="shared" si="904"/>
        <v>86</v>
      </c>
      <c r="FM50" s="98">
        <f t="shared" si="905"/>
        <v>16</v>
      </c>
      <c r="FN50" s="261">
        <f t="shared" si="906"/>
        <v>102</v>
      </c>
      <c r="FO50" s="261">
        <f t="shared" si="907"/>
        <v>81</v>
      </c>
      <c r="FP50" s="261">
        <f t="shared" si="908"/>
        <v>13</v>
      </c>
      <c r="FQ50" s="261">
        <f t="shared" si="909"/>
        <v>94</v>
      </c>
      <c r="FR50" s="412"/>
      <c r="FS50" s="412"/>
      <c r="FT50" s="412"/>
      <c r="FU50" s="261">
        <f t="shared" si="910"/>
        <v>81</v>
      </c>
      <c r="FV50" s="261">
        <f t="shared" si="911"/>
        <v>13</v>
      </c>
      <c r="FW50" s="261">
        <f t="shared" si="912"/>
        <v>94</v>
      </c>
      <c r="FX50" s="411">
        <f>FU50/FL50</f>
        <v>0.94186046511627908</v>
      </c>
      <c r="FY50" s="411">
        <v>0</v>
      </c>
      <c r="FZ50" s="411">
        <f>FW50/FN50</f>
        <v>0.92156862745098034</v>
      </c>
      <c r="GA50" s="261">
        <f t="shared" si="884"/>
        <v>739</v>
      </c>
      <c r="GB50" s="261">
        <f t="shared" si="884"/>
        <v>54</v>
      </c>
      <c r="GC50" s="261">
        <f t="shared" si="884"/>
        <v>793</v>
      </c>
      <c r="GD50" s="32">
        <v>180</v>
      </c>
      <c r="GE50" s="32">
        <v>7</v>
      </c>
      <c r="GF50" s="261">
        <f>GD50+GE50</f>
        <v>187</v>
      </c>
      <c r="GG50" s="100">
        <f t="shared" si="916"/>
        <v>24.357239512855209</v>
      </c>
      <c r="GH50" s="100">
        <f t="shared" si="916"/>
        <v>12.962962962962964</v>
      </c>
      <c r="GI50" s="100">
        <f t="shared" si="916"/>
        <v>23.581336696090794</v>
      </c>
      <c r="GJ50" s="261">
        <f t="shared" si="900"/>
        <v>23</v>
      </c>
      <c r="GK50" s="261">
        <f t="shared" si="900"/>
        <v>11</v>
      </c>
      <c r="GL50" s="261">
        <f t="shared" si="900"/>
        <v>34</v>
      </c>
      <c r="GM50" s="261">
        <v>4</v>
      </c>
      <c r="GN50" s="261">
        <v>1</v>
      </c>
      <c r="GO50" s="261">
        <f>GM50+GN50</f>
        <v>5</v>
      </c>
      <c r="GP50" s="413">
        <f t="shared" ref="GP50" si="975">+GM50*100/GJ50</f>
        <v>17.391304347826086</v>
      </c>
      <c r="GQ50" s="413">
        <f t="shared" ref="GQ50" si="976">+GN50*100/GK50</f>
        <v>9.0909090909090917</v>
      </c>
      <c r="GR50" s="413">
        <f t="shared" ref="GR50" si="977">+GO50*100/GL50</f>
        <v>14.705882352941176</v>
      </c>
      <c r="GS50" s="261">
        <f t="shared" si="903"/>
        <v>10</v>
      </c>
      <c r="GT50" s="418"/>
      <c r="GU50" s="261">
        <f t="shared" si="903"/>
        <v>10</v>
      </c>
      <c r="GV50" s="261">
        <v>1</v>
      </c>
      <c r="GW50" s="418"/>
      <c r="GX50" s="261">
        <f>GV50+GW50</f>
        <v>1</v>
      </c>
      <c r="GY50" s="413">
        <f>+GV50*100/GS50</f>
        <v>10</v>
      </c>
      <c r="GZ50" s="419"/>
      <c r="HA50" s="413">
        <f>+GX50*100/GU50</f>
        <v>10</v>
      </c>
      <c r="HB50" s="98">
        <f t="shared" si="167"/>
        <v>81</v>
      </c>
      <c r="HC50" s="98">
        <f t="shared" si="168"/>
        <v>13</v>
      </c>
      <c r="HD50" s="98">
        <f t="shared" si="169"/>
        <v>94</v>
      </c>
      <c r="HE50" s="261">
        <v>12</v>
      </c>
      <c r="HF50" s="261">
        <v>1</v>
      </c>
      <c r="HG50" s="261">
        <f>HE50+HF50</f>
        <v>13</v>
      </c>
      <c r="HH50" s="413">
        <f>+HE50*100/HB50</f>
        <v>14.814814814814815</v>
      </c>
      <c r="HI50" s="413">
        <f t="shared" si="920"/>
        <v>7.6923076923076925</v>
      </c>
      <c r="HJ50" s="413">
        <f>+HG50*100/HD50</f>
        <v>13.829787234042554</v>
      </c>
    </row>
    <row r="51" spans="1:218">
      <c r="A51" s="602" t="s">
        <v>3</v>
      </c>
      <c r="B51" s="602"/>
      <c r="C51" s="353">
        <f t="shared" ref="C51:K51" si="978">SUM(C9:C50)</f>
        <v>9436698</v>
      </c>
      <c r="D51" s="353">
        <f t="shared" si="978"/>
        <v>8392484</v>
      </c>
      <c r="E51" s="353">
        <f t="shared" si="978"/>
        <v>17829182</v>
      </c>
      <c r="F51" s="353">
        <f t="shared" si="978"/>
        <v>7078290</v>
      </c>
      <c r="G51" s="353">
        <f t="shared" si="978"/>
        <v>6445556</v>
      </c>
      <c r="H51" s="353">
        <f t="shared" si="978"/>
        <v>13955008</v>
      </c>
      <c r="I51" s="353">
        <f t="shared" si="978"/>
        <v>222864</v>
      </c>
      <c r="J51" s="353">
        <f t="shared" si="978"/>
        <v>195587</v>
      </c>
      <c r="K51" s="353">
        <f t="shared" si="978"/>
        <v>418451</v>
      </c>
      <c r="L51" s="353">
        <f t="shared" ref="L51:N51" si="979">SUM(L9:L50)</f>
        <v>7301154</v>
      </c>
      <c r="M51" s="353">
        <f t="shared" si="979"/>
        <v>6641143</v>
      </c>
      <c r="N51" s="353">
        <f t="shared" si="979"/>
        <v>14373459</v>
      </c>
      <c r="O51" s="411">
        <f t="shared" ref="O51" si="980">L51/C51</f>
        <v>0.77369796087572162</v>
      </c>
      <c r="P51" s="411">
        <f t="shared" ref="P51" si="981">M51/D51</f>
        <v>0.7913203051682911</v>
      </c>
      <c r="Q51" s="411">
        <f t="shared" ref="Q51" si="982">N51/E51</f>
        <v>0.80617602086287521</v>
      </c>
      <c r="R51" s="353">
        <f t="shared" ref="R51:Z51" si="983">SUM(R9:R50)</f>
        <v>752939</v>
      </c>
      <c r="S51" s="353">
        <f t="shared" si="983"/>
        <v>566959</v>
      </c>
      <c r="T51" s="353">
        <f t="shared" si="983"/>
        <v>1322652</v>
      </c>
      <c r="U51" s="353">
        <f t="shared" si="983"/>
        <v>329388</v>
      </c>
      <c r="V51" s="353">
        <f t="shared" si="983"/>
        <v>255982</v>
      </c>
      <c r="W51" s="353">
        <f t="shared" si="983"/>
        <v>587454</v>
      </c>
      <c r="X51" s="353">
        <f t="shared" si="983"/>
        <v>20552</v>
      </c>
      <c r="Y51" s="353">
        <f t="shared" si="983"/>
        <v>16407</v>
      </c>
      <c r="Z51" s="353">
        <f t="shared" si="983"/>
        <v>36959</v>
      </c>
      <c r="AA51" s="353">
        <f>SUM(AA9:AA50)</f>
        <v>349940</v>
      </c>
      <c r="AB51" s="353">
        <f>SUM(AB9:AB50)</f>
        <v>272389</v>
      </c>
      <c r="AC51" s="353">
        <f>SUM(AC9:AC50)</f>
        <v>624413</v>
      </c>
      <c r="AD51" s="411">
        <f t="shared" si="932"/>
        <v>0.4647654059625016</v>
      </c>
      <c r="AE51" s="411">
        <f t="shared" si="932"/>
        <v>0.48043862078210242</v>
      </c>
      <c r="AF51" s="411">
        <f t="shared" si="932"/>
        <v>0.47209167641979899</v>
      </c>
      <c r="AG51" s="353">
        <f>SUM(AG9:AG50)</f>
        <v>10189637</v>
      </c>
      <c r="AH51" s="353">
        <f t="shared" ref="AH51:AR51" si="984">SUM(AH9:AH50)</f>
        <v>8959443</v>
      </c>
      <c r="AI51" s="353">
        <f t="shared" si="984"/>
        <v>19151834</v>
      </c>
      <c r="AJ51" s="353">
        <f t="shared" si="984"/>
        <v>7407678</v>
      </c>
      <c r="AK51" s="353">
        <f t="shared" si="984"/>
        <v>6701538</v>
      </c>
      <c r="AL51" s="353">
        <f t="shared" si="984"/>
        <v>14542462</v>
      </c>
      <c r="AM51" s="353">
        <f t="shared" si="984"/>
        <v>263354</v>
      </c>
      <c r="AN51" s="353">
        <f t="shared" si="984"/>
        <v>223981</v>
      </c>
      <c r="AO51" s="353">
        <f t="shared" si="984"/>
        <v>487335</v>
      </c>
      <c r="AP51" s="353">
        <f t="shared" si="984"/>
        <v>7650247</v>
      </c>
      <c r="AQ51" s="353">
        <f t="shared" si="984"/>
        <v>6912784</v>
      </c>
      <c r="AR51" s="353">
        <f t="shared" si="984"/>
        <v>14996277</v>
      </c>
      <c r="AS51" s="411">
        <f t="shared" si="972"/>
        <v>0.75078700055752723</v>
      </c>
      <c r="AT51" s="411">
        <f t="shared" si="973"/>
        <v>0.77156403584463895</v>
      </c>
      <c r="AU51" s="411">
        <f t="shared" si="974"/>
        <v>0.78302041465062822</v>
      </c>
      <c r="AV51" s="353">
        <f>SUM(AV9:AV50)</f>
        <v>1653948</v>
      </c>
      <c r="AW51" s="353">
        <f t="shared" ref="AW51:BD51" si="985">SUM(AW9:AW50)</f>
        <v>1493547</v>
      </c>
      <c r="AX51" s="353">
        <f t="shared" si="985"/>
        <v>3191480</v>
      </c>
      <c r="AY51" s="353">
        <f t="shared" si="985"/>
        <v>1170000</v>
      </c>
      <c r="AZ51" s="353">
        <f t="shared" si="985"/>
        <v>1075244</v>
      </c>
      <c r="BA51" s="353">
        <f t="shared" si="985"/>
        <v>2287117</v>
      </c>
      <c r="BB51" s="353">
        <f t="shared" si="985"/>
        <v>42897</v>
      </c>
      <c r="BC51" s="353">
        <f t="shared" si="985"/>
        <v>38257</v>
      </c>
      <c r="BD51" s="353">
        <f t="shared" si="985"/>
        <v>81154</v>
      </c>
      <c r="BE51" s="353">
        <f t="shared" ref="BE51:BG51" si="986">SUM(BE9:BE50)</f>
        <v>1212897</v>
      </c>
      <c r="BF51" s="353">
        <f t="shared" si="986"/>
        <v>1113501</v>
      </c>
      <c r="BG51" s="353">
        <f t="shared" si="986"/>
        <v>2368271</v>
      </c>
      <c r="BH51" s="411">
        <f t="shared" si="829"/>
        <v>0.73333442163840701</v>
      </c>
      <c r="BI51" s="411">
        <f t="shared" si="830"/>
        <v>0.74554131875327656</v>
      </c>
      <c r="BJ51" s="411">
        <f t="shared" si="831"/>
        <v>0.74206042337724187</v>
      </c>
      <c r="BK51" s="353">
        <f>SUM(BK9:BK50)</f>
        <v>132054</v>
      </c>
      <c r="BL51" s="353">
        <f t="shared" ref="BL51:BS51" si="987">SUM(BL9:BL50)</f>
        <v>101422</v>
      </c>
      <c r="BM51" s="353">
        <f t="shared" si="987"/>
        <v>233476</v>
      </c>
      <c r="BN51" s="353">
        <f t="shared" si="987"/>
        <v>55923</v>
      </c>
      <c r="BO51" s="353">
        <f t="shared" si="987"/>
        <v>39689</v>
      </c>
      <c r="BP51" s="353">
        <f t="shared" si="987"/>
        <v>95612</v>
      </c>
      <c r="BQ51" s="353">
        <f t="shared" si="987"/>
        <v>3835</v>
      </c>
      <c r="BR51" s="353">
        <f t="shared" si="987"/>
        <v>3179</v>
      </c>
      <c r="BS51" s="353">
        <f t="shared" si="987"/>
        <v>7014</v>
      </c>
      <c r="BT51" s="353">
        <f t="shared" ref="BT51:BV51" si="988">SUM(BT9:BT50)</f>
        <v>59758</v>
      </c>
      <c r="BU51" s="353">
        <f t="shared" si="988"/>
        <v>42868</v>
      </c>
      <c r="BV51" s="353">
        <f t="shared" si="988"/>
        <v>102626</v>
      </c>
      <c r="BW51" s="411">
        <f t="shared" si="837"/>
        <v>0.45252699653172185</v>
      </c>
      <c r="BX51" s="411">
        <f t="shared" si="838"/>
        <v>0.42266963775117822</v>
      </c>
      <c r="BY51" s="411">
        <f t="shared" si="839"/>
        <v>0.43955695660367661</v>
      </c>
      <c r="BZ51" s="353">
        <f>SUM(BZ9:BZ50)</f>
        <v>1786065</v>
      </c>
      <c r="CA51" s="353">
        <f t="shared" ref="CA51:CK51" si="989">SUM(CA9:CA50)</f>
        <v>1595029</v>
      </c>
      <c r="CB51" s="353">
        <f t="shared" si="989"/>
        <v>3425079</v>
      </c>
      <c r="CC51" s="353">
        <f t="shared" si="989"/>
        <v>1225967</v>
      </c>
      <c r="CD51" s="353">
        <f t="shared" si="989"/>
        <v>1114986</v>
      </c>
      <c r="CE51" s="353">
        <f t="shared" si="989"/>
        <v>2382826</v>
      </c>
      <c r="CF51" s="353">
        <f t="shared" si="989"/>
        <v>52380</v>
      </c>
      <c r="CG51" s="353">
        <f t="shared" si="989"/>
        <v>46311</v>
      </c>
      <c r="CH51" s="353">
        <f t="shared" si="989"/>
        <v>98691</v>
      </c>
      <c r="CI51" s="353">
        <f t="shared" si="989"/>
        <v>1278347</v>
      </c>
      <c r="CJ51" s="353">
        <f t="shared" si="989"/>
        <v>1161297</v>
      </c>
      <c r="CK51" s="353">
        <f t="shared" si="989"/>
        <v>2481517</v>
      </c>
      <c r="CL51" s="411">
        <f t="shared" ref="CL51" si="990">CI51/BZ51</f>
        <v>0.71573374989152128</v>
      </c>
      <c r="CM51" s="411">
        <f t="shared" ref="CM51" si="991">CJ51/CA51</f>
        <v>0.7280726557322782</v>
      </c>
      <c r="CN51" s="411">
        <f t="shared" ref="CN51" si="992">CK51/CB51</f>
        <v>0.72451379953571871</v>
      </c>
      <c r="CO51" s="353">
        <f>SUM(CO9:CO50)</f>
        <v>663652</v>
      </c>
      <c r="CP51" s="353">
        <f t="shared" ref="CP51:CW51" si="993">SUM(CP9:CP50)</f>
        <v>656312</v>
      </c>
      <c r="CQ51" s="353">
        <f t="shared" si="993"/>
        <v>1328072</v>
      </c>
      <c r="CR51" s="353">
        <f t="shared" si="993"/>
        <v>455545</v>
      </c>
      <c r="CS51" s="353">
        <f t="shared" si="993"/>
        <v>448807</v>
      </c>
      <c r="CT51" s="353">
        <f t="shared" si="993"/>
        <v>911407</v>
      </c>
      <c r="CU51" s="353">
        <f t="shared" si="993"/>
        <v>19798</v>
      </c>
      <c r="CV51" s="353">
        <f t="shared" si="993"/>
        <v>21353</v>
      </c>
      <c r="CW51" s="353">
        <f t="shared" si="993"/>
        <v>41151</v>
      </c>
      <c r="CX51" s="353">
        <f t="shared" ref="CX51:CZ51" si="994">SUM(CX9:CX50)</f>
        <v>475343</v>
      </c>
      <c r="CY51" s="353">
        <f t="shared" si="994"/>
        <v>470160</v>
      </c>
      <c r="CZ51" s="353">
        <f t="shared" si="994"/>
        <v>952558</v>
      </c>
      <c r="DA51" s="411">
        <f t="shared" si="845"/>
        <v>0.71625339786514619</v>
      </c>
      <c r="DB51" s="411">
        <f t="shared" ref="DB51" si="995">CY51/CP51</f>
        <v>0.7163666061263545</v>
      </c>
      <c r="DC51" s="411">
        <f t="shared" si="847"/>
        <v>0.71724876362124945</v>
      </c>
      <c r="DD51" s="353">
        <f>SUM(DD9:DD50)</f>
        <v>74419</v>
      </c>
      <c r="DE51" s="353">
        <f t="shared" ref="DE51:DL51" si="996">SUM(DE9:DE50)</f>
        <v>63685</v>
      </c>
      <c r="DF51" s="353">
        <f t="shared" si="996"/>
        <v>138104</v>
      </c>
      <c r="DG51" s="353">
        <f t="shared" si="996"/>
        <v>19839</v>
      </c>
      <c r="DH51" s="353">
        <f t="shared" si="996"/>
        <v>16996</v>
      </c>
      <c r="DI51" s="353">
        <f t="shared" si="996"/>
        <v>36835</v>
      </c>
      <c r="DJ51" s="353">
        <f t="shared" si="996"/>
        <v>3878</v>
      </c>
      <c r="DK51" s="353">
        <f t="shared" si="996"/>
        <v>3569</v>
      </c>
      <c r="DL51" s="353">
        <f t="shared" si="996"/>
        <v>7447</v>
      </c>
      <c r="DM51" s="353">
        <f t="shared" ref="DM51:DO51" si="997">SUM(DM9:DM50)</f>
        <v>23717</v>
      </c>
      <c r="DN51" s="353">
        <f t="shared" si="997"/>
        <v>20565</v>
      </c>
      <c r="DO51" s="353">
        <f t="shared" si="997"/>
        <v>44282</v>
      </c>
      <c r="DP51" s="411">
        <f t="shared" si="853"/>
        <v>0.31869549443018585</v>
      </c>
      <c r="DQ51" s="411">
        <f t="shared" ref="DQ51" si="998">DN51/DE51</f>
        <v>0.32291748449399388</v>
      </c>
      <c r="DR51" s="411">
        <f t="shared" si="855"/>
        <v>0.32064241441232694</v>
      </c>
      <c r="DS51" s="353">
        <f t="shared" ref="DS51:ED51" si="999">SUM(DS9:DS50)</f>
        <v>746556</v>
      </c>
      <c r="DT51" s="353">
        <f t="shared" si="999"/>
        <v>726811</v>
      </c>
      <c r="DU51" s="353">
        <f t="shared" si="999"/>
        <v>1481475</v>
      </c>
      <c r="DV51" s="353">
        <f t="shared" si="999"/>
        <v>480384</v>
      </c>
      <c r="DW51" s="353">
        <f t="shared" si="999"/>
        <v>470860</v>
      </c>
      <c r="DX51" s="353">
        <f t="shared" si="999"/>
        <v>958299</v>
      </c>
      <c r="DY51" s="353">
        <f t="shared" si="999"/>
        <v>27527</v>
      </c>
      <c r="DZ51" s="353">
        <f t="shared" si="999"/>
        <v>28407</v>
      </c>
      <c r="EA51" s="353">
        <f t="shared" si="999"/>
        <v>55934</v>
      </c>
      <c r="EB51" s="353">
        <f t="shared" si="999"/>
        <v>502088</v>
      </c>
      <c r="EC51" s="353">
        <f t="shared" si="999"/>
        <v>493657</v>
      </c>
      <c r="ED51" s="353">
        <f t="shared" si="999"/>
        <v>1002800</v>
      </c>
      <c r="EE51" s="411">
        <f t="shared" ref="EE51" si="1000">EB51/DS51</f>
        <v>0.67253896559668669</v>
      </c>
      <c r="EF51" s="411">
        <f t="shared" ref="EF51" si="1001">EC51/DT51</f>
        <v>0.67920958818730037</v>
      </c>
      <c r="EG51" s="411">
        <f t="shared" ref="EG51" si="1002">ED51/DU51</f>
        <v>0.67689296140670618</v>
      </c>
      <c r="EH51" s="353">
        <f>SUM(EH9:EH50)</f>
        <v>3385321</v>
      </c>
      <c r="EI51" s="353">
        <f t="shared" ref="EI51:EP51" si="1003">SUM(EI9:EI50)</f>
        <v>3023699</v>
      </c>
      <c r="EJ51" s="353">
        <f t="shared" si="1003"/>
        <v>6705040</v>
      </c>
      <c r="EK51" s="353">
        <f t="shared" si="1003"/>
        <v>2691629</v>
      </c>
      <c r="EL51" s="353">
        <f t="shared" si="1003"/>
        <v>2456376</v>
      </c>
      <c r="EM51" s="353">
        <f t="shared" si="1003"/>
        <v>5438504</v>
      </c>
      <c r="EN51" s="353">
        <f t="shared" si="1003"/>
        <v>91489</v>
      </c>
      <c r="EO51" s="353">
        <f t="shared" si="1003"/>
        <v>83994</v>
      </c>
      <c r="EP51" s="353">
        <f t="shared" si="1003"/>
        <v>184998</v>
      </c>
      <c r="EQ51" s="353">
        <f t="shared" ref="EQ51:ES51" si="1004">SUM(EQ9:EQ50)</f>
        <v>2783118</v>
      </c>
      <c r="ER51" s="353">
        <f t="shared" si="1004"/>
        <v>2540370</v>
      </c>
      <c r="ES51" s="353">
        <f t="shared" si="1004"/>
        <v>5623502</v>
      </c>
      <c r="ET51" s="354">
        <f t="shared" si="861"/>
        <v>0.82211347166191917</v>
      </c>
      <c r="EU51" s="354">
        <f t="shared" si="862"/>
        <v>0.8401530707917686</v>
      </c>
      <c r="EV51" s="354">
        <f t="shared" si="863"/>
        <v>0.83869775571808669</v>
      </c>
      <c r="EW51" s="353">
        <f>SUM(EW9:EW50)</f>
        <v>293439</v>
      </c>
      <c r="EX51" s="353">
        <f t="shared" ref="EX51:FE51" si="1005">SUM(EX9:EX50)</f>
        <v>244003</v>
      </c>
      <c r="EY51" s="353">
        <f t="shared" si="1005"/>
        <v>537442</v>
      </c>
      <c r="EZ51" s="353">
        <f t="shared" si="1005"/>
        <v>140444</v>
      </c>
      <c r="FA51" s="353">
        <f t="shared" si="1005"/>
        <v>114286</v>
      </c>
      <c r="FB51" s="353">
        <f t="shared" si="1005"/>
        <v>254730</v>
      </c>
      <c r="FC51" s="353">
        <f t="shared" si="1005"/>
        <v>8727</v>
      </c>
      <c r="FD51" s="353">
        <f t="shared" si="1005"/>
        <v>6963</v>
      </c>
      <c r="FE51" s="353">
        <f t="shared" si="1005"/>
        <v>15690</v>
      </c>
      <c r="FF51" s="353">
        <f t="shared" ref="FF51:FH51" si="1006">SUM(FF9:FF50)</f>
        <v>149171</v>
      </c>
      <c r="FG51" s="353">
        <f t="shared" si="1006"/>
        <v>121249</v>
      </c>
      <c r="FH51" s="353">
        <f t="shared" si="1006"/>
        <v>270420</v>
      </c>
      <c r="FI51" s="354">
        <f t="shared" si="869"/>
        <v>0.50835437688923424</v>
      </c>
      <c r="FJ51" s="354">
        <f t="shared" si="870"/>
        <v>0.49691602152432551</v>
      </c>
      <c r="FK51" s="354">
        <f t="shared" si="871"/>
        <v>0.50316127135579281</v>
      </c>
      <c r="FL51" s="353">
        <f t="shared" ref="FL51:FW51" si="1007">SUM(FL9:FL50)</f>
        <v>3678760</v>
      </c>
      <c r="FM51" s="353">
        <f t="shared" si="1007"/>
        <v>3267702</v>
      </c>
      <c r="FN51" s="353">
        <f t="shared" si="1007"/>
        <v>7242482</v>
      </c>
      <c r="FO51" s="353">
        <f t="shared" si="1007"/>
        <v>2832073</v>
      </c>
      <c r="FP51" s="353">
        <f t="shared" si="1007"/>
        <v>2570662</v>
      </c>
      <c r="FQ51" s="353">
        <f t="shared" si="1007"/>
        <v>5693234</v>
      </c>
      <c r="FR51" s="353">
        <f t="shared" si="1007"/>
        <v>113762</v>
      </c>
      <c r="FS51" s="353">
        <f t="shared" si="1007"/>
        <v>101841</v>
      </c>
      <c r="FT51" s="353">
        <f t="shared" si="1007"/>
        <v>215603</v>
      </c>
      <c r="FU51" s="353">
        <f t="shared" si="1007"/>
        <v>2945835</v>
      </c>
      <c r="FV51" s="353">
        <f t="shared" si="1007"/>
        <v>2672503</v>
      </c>
      <c r="FW51" s="353">
        <f t="shared" si="1007"/>
        <v>5918352</v>
      </c>
      <c r="FX51" s="354">
        <f t="shared" ref="FX51" si="1008">FU51/FL51</f>
        <v>0.80076846546118796</v>
      </c>
      <c r="FY51" s="354">
        <f t="shared" ref="FY51" si="1009">FV51/FM51</f>
        <v>0.81785395363469493</v>
      </c>
      <c r="FZ51" s="354">
        <f t="shared" ref="FZ51" si="1010">FW51/FN51</f>
        <v>0.81717179276386187</v>
      </c>
      <c r="GA51" s="353">
        <f>SUM(GA9:GA50)</f>
        <v>7650247</v>
      </c>
      <c r="GB51" s="353">
        <f t="shared" ref="GB51:GF51" si="1011">SUM(GB9:GB50)</f>
        <v>6912784</v>
      </c>
      <c r="GC51" s="353">
        <f t="shared" si="1011"/>
        <v>14996277</v>
      </c>
      <c r="GD51" s="353">
        <f t="shared" si="1011"/>
        <v>3495873</v>
      </c>
      <c r="GE51" s="353">
        <f t="shared" si="1011"/>
        <v>3449319</v>
      </c>
      <c r="GF51" s="353">
        <f t="shared" si="1011"/>
        <v>7099639</v>
      </c>
      <c r="GG51" s="351">
        <f>GD51*100/(GA51-GA46-GA44-GA39-GA19-GA12)</f>
        <v>47.113607216729925</v>
      </c>
      <c r="GH51" s="351">
        <f>+GE51*100/(GB51-GB46-GB44-GB39-GB19-GB12)</f>
        <v>51.605919245477232</v>
      </c>
      <c r="GI51" s="351">
        <f>+GF51*100/(GC51-GC46-GC44-GC39-GC19-GC12)</f>
        <v>48.83740430993435</v>
      </c>
      <c r="GJ51" s="353">
        <f t="shared" ref="GJ51" si="1012">SUM(GJ9:GJ50)</f>
        <v>1278347</v>
      </c>
      <c r="GK51" s="353">
        <f t="shared" ref="GK51:GO51" si="1013">SUM(GK9:GK50)</f>
        <v>1161297</v>
      </c>
      <c r="GL51" s="353">
        <f t="shared" si="1013"/>
        <v>2481517</v>
      </c>
      <c r="GM51" s="353">
        <f t="shared" si="1013"/>
        <v>475785</v>
      </c>
      <c r="GN51" s="353">
        <f t="shared" si="1013"/>
        <v>484841</v>
      </c>
      <c r="GO51" s="353">
        <f t="shared" si="1013"/>
        <v>960626</v>
      </c>
      <c r="GP51" s="351">
        <f>+GM51*100/(GJ51-GJ45-GJ46-GJ39-GJ12)</f>
        <v>38.558664424499057</v>
      </c>
      <c r="GQ51" s="351">
        <f t="shared" ref="GQ51:GR51" si="1014">+GN51*100/(GK51-GK45-GK46-GK39-GK12)</f>
        <v>43.441770281639791</v>
      </c>
      <c r="GR51" s="351">
        <f t="shared" si="1014"/>
        <v>40.162149348480206</v>
      </c>
      <c r="GS51" s="353">
        <f t="shared" ref="GS51" si="1015">SUM(GS9:GS50)</f>
        <v>502092</v>
      </c>
      <c r="GT51" s="353">
        <f t="shared" ref="GT51:GX51" si="1016">SUM(GT9:GT50)</f>
        <v>493657</v>
      </c>
      <c r="GU51" s="353">
        <f t="shared" si="1016"/>
        <v>1002804</v>
      </c>
      <c r="GV51" s="353">
        <f t="shared" si="1016"/>
        <v>147304</v>
      </c>
      <c r="GW51" s="353">
        <f t="shared" si="1016"/>
        <v>149910</v>
      </c>
      <c r="GX51" s="353">
        <f t="shared" si="1016"/>
        <v>297214</v>
      </c>
      <c r="GY51" s="351">
        <f>+GV51*100/(GS51-GS46-GS39-GS12)</f>
        <v>30.962024731112731</v>
      </c>
      <c r="GZ51" s="351">
        <f t="shared" ref="GZ51" si="1017">+GW51*100/(GT51-GT46-GT39-GT12)</f>
        <v>31.928216356209081</v>
      </c>
      <c r="HA51" s="351">
        <f>+GX51*100/(GU51-GU46-GU39-GU12-GU28)</f>
        <v>31.441934074490177</v>
      </c>
      <c r="HB51" s="353">
        <f t="shared" ref="HB51" si="1018">SUM(HB9:HB50)</f>
        <v>2945835</v>
      </c>
      <c r="HC51" s="353">
        <f t="shared" ref="HC51:HG51" si="1019">SUM(HC9:HC50)</f>
        <v>2672503</v>
      </c>
      <c r="HD51" s="353">
        <f t="shared" si="1019"/>
        <v>5918352</v>
      </c>
      <c r="HE51" s="353">
        <f t="shared" si="1019"/>
        <v>1372354</v>
      </c>
      <c r="HF51" s="353">
        <f t="shared" si="1019"/>
        <v>1355094</v>
      </c>
      <c r="HG51" s="353">
        <f t="shared" si="1019"/>
        <v>2727448</v>
      </c>
      <c r="HH51" s="355">
        <f t="shared" ref="HH51" si="1020">+HE51*100/HB51</f>
        <v>46.586248041726712</v>
      </c>
      <c r="HI51" s="355">
        <f t="shared" ref="HI51" si="1021">+HF51*100/HC51</f>
        <v>50.705050658502536</v>
      </c>
      <c r="HJ51" s="355">
        <f t="shared" ref="HJ51" si="1022">+HG51*100/HD51</f>
        <v>46.084585708994666</v>
      </c>
    </row>
    <row r="52" spans="1:218">
      <c r="A52" s="121"/>
      <c r="B52" s="122"/>
      <c r="C52" s="552" t="s">
        <v>228</v>
      </c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468" t="str">
        <f>+C52</f>
        <v>Black cell indicates that either system does not exist or information is not available.</v>
      </c>
      <c r="S52" s="468"/>
      <c r="T52" s="468"/>
      <c r="U52" s="468"/>
      <c r="V52" s="468"/>
      <c r="W52" s="468"/>
      <c r="X52" s="468"/>
      <c r="Y52" s="468"/>
      <c r="Z52" s="468"/>
      <c r="AA52" s="468"/>
      <c r="AB52" s="121"/>
      <c r="AC52" s="121"/>
      <c r="AD52" s="121"/>
      <c r="AE52" s="121"/>
      <c r="AF52" s="121"/>
      <c r="AG52" s="121" t="str">
        <f>+R52</f>
        <v>Black cell indicates that either system does not exist or information is not available.</v>
      </c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 t="str">
        <f>+AG52</f>
        <v>Black cell indicates that either system does not exist or information is not available.</v>
      </c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 t="str">
        <f>+AV52</f>
        <v>Black cell indicates that either system does not exist or information is not available.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 t="str">
        <f>+BK52</f>
        <v>Black cell indicates that either system does not exist or information is not available.</v>
      </c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 t="str">
        <f>+BZ52</f>
        <v>Black cell indicates that either system does not exist or information is not available.</v>
      </c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 t="str">
        <f>+CO52</f>
        <v>Black cell indicates that either system does not exist or information is not available.</v>
      </c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 t="str">
        <f>+DD52</f>
        <v>Black cell indicates that either system does not exist or information is not available.</v>
      </c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 t="str">
        <f>+DS52</f>
        <v>Black cell indicates that either system does not exist or information is not available.</v>
      </c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 t="str">
        <f>+EH52</f>
        <v>Black cell indicates that either system does not exist or information is not available.</v>
      </c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1"/>
      <c r="FL52" s="121" t="str">
        <f>+EW52</f>
        <v>Black cell indicates that either system does not exist or information is not available.</v>
      </c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121" t="str">
        <f>+DS52</f>
        <v>Black cell indicates that either system does not exist or information is not available.</v>
      </c>
      <c r="GB52" s="121"/>
      <c r="GC52" s="121"/>
      <c r="GD52" s="121"/>
      <c r="GE52" s="121"/>
      <c r="GF52" s="121"/>
      <c r="GG52" s="121"/>
      <c r="GH52" s="121"/>
      <c r="GI52" s="121"/>
      <c r="GJ52" s="121" t="str">
        <f t="shared" ref="GJ52:GJ53" si="1023">DS52</f>
        <v>Black cell indicates that either system does not exist or information is not available.</v>
      </c>
      <c r="GK52" s="121"/>
      <c r="GL52" s="121"/>
      <c r="GM52" s="121"/>
      <c r="GN52" s="121"/>
      <c r="GO52" s="121"/>
      <c r="GP52" s="121"/>
      <c r="GQ52" s="121"/>
      <c r="GR52" s="121"/>
      <c r="GS52" s="121" t="str">
        <f t="shared" ref="GS52:GS53" si="1024">GJ52</f>
        <v>Black cell indicates that either system does not exist or information is not available.</v>
      </c>
      <c r="GT52" s="121"/>
      <c r="GU52" s="121"/>
      <c r="GV52" s="121"/>
      <c r="GW52" s="121"/>
      <c r="GX52" s="121"/>
      <c r="GY52" s="121"/>
      <c r="GZ52" s="121"/>
      <c r="HA52" s="121"/>
      <c r="HB52" s="121" t="str">
        <f t="shared" ref="HB52:HB53" si="1025">GS52</f>
        <v>Black cell indicates that either system does not exist or information is not available.</v>
      </c>
      <c r="HC52" s="121"/>
      <c r="HD52" s="121"/>
      <c r="HE52" s="121"/>
      <c r="HF52" s="121"/>
      <c r="HG52" s="121"/>
      <c r="HH52" s="121"/>
      <c r="HI52" s="121"/>
      <c r="HJ52" s="121"/>
    </row>
    <row r="53" spans="1:218">
      <c r="A53" s="121"/>
      <c r="B53" s="122"/>
      <c r="C53" s="552" t="s">
        <v>407</v>
      </c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468" t="str">
        <f>+C53</f>
        <v xml:space="preserve"> @ Data is repeated from previous year </v>
      </c>
      <c r="S53" s="468"/>
      <c r="T53" s="468"/>
      <c r="U53" s="468"/>
      <c r="V53" s="468"/>
      <c r="W53" s="468"/>
      <c r="X53" s="468"/>
      <c r="Y53" s="468"/>
      <c r="Z53" s="468"/>
      <c r="AA53" s="468"/>
      <c r="AB53" s="121"/>
      <c r="AC53" s="121"/>
      <c r="AD53" s="121"/>
      <c r="AE53" s="121"/>
      <c r="AF53" s="121"/>
      <c r="AG53" s="121" t="str">
        <f>+R53</f>
        <v xml:space="preserve"> @ Data is repeated from previous year 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 t="str">
        <f>+AG53</f>
        <v xml:space="preserve"> @ Data is repeated from previous year </v>
      </c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 t="str">
        <f>+AV53</f>
        <v xml:space="preserve"> @ Data is repeated from previous year </v>
      </c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 t="str">
        <f>+BK53</f>
        <v xml:space="preserve"> @ Data is repeated from previous year </v>
      </c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 t="str">
        <f>+BZ53</f>
        <v xml:space="preserve"> @ Data is repeated from previous year </v>
      </c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 t="str">
        <f>+CO53</f>
        <v xml:space="preserve"> @ Data is repeated from previous year </v>
      </c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 t="str">
        <f>+DD53</f>
        <v xml:space="preserve"> @ Data is repeated from previous year </v>
      </c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 t="str">
        <f>+DS53</f>
        <v xml:space="preserve"> @ Data is repeated from previous year </v>
      </c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 t="str">
        <f>+EH53</f>
        <v xml:space="preserve"> @ Data is repeated from previous year </v>
      </c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 t="str">
        <f>+EW53</f>
        <v xml:space="preserve"> @ Data is repeated from previous year </v>
      </c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 t="str">
        <f>+DS53</f>
        <v xml:space="preserve"> @ Data is repeated from previous year </v>
      </c>
      <c r="GB53" s="121"/>
      <c r="GC53" s="121"/>
      <c r="GD53" s="121"/>
      <c r="GE53" s="121"/>
      <c r="GF53" s="121"/>
      <c r="GG53" s="121"/>
      <c r="GH53" s="121"/>
      <c r="GI53" s="121"/>
      <c r="GJ53" s="121" t="str">
        <f t="shared" si="1023"/>
        <v xml:space="preserve"> @ Data is repeated from previous year </v>
      </c>
      <c r="GK53" s="121"/>
      <c r="GL53" s="121"/>
      <c r="GM53" s="121"/>
      <c r="GN53" s="121"/>
      <c r="GO53" s="121"/>
      <c r="GP53" s="121"/>
      <c r="GQ53" s="121"/>
      <c r="GR53" s="121"/>
      <c r="GS53" s="121" t="str">
        <f t="shared" si="1024"/>
        <v xml:space="preserve"> @ Data is repeated from previous year </v>
      </c>
      <c r="GT53" s="121"/>
      <c r="GU53" s="121"/>
      <c r="GV53" s="121"/>
      <c r="GW53" s="121"/>
      <c r="GX53" s="121"/>
      <c r="GY53" s="121"/>
      <c r="GZ53" s="121"/>
      <c r="HA53" s="121"/>
      <c r="HB53" s="121" t="str">
        <f t="shared" si="1025"/>
        <v xml:space="preserve"> @ Data is repeated from previous year </v>
      </c>
      <c r="HC53" s="121"/>
      <c r="HD53" s="121"/>
      <c r="HE53" s="121"/>
      <c r="HF53" s="121"/>
      <c r="HG53" s="121"/>
      <c r="HH53" s="121"/>
      <c r="HI53" s="121"/>
      <c r="HJ53" s="121"/>
    </row>
  </sheetData>
  <mergeCells count="144">
    <mergeCell ref="C2:Q2"/>
    <mergeCell ref="DD2:DR2"/>
    <mergeCell ref="DS2:EG2"/>
    <mergeCell ref="GJ2:GR2"/>
    <mergeCell ref="GS2:HA2"/>
    <mergeCell ref="BK2:BY2"/>
    <mergeCell ref="BZ2:CN2"/>
    <mergeCell ref="BK3:BV3"/>
    <mergeCell ref="BK4:BM5"/>
    <mergeCell ref="BN4:BV4"/>
    <mergeCell ref="CO2:DC2"/>
    <mergeCell ref="R2:AF2"/>
    <mergeCell ref="AG2:AU2"/>
    <mergeCell ref="AV2:BJ2"/>
    <mergeCell ref="AS3:AU5"/>
    <mergeCell ref="AV3:BG3"/>
    <mergeCell ref="BH3:BJ5"/>
    <mergeCell ref="AV4:AX5"/>
    <mergeCell ref="AY4:BG4"/>
    <mergeCell ref="AP5:AR5"/>
    <mergeCell ref="AD3:AF5"/>
    <mergeCell ref="AG3:AR3"/>
    <mergeCell ref="AY5:BA5"/>
    <mergeCell ref="BB5:BD5"/>
    <mergeCell ref="CO1:DC1"/>
    <mergeCell ref="DD1:DR1"/>
    <mergeCell ref="DS1:EG1"/>
    <mergeCell ref="GA1:GI1"/>
    <mergeCell ref="GJ1:GR1"/>
    <mergeCell ref="GS1:HA1"/>
    <mergeCell ref="C1:Q1"/>
    <mergeCell ref="R1:AF1"/>
    <mergeCell ref="AG1:AU1"/>
    <mergeCell ref="AV1:BJ1"/>
    <mergeCell ref="BK1:BY1"/>
    <mergeCell ref="BZ1:CN1"/>
    <mergeCell ref="EW1:FK1"/>
    <mergeCell ref="FL1:FZ1"/>
    <mergeCell ref="GA3:GC5"/>
    <mergeCell ref="ET3:EV5"/>
    <mergeCell ref="EW3:FH3"/>
    <mergeCell ref="BW3:BY5"/>
    <mergeCell ref="BZ3:CK3"/>
    <mergeCell ref="CL3:CN5"/>
    <mergeCell ref="CO3:CZ3"/>
    <mergeCell ref="DA3:DC5"/>
    <mergeCell ref="DD3:DO3"/>
    <mergeCell ref="BZ4:CB5"/>
    <mergeCell ref="CC4:CK4"/>
    <mergeCell ref="CO4:CQ5"/>
    <mergeCell ref="CR4:CZ4"/>
    <mergeCell ref="EN5:EP5"/>
    <mergeCell ref="EQ5:ES5"/>
    <mergeCell ref="EZ5:FB5"/>
    <mergeCell ref="EH4:EJ5"/>
    <mergeCell ref="DP3:DR5"/>
    <mergeCell ref="C52:Q52"/>
    <mergeCell ref="C53:Q53"/>
    <mergeCell ref="EH1:EV1"/>
    <mergeCell ref="I5:K5"/>
    <mergeCell ref="L5:N5"/>
    <mergeCell ref="AA5:AC5"/>
    <mergeCell ref="AY17:BG17"/>
    <mergeCell ref="EK4:ES4"/>
    <mergeCell ref="EK5:EM5"/>
    <mergeCell ref="BN5:BP5"/>
    <mergeCell ref="BQ5:BS5"/>
    <mergeCell ref="BT5:BV5"/>
    <mergeCell ref="DD4:DF5"/>
    <mergeCell ref="DG4:DO4"/>
    <mergeCell ref="DS3:ED3"/>
    <mergeCell ref="C3:N3"/>
    <mergeCell ref="O3:Q5"/>
    <mergeCell ref="R3:AC3"/>
    <mergeCell ref="X5:Z5"/>
    <mergeCell ref="C4:E5"/>
    <mergeCell ref="F4:N4"/>
    <mergeCell ref="R4:T5"/>
    <mergeCell ref="AJ5:AL5"/>
    <mergeCell ref="F5:H5"/>
    <mergeCell ref="A51:B51"/>
    <mergeCell ref="A8:B8"/>
    <mergeCell ref="DG5:DI5"/>
    <mergeCell ref="CC5:CE5"/>
    <mergeCell ref="CF5:CH5"/>
    <mergeCell ref="CI5:CK5"/>
    <mergeCell ref="CR5:CT5"/>
    <mergeCell ref="CU5:CW5"/>
    <mergeCell ref="CX5:CZ5"/>
    <mergeCell ref="A3:A6"/>
    <mergeCell ref="B3:B6"/>
    <mergeCell ref="U5:W5"/>
    <mergeCell ref="U4:AC4"/>
    <mergeCell ref="AG4:AI5"/>
    <mergeCell ref="AJ4:AR4"/>
    <mergeCell ref="AM5:AO5"/>
    <mergeCell ref="C19:Q19"/>
    <mergeCell ref="BE5:BG5"/>
    <mergeCell ref="EH2:EV2"/>
    <mergeCell ref="EW2:FK2"/>
    <mergeCell ref="FL2:FZ2"/>
    <mergeCell ref="EH3:ES3"/>
    <mergeCell ref="DJ5:DL5"/>
    <mergeCell ref="DM5:DO5"/>
    <mergeCell ref="DV5:DX5"/>
    <mergeCell ref="DY5:EA5"/>
    <mergeCell ref="EB5:ED5"/>
    <mergeCell ref="DS4:DU5"/>
    <mergeCell ref="DV4:ED4"/>
    <mergeCell ref="FF5:FH5"/>
    <mergeCell ref="FO5:FQ5"/>
    <mergeCell ref="FI3:FK5"/>
    <mergeCell ref="FL3:FW3"/>
    <mergeCell ref="FX3:FZ5"/>
    <mergeCell ref="EW4:EY5"/>
    <mergeCell ref="EZ4:FH4"/>
    <mergeCell ref="FL4:FN5"/>
    <mergeCell ref="FO4:FW4"/>
    <mergeCell ref="FC5:FE5"/>
    <mergeCell ref="EE3:EG5"/>
    <mergeCell ref="HB1:HJ1"/>
    <mergeCell ref="HB2:HJ2"/>
    <mergeCell ref="HB3:HD5"/>
    <mergeCell ref="HE3:HG4"/>
    <mergeCell ref="HH3:HJ4"/>
    <mergeCell ref="HE5:HG5"/>
    <mergeCell ref="HH5:HJ5"/>
    <mergeCell ref="FR5:FT5"/>
    <mergeCell ref="FU5:FW5"/>
    <mergeCell ref="GJ3:GL5"/>
    <mergeCell ref="GM3:GO4"/>
    <mergeCell ref="GP3:GR4"/>
    <mergeCell ref="GS3:GU5"/>
    <mergeCell ref="GV3:GX4"/>
    <mergeCell ref="GY3:HA4"/>
    <mergeCell ref="GM5:GO5"/>
    <mergeCell ref="GP5:GR5"/>
    <mergeCell ref="GV5:GX5"/>
    <mergeCell ref="GY5:HA5"/>
    <mergeCell ref="GA2:GI2"/>
    <mergeCell ref="GD3:GF4"/>
    <mergeCell ref="GG3:GI4"/>
    <mergeCell ref="GD5:GF5"/>
    <mergeCell ref="GG5:GI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&amp;CX-2018&amp;R &amp;P</oddFooter>
  </headerFooter>
  <rowBreaks count="1" manualBreakCount="1">
    <brk id="29" max="208" man="1"/>
  </rowBreaks>
  <colBreaks count="12" manualBreakCount="12">
    <brk id="17" max="1048575" man="1"/>
    <brk id="32" max="52" man="1"/>
    <brk id="47" max="1048575" man="1"/>
    <brk id="62" max="52" man="1"/>
    <brk id="77" max="52" man="1"/>
    <brk id="92" max="52" man="1"/>
    <brk id="107" max="52" man="1"/>
    <brk id="122" max="52" man="1"/>
    <brk id="182" max="52" man="1"/>
    <brk id="191" max="52" man="1"/>
    <brk id="200" max="52" man="1"/>
    <brk id="209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52"/>
  <sheetViews>
    <sheetView zoomScale="110" zoomScaleNormal="110" workbookViewId="0">
      <pane xSplit="2" ySplit="7" topLeftCell="FD8" activePane="bottomRight" state="frozen"/>
      <selection pane="topRight" activeCell="C1" sqref="C1"/>
      <selection pane="bottomLeft" activeCell="A8" sqref="A8"/>
      <selection pane="bottomRight" activeCell="FL52" sqref="FL52:FN52"/>
    </sheetView>
  </sheetViews>
  <sheetFormatPr defaultRowHeight="15"/>
  <cols>
    <col min="2" max="2" width="38.28515625" customWidth="1"/>
  </cols>
  <sheetData>
    <row r="1" spans="1:170">
      <c r="A1" s="121"/>
      <c r="B1" s="125"/>
    </row>
    <row r="2" spans="1:170">
      <c r="A2" s="121"/>
      <c r="B2" s="125"/>
    </row>
    <row r="3" spans="1:170">
      <c r="A3" s="604" t="s">
        <v>192</v>
      </c>
      <c r="B3" s="605" t="s">
        <v>42</v>
      </c>
      <c r="C3" s="560" t="s">
        <v>360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382"/>
      <c r="V3" s="382"/>
      <c r="W3" s="382"/>
      <c r="X3" s="560" t="s">
        <v>360</v>
      </c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382"/>
      <c r="AQ3" s="382"/>
      <c r="AR3" s="382"/>
      <c r="AS3" s="560" t="s">
        <v>363</v>
      </c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382"/>
      <c r="BL3" s="382"/>
      <c r="BM3" s="382"/>
      <c r="BN3" s="560" t="s">
        <v>363</v>
      </c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382"/>
      <c r="CG3" s="382"/>
      <c r="CH3" s="382"/>
      <c r="CI3" s="560" t="s">
        <v>362</v>
      </c>
      <c r="CJ3" s="561"/>
      <c r="CK3" s="561"/>
      <c r="CL3" s="561"/>
      <c r="CM3" s="561"/>
      <c r="CN3" s="561"/>
      <c r="CO3" s="561"/>
      <c r="CP3" s="561"/>
      <c r="CQ3" s="561"/>
      <c r="CR3" s="561"/>
      <c r="CS3" s="561"/>
      <c r="CT3" s="561"/>
      <c r="CU3" s="561"/>
      <c r="CV3" s="561"/>
      <c r="CW3" s="561"/>
      <c r="CX3" s="561"/>
      <c r="CY3" s="561"/>
      <c r="CZ3" s="561"/>
      <c r="DA3" s="382"/>
      <c r="DB3" s="382"/>
      <c r="DC3" s="382"/>
      <c r="DD3" s="560" t="s">
        <v>362</v>
      </c>
      <c r="DE3" s="561"/>
      <c r="DF3" s="561"/>
      <c r="DG3" s="561"/>
      <c r="DH3" s="561"/>
      <c r="DI3" s="561"/>
      <c r="DJ3" s="561"/>
      <c r="DK3" s="561"/>
      <c r="DL3" s="561"/>
      <c r="DM3" s="561"/>
      <c r="DN3" s="561"/>
      <c r="DO3" s="561"/>
      <c r="DP3" s="561"/>
      <c r="DQ3" s="561"/>
      <c r="DR3" s="561"/>
      <c r="DS3" s="561"/>
      <c r="DT3" s="561"/>
      <c r="DU3" s="561"/>
      <c r="DV3" s="382"/>
      <c r="DW3" s="382"/>
      <c r="DX3" s="382"/>
      <c r="DY3" s="560" t="s">
        <v>361</v>
      </c>
      <c r="DZ3" s="561"/>
      <c r="EA3" s="561"/>
      <c r="EB3" s="561"/>
      <c r="EC3" s="561"/>
      <c r="ED3" s="561"/>
      <c r="EE3" s="561"/>
      <c r="EF3" s="561"/>
      <c r="EG3" s="561"/>
      <c r="EH3" s="561"/>
      <c r="EI3" s="561"/>
      <c r="EJ3" s="561"/>
      <c r="EK3" s="561"/>
      <c r="EL3" s="561"/>
      <c r="EM3" s="561"/>
      <c r="EN3" s="561"/>
      <c r="EO3" s="561"/>
      <c r="EP3" s="561"/>
      <c r="EQ3" s="382"/>
      <c r="ER3" s="382"/>
      <c r="ES3" s="382"/>
      <c r="ET3" s="560" t="s">
        <v>361</v>
      </c>
      <c r="EU3" s="561"/>
      <c r="EV3" s="561"/>
      <c r="EW3" s="561"/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1"/>
      <c r="FI3" s="561"/>
      <c r="FJ3" s="561"/>
      <c r="FK3" s="561"/>
      <c r="FL3" s="382"/>
      <c r="FM3" s="382"/>
      <c r="FN3" s="382"/>
    </row>
    <row r="4" spans="1:170">
      <c r="A4" s="604"/>
      <c r="B4" s="605"/>
      <c r="C4" s="560" t="s">
        <v>5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2"/>
      <c r="X4" s="560" t="s">
        <v>6</v>
      </c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2"/>
      <c r="AS4" s="560" t="s">
        <v>5</v>
      </c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2"/>
      <c r="BN4" s="560" t="s">
        <v>6</v>
      </c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2"/>
      <c r="CI4" s="560" t="s">
        <v>5</v>
      </c>
      <c r="CJ4" s="561"/>
      <c r="CK4" s="561"/>
      <c r="CL4" s="561"/>
      <c r="CM4" s="561"/>
      <c r="CN4" s="561"/>
      <c r="CO4" s="561"/>
      <c r="CP4" s="561"/>
      <c r="CQ4" s="561"/>
      <c r="CR4" s="561"/>
      <c r="CS4" s="561"/>
      <c r="CT4" s="561"/>
      <c r="CU4" s="561"/>
      <c r="CV4" s="561"/>
      <c r="CW4" s="561"/>
      <c r="CX4" s="561"/>
      <c r="CY4" s="561"/>
      <c r="CZ4" s="561"/>
      <c r="DA4" s="561"/>
      <c r="DB4" s="561"/>
      <c r="DC4" s="562"/>
      <c r="DD4" s="560" t="s">
        <v>6</v>
      </c>
      <c r="DE4" s="561"/>
      <c r="DF4" s="561"/>
      <c r="DG4" s="561"/>
      <c r="DH4" s="561"/>
      <c r="DI4" s="561"/>
      <c r="DJ4" s="561"/>
      <c r="DK4" s="561"/>
      <c r="DL4" s="561"/>
      <c r="DM4" s="561"/>
      <c r="DN4" s="561"/>
      <c r="DO4" s="561"/>
      <c r="DP4" s="561"/>
      <c r="DQ4" s="561"/>
      <c r="DR4" s="561"/>
      <c r="DS4" s="561"/>
      <c r="DT4" s="561"/>
      <c r="DU4" s="561"/>
      <c r="DV4" s="561"/>
      <c r="DW4" s="561"/>
      <c r="DX4" s="562"/>
      <c r="DY4" s="560" t="s">
        <v>5</v>
      </c>
      <c r="DZ4" s="561"/>
      <c r="EA4" s="561"/>
      <c r="EB4" s="561"/>
      <c r="EC4" s="561"/>
      <c r="ED4" s="561"/>
      <c r="EE4" s="561"/>
      <c r="EF4" s="561"/>
      <c r="EG4" s="561"/>
      <c r="EH4" s="561"/>
      <c r="EI4" s="561"/>
      <c r="EJ4" s="561"/>
      <c r="EK4" s="561"/>
      <c r="EL4" s="561"/>
      <c r="EM4" s="561"/>
      <c r="EN4" s="561"/>
      <c r="EO4" s="561"/>
      <c r="EP4" s="561"/>
      <c r="EQ4" s="561"/>
      <c r="ER4" s="561"/>
      <c r="ES4" s="562"/>
      <c r="ET4" s="560" t="s">
        <v>6</v>
      </c>
      <c r="EU4" s="561"/>
      <c r="EV4" s="561"/>
      <c r="EW4" s="561"/>
      <c r="EX4" s="561"/>
      <c r="EY4" s="561"/>
      <c r="EZ4" s="561"/>
      <c r="FA4" s="561"/>
      <c r="FB4" s="561"/>
      <c r="FC4" s="561"/>
      <c r="FD4" s="561"/>
      <c r="FE4" s="561"/>
      <c r="FF4" s="561"/>
      <c r="FG4" s="561"/>
      <c r="FH4" s="561"/>
      <c r="FI4" s="561"/>
      <c r="FJ4" s="561"/>
      <c r="FK4" s="561"/>
      <c r="FL4" s="561"/>
      <c r="FM4" s="561"/>
      <c r="FN4" s="562"/>
    </row>
    <row r="5" spans="1:170">
      <c r="A5" s="604"/>
      <c r="B5" s="605"/>
      <c r="C5" s="600" t="s">
        <v>354</v>
      </c>
      <c r="D5" s="600"/>
      <c r="E5" s="600"/>
      <c r="F5" s="600" t="s">
        <v>355</v>
      </c>
      <c r="G5" s="600"/>
      <c r="H5" s="600"/>
      <c r="I5" s="560" t="s">
        <v>356</v>
      </c>
      <c r="J5" s="561"/>
      <c r="K5" s="562"/>
      <c r="L5" s="560" t="s">
        <v>357</v>
      </c>
      <c r="M5" s="561"/>
      <c r="N5" s="562"/>
      <c r="O5" s="560" t="s">
        <v>358</v>
      </c>
      <c r="P5" s="561"/>
      <c r="Q5" s="562"/>
      <c r="R5" s="600" t="s">
        <v>359</v>
      </c>
      <c r="S5" s="600"/>
      <c r="T5" s="600"/>
      <c r="U5" s="560" t="s">
        <v>3</v>
      </c>
      <c r="V5" s="561"/>
      <c r="W5" s="562"/>
      <c r="X5" s="600" t="s">
        <v>354</v>
      </c>
      <c r="Y5" s="600"/>
      <c r="Z5" s="600"/>
      <c r="AA5" s="600" t="s">
        <v>355</v>
      </c>
      <c r="AB5" s="600"/>
      <c r="AC5" s="600"/>
      <c r="AD5" s="560" t="s">
        <v>356</v>
      </c>
      <c r="AE5" s="561"/>
      <c r="AF5" s="562"/>
      <c r="AG5" s="560" t="s">
        <v>357</v>
      </c>
      <c r="AH5" s="561"/>
      <c r="AI5" s="562"/>
      <c r="AJ5" s="560" t="s">
        <v>358</v>
      </c>
      <c r="AK5" s="561"/>
      <c r="AL5" s="562"/>
      <c r="AM5" s="600" t="s">
        <v>359</v>
      </c>
      <c r="AN5" s="600"/>
      <c r="AO5" s="600"/>
      <c r="AP5" s="560" t="s">
        <v>3</v>
      </c>
      <c r="AQ5" s="561"/>
      <c r="AR5" s="562"/>
      <c r="AS5" s="600" t="s">
        <v>354</v>
      </c>
      <c r="AT5" s="600"/>
      <c r="AU5" s="600"/>
      <c r="AV5" s="600" t="s">
        <v>355</v>
      </c>
      <c r="AW5" s="600"/>
      <c r="AX5" s="600"/>
      <c r="AY5" s="560" t="s">
        <v>356</v>
      </c>
      <c r="AZ5" s="561"/>
      <c r="BA5" s="562"/>
      <c r="BB5" s="560" t="s">
        <v>357</v>
      </c>
      <c r="BC5" s="561"/>
      <c r="BD5" s="562"/>
      <c r="BE5" s="560" t="s">
        <v>358</v>
      </c>
      <c r="BF5" s="561"/>
      <c r="BG5" s="562"/>
      <c r="BH5" s="600" t="s">
        <v>359</v>
      </c>
      <c r="BI5" s="600"/>
      <c r="BJ5" s="600"/>
      <c r="BK5" s="560" t="s">
        <v>3</v>
      </c>
      <c r="BL5" s="561"/>
      <c r="BM5" s="562"/>
      <c r="BN5" s="600" t="s">
        <v>354</v>
      </c>
      <c r="BO5" s="600"/>
      <c r="BP5" s="600"/>
      <c r="BQ5" s="600" t="s">
        <v>355</v>
      </c>
      <c r="BR5" s="600"/>
      <c r="BS5" s="600"/>
      <c r="BT5" s="560" t="s">
        <v>356</v>
      </c>
      <c r="BU5" s="561"/>
      <c r="BV5" s="562"/>
      <c r="BW5" s="560" t="s">
        <v>357</v>
      </c>
      <c r="BX5" s="561"/>
      <c r="BY5" s="562"/>
      <c r="BZ5" s="560" t="s">
        <v>358</v>
      </c>
      <c r="CA5" s="561"/>
      <c r="CB5" s="562"/>
      <c r="CC5" s="600" t="s">
        <v>359</v>
      </c>
      <c r="CD5" s="600"/>
      <c r="CE5" s="600"/>
      <c r="CF5" s="560" t="s">
        <v>3</v>
      </c>
      <c r="CG5" s="561"/>
      <c r="CH5" s="562"/>
      <c r="CI5" s="600" t="s">
        <v>354</v>
      </c>
      <c r="CJ5" s="600"/>
      <c r="CK5" s="600"/>
      <c r="CL5" s="600" t="s">
        <v>355</v>
      </c>
      <c r="CM5" s="600"/>
      <c r="CN5" s="600"/>
      <c r="CO5" s="560" t="s">
        <v>356</v>
      </c>
      <c r="CP5" s="561"/>
      <c r="CQ5" s="562"/>
      <c r="CR5" s="560" t="s">
        <v>357</v>
      </c>
      <c r="CS5" s="561"/>
      <c r="CT5" s="562"/>
      <c r="CU5" s="560" t="s">
        <v>358</v>
      </c>
      <c r="CV5" s="561"/>
      <c r="CW5" s="562"/>
      <c r="CX5" s="600" t="s">
        <v>359</v>
      </c>
      <c r="CY5" s="600"/>
      <c r="CZ5" s="600"/>
      <c r="DA5" s="560" t="s">
        <v>3</v>
      </c>
      <c r="DB5" s="561"/>
      <c r="DC5" s="562"/>
      <c r="DD5" s="600" t="s">
        <v>354</v>
      </c>
      <c r="DE5" s="600"/>
      <c r="DF5" s="600"/>
      <c r="DG5" s="600" t="s">
        <v>355</v>
      </c>
      <c r="DH5" s="600"/>
      <c r="DI5" s="600"/>
      <c r="DJ5" s="560" t="s">
        <v>356</v>
      </c>
      <c r="DK5" s="561"/>
      <c r="DL5" s="562"/>
      <c r="DM5" s="560" t="s">
        <v>357</v>
      </c>
      <c r="DN5" s="561"/>
      <c r="DO5" s="562"/>
      <c r="DP5" s="560" t="s">
        <v>358</v>
      </c>
      <c r="DQ5" s="561"/>
      <c r="DR5" s="562"/>
      <c r="DS5" s="600" t="s">
        <v>359</v>
      </c>
      <c r="DT5" s="600"/>
      <c r="DU5" s="600"/>
      <c r="DV5" s="560" t="s">
        <v>3</v>
      </c>
      <c r="DW5" s="561"/>
      <c r="DX5" s="562"/>
      <c r="DY5" s="600" t="s">
        <v>354</v>
      </c>
      <c r="DZ5" s="600"/>
      <c r="EA5" s="600"/>
      <c r="EB5" s="600" t="s">
        <v>355</v>
      </c>
      <c r="EC5" s="600"/>
      <c r="ED5" s="600"/>
      <c r="EE5" s="560" t="s">
        <v>356</v>
      </c>
      <c r="EF5" s="561"/>
      <c r="EG5" s="562"/>
      <c r="EH5" s="560" t="s">
        <v>357</v>
      </c>
      <c r="EI5" s="561"/>
      <c r="EJ5" s="562"/>
      <c r="EK5" s="560" t="s">
        <v>358</v>
      </c>
      <c r="EL5" s="561"/>
      <c r="EM5" s="562"/>
      <c r="EN5" s="600" t="s">
        <v>359</v>
      </c>
      <c r="EO5" s="600"/>
      <c r="EP5" s="600"/>
      <c r="EQ5" s="560" t="s">
        <v>3</v>
      </c>
      <c r="ER5" s="561"/>
      <c r="ES5" s="562"/>
      <c r="ET5" s="600" t="s">
        <v>354</v>
      </c>
      <c r="EU5" s="600"/>
      <c r="EV5" s="600"/>
      <c r="EW5" s="600" t="s">
        <v>355</v>
      </c>
      <c r="EX5" s="600"/>
      <c r="EY5" s="600"/>
      <c r="EZ5" s="560" t="s">
        <v>356</v>
      </c>
      <c r="FA5" s="561"/>
      <c r="FB5" s="562"/>
      <c r="FC5" s="560" t="s">
        <v>357</v>
      </c>
      <c r="FD5" s="561"/>
      <c r="FE5" s="562"/>
      <c r="FF5" s="560" t="s">
        <v>358</v>
      </c>
      <c r="FG5" s="561"/>
      <c r="FH5" s="562"/>
      <c r="FI5" s="600" t="s">
        <v>359</v>
      </c>
      <c r="FJ5" s="600"/>
      <c r="FK5" s="600"/>
      <c r="FL5" s="560" t="s">
        <v>3</v>
      </c>
      <c r="FM5" s="561"/>
      <c r="FN5" s="562"/>
    </row>
    <row r="6" spans="1:170">
      <c r="A6" s="604"/>
      <c r="B6" s="605"/>
      <c r="C6" s="374" t="s">
        <v>43</v>
      </c>
      <c r="D6" s="374" t="s">
        <v>44</v>
      </c>
      <c r="E6" s="374" t="s">
        <v>3</v>
      </c>
      <c r="F6" s="374" t="s">
        <v>43</v>
      </c>
      <c r="G6" s="374" t="s">
        <v>44</v>
      </c>
      <c r="H6" s="374" t="s">
        <v>3</v>
      </c>
      <c r="I6" s="374" t="s">
        <v>43</v>
      </c>
      <c r="J6" s="374" t="s">
        <v>44</v>
      </c>
      <c r="K6" s="374" t="s">
        <v>3</v>
      </c>
      <c r="L6" s="374" t="s">
        <v>43</v>
      </c>
      <c r="M6" s="374" t="s">
        <v>44</v>
      </c>
      <c r="N6" s="374" t="s">
        <v>3</v>
      </c>
      <c r="O6" s="374" t="s">
        <v>43</v>
      </c>
      <c r="P6" s="374" t="s">
        <v>44</v>
      </c>
      <c r="Q6" s="374" t="s">
        <v>3</v>
      </c>
      <c r="R6" s="374" t="s">
        <v>43</v>
      </c>
      <c r="S6" s="374" t="s">
        <v>44</v>
      </c>
      <c r="T6" s="374" t="s">
        <v>3</v>
      </c>
      <c r="U6" s="374" t="s">
        <v>43</v>
      </c>
      <c r="V6" s="374" t="s">
        <v>44</v>
      </c>
      <c r="W6" s="374" t="s">
        <v>3</v>
      </c>
      <c r="X6" s="374" t="s">
        <v>43</v>
      </c>
      <c r="Y6" s="374" t="s">
        <v>44</v>
      </c>
      <c r="Z6" s="374" t="s">
        <v>3</v>
      </c>
      <c r="AA6" s="374" t="s">
        <v>43</v>
      </c>
      <c r="AB6" s="374" t="s">
        <v>44</v>
      </c>
      <c r="AC6" s="374" t="s">
        <v>3</v>
      </c>
      <c r="AD6" s="374" t="s">
        <v>43</v>
      </c>
      <c r="AE6" s="374" t="s">
        <v>44</v>
      </c>
      <c r="AF6" s="374" t="s">
        <v>3</v>
      </c>
      <c r="AG6" s="374" t="s">
        <v>43</v>
      </c>
      <c r="AH6" s="374" t="s">
        <v>44</v>
      </c>
      <c r="AI6" s="374" t="s">
        <v>3</v>
      </c>
      <c r="AJ6" s="374" t="s">
        <v>43</v>
      </c>
      <c r="AK6" s="374" t="s">
        <v>44</v>
      </c>
      <c r="AL6" s="374" t="s">
        <v>3</v>
      </c>
      <c r="AM6" s="374" t="s">
        <v>43</v>
      </c>
      <c r="AN6" s="374" t="s">
        <v>44</v>
      </c>
      <c r="AO6" s="374" t="s">
        <v>3</v>
      </c>
      <c r="AP6" s="374" t="s">
        <v>43</v>
      </c>
      <c r="AQ6" s="374" t="s">
        <v>44</v>
      </c>
      <c r="AR6" s="374" t="s">
        <v>3</v>
      </c>
      <c r="AS6" s="374" t="s">
        <v>43</v>
      </c>
      <c r="AT6" s="374" t="s">
        <v>44</v>
      </c>
      <c r="AU6" s="374" t="s">
        <v>3</v>
      </c>
      <c r="AV6" s="374" t="s">
        <v>43</v>
      </c>
      <c r="AW6" s="374" t="s">
        <v>44</v>
      </c>
      <c r="AX6" s="374" t="s">
        <v>3</v>
      </c>
      <c r="AY6" s="374" t="s">
        <v>43</v>
      </c>
      <c r="AZ6" s="374" t="s">
        <v>44</v>
      </c>
      <c r="BA6" s="374" t="s">
        <v>3</v>
      </c>
      <c r="BB6" s="374" t="s">
        <v>43</v>
      </c>
      <c r="BC6" s="374" t="s">
        <v>44</v>
      </c>
      <c r="BD6" s="374" t="s">
        <v>3</v>
      </c>
      <c r="BE6" s="374" t="s">
        <v>43</v>
      </c>
      <c r="BF6" s="374" t="s">
        <v>44</v>
      </c>
      <c r="BG6" s="374" t="s">
        <v>3</v>
      </c>
      <c r="BH6" s="374" t="s">
        <v>43</v>
      </c>
      <c r="BI6" s="374" t="s">
        <v>44</v>
      </c>
      <c r="BJ6" s="374" t="s">
        <v>3</v>
      </c>
      <c r="BK6" s="374" t="s">
        <v>43</v>
      </c>
      <c r="BL6" s="374" t="s">
        <v>44</v>
      </c>
      <c r="BM6" s="374" t="s">
        <v>3</v>
      </c>
      <c r="BN6" s="374" t="s">
        <v>43</v>
      </c>
      <c r="BO6" s="374" t="s">
        <v>44</v>
      </c>
      <c r="BP6" s="374" t="s">
        <v>3</v>
      </c>
      <c r="BQ6" s="374" t="s">
        <v>43</v>
      </c>
      <c r="BR6" s="374" t="s">
        <v>44</v>
      </c>
      <c r="BS6" s="374" t="s">
        <v>3</v>
      </c>
      <c r="BT6" s="374" t="s">
        <v>43</v>
      </c>
      <c r="BU6" s="374" t="s">
        <v>44</v>
      </c>
      <c r="BV6" s="374" t="s">
        <v>3</v>
      </c>
      <c r="BW6" s="374" t="s">
        <v>43</v>
      </c>
      <c r="BX6" s="374" t="s">
        <v>44</v>
      </c>
      <c r="BY6" s="374" t="s">
        <v>3</v>
      </c>
      <c r="BZ6" s="374" t="s">
        <v>43</v>
      </c>
      <c r="CA6" s="374" t="s">
        <v>44</v>
      </c>
      <c r="CB6" s="374" t="s">
        <v>3</v>
      </c>
      <c r="CC6" s="374" t="s">
        <v>43</v>
      </c>
      <c r="CD6" s="374" t="s">
        <v>44</v>
      </c>
      <c r="CE6" s="374" t="s">
        <v>3</v>
      </c>
      <c r="CF6" s="374" t="s">
        <v>43</v>
      </c>
      <c r="CG6" s="374" t="s">
        <v>44</v>
      </c>
      <c r="CH6" s="374" t="s">
        <v>3</v>
      </c>
      <c r="CI6" s="374" t="s">
        <v>43</v>
      </c>
      <c r="CJ6" s="374" t="s">
        <v>44</v>
      </c>
      <c r="CK6" s="374" t="s">
        <v>3</v>
      </c>
      <c r="CL6" s="374" t="s">
        <v>43</v>
      </c>
      <c r="CM6" s="374" t="s">
        <v>44</v>
      </c>
      <c r="CN6" s="374" t="s">
        <v>3</v>
      </c>
      <c r="CO6" s="374" t="s">
        <v>43</v>
      </c>
      <c r="CP6" s="374" t="s">
        <v>44</v>
      </c>
      <c r="CQ6" s="374" t="s">
        <v>3</v>
      </c>
      <c r="CR6" s="374" t="s">
        <v>43</v>
      </c>
      <c r="CS6" s="374" t="s">
        <v>44</v>
      </c>
      <c r="CT6" s="374" t="s">
        <v>3</v>
      </c>
      <c r="CU6" s="374" t="s">
        <v>43</v>
      </c>
      <c r="CV6" s="374" t="s">
        <v>44</v>
      </c>
      <c r="CW6" s="374" t="s">
        <v>3</v>
      </c>
      <c r="CX6" s="374" t="s">
        <v>43</v>
      </c>
      <c r="CY6" s="374" t="s">
        <v>44</v>
      </c>
      <c r="CZ6" s="374" t="s">
        <v>3</v>
      </c>
      <c r="DA6" s="374" t="s">
        <v>43</v>
      </c>
      <c r="DB6" s="374" t="s">
        <v>44</v>
      </c>
      <c r="DC6" s="374" t="s">
        <v>3</v>
      </c>
      <c r="DD6" s="374" t="s">
        <v>43</v>
      </c>
      <c r="DE6" s="374" t="s">
        <v>44</v>
      </c>
      <c r="DF6" s="374" t="s">
        <v>3</v>
      </c>
      <c r="DG6" s="374" t="s">
        <v>43</v>
      </c>
      <c r="DH6" s="374" t="s">
        <v>44</v>
      </c>
      <c r="DI6" s="374" t="s">
        <v>3</v>
      </c>
      <c r="DJ6" s="374" t="s">
        <v>43</v>
      </c>
      <c r="DK6" s="374" t="s">
        <v>44</v>
      </c>
      <c r="DL6" s="374" t="s">
        <v>3</v>
      </c>
      <c r="DM6" s="374" t="s">
        <v>43</v>
      </c>
      <c r="DN6" s="374" t="s">
        <v>44</v>
      </c>
      <c r="DO6" s="374" t="s">
        <v>3</v>
      </c>
      <c r="DP6" s="374" t="s">
        <v>43</v>
      </c>
      <c r="DQ6" s="374" t="s">
        <v>44</v>
      </c>
      <c r="DR6" s="374" t="s">
        <v>3</v>
      </c>
      <c r="DS6" s="374" t="s">
        <v>43</v>
      </c>
      <c r="DT6" s="374" t="s">
        <v>44</v>
      </c>
      <c r="DU6" s="374" t="s">
        <v>3</v>
      </c>
      <c r="DV6" s="374" t="s">
        <v>43</v>
      </c>
      <c r="DW6" s="374" t="s">
        <v>44</v>
      </c>
      <c r="DX6" s="374" t="s">
        <v>3</v>
      </c>
      <c r="DY6" s="374" t="s">
        <v>43</v>
      </c>
      <c r="DZ6" s="374" t="s">
        <v>44</v>
      </c>
      <c r="EA6" s="374" t="s">
        <v>3</v>
      </c>
      <c r="EB6" s="374" t="s">
        <v>43</v>
      </c>
      <c r="EC6" s="374" t="s">
        <v>44</v>
      </c>
      <c r="ED6" s="374" t="s">
        <v>3</v>
      </c>
      <c r="EE6" s="374" t="s">
        <v>43</v>
      </c>
      <c r="EF6" s="374" t="s">
        <v>44</v>
      </c>
      <c r="EG6" s="374" t="s">
        <v>3</v>
      </c>
      <c r="EH6" s="374" t="s">
        <v>43</v>
      </c>
      <c r="EI6" s="374" t="s">
        <v>44</v>
      </c>
      <c r="EJ6" s="374" t="s">
        <v>3</v>
      </c>
      <c r="EK6" s="374" t="s">
        <v>43</v>
      </c>
      <c r="EL6" s="374" t="s">
        <v>44</v>
      </c>
      <c r="EM6" s="374" t="s">
        <v>3</v>
      </c>
      <c r="EN6" s="374" t="s">
        <v>43</v>
      </c>
      <c r="EO6" s="374" t="s">
        <v>44</v>
      </c>
      <c r="EP6" s="374" t="s">
        <v>3</v>
      </c>
      <c r="EQ6" s="374" t="s">
        <v>43</v>
      </c>
      <c r="ER6" s="374" t="s">
        <v>44</v>
      </c>
      <c r="ES6" s="374" t="s">
        <v>3</v>
      </c>
      <c r="ET6" s="374" t="s">
        <v>43</v>
      </c>
      <c r="EU6" s="374" t="s">
        <v>44</v>
      </c>
      <c r="EV6" s="374" t="s">
        <v>3</v>
      </c>
      <c r="EW6" s="374" t="s">
        <v>43</v>
      </c>
      <c r="EX6" s="374" t="s">
        <v>44</v>
      </c>
      <c r="EY6" s="374" t="s">
        <v>3</v>
      </c>
      <c r="EZ6" s="374" t="s">
        <v>43</v>
      </c>
      <c r="FA6" s="374" t="s">
        <v>44</v>
      </c>
      <c r="FB6" s="374" t="s">
        <v>3</v>
      </c>
      <c r="FC6" s="374" t="s">
        <v>43</v>
      </c>
      <c r="FD6" s="374" t="s">
        <v>44</v>
      </c>
      <c r="FE6" s="374" t="s">
        <v>3</v>
      </c>
      <c r="FF6" s="374" t="s">
        <v>43</v>
      </c>
      <c r="FG6" s="374" t="s">
        <v>44</v>
      </c>
      <c r="FH6" s="374" t="s">
        <v>3</v>
      </c>
      <c r="FI6" s="374" t="s">
        <v>43</v>
      </c>
      <c r="FJ6" s="374" t="s">
        <v>44</v>
      </c>
      <c r="FK6" s="374" t="s">
        <v>3</v>
      </c>
      <c r="FL6" s="374" t="s">
        <v>43</v>
      </c>
      <c r="FM6" s="374" t="s">
        <v>44</v>
      </c>
      <c r="FN6" s="374" t="s">
        <v>3</v>
      </c>
    </row>
    <row r="7" spans="1:170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3</v>
      </c>
      <c r="J7" s="77">
        <v>4</v>
      </c>
      <c r="K7" s="77">
        <v>5</v>
      </c>
      <c r="L7" s="77">
        <v>6</v>
      </c>
      <c r="M7" s="77">
        <v>7</v>
      </c>
      <c r="N7" s="77">
        <v>8</v>
      </c>
      <c r="O7" s="77">
        <v>3</v>
      </c>
      <c r="P7" s="77">
        <v>4</v>
      </c>
      <c r="Q7" s="77">
        <v>5</v>
      </c>
      <c r="R7" s="77">
        <v>6</v>
      </c>
      <c r="S7" s="77">
        <v>7</v>
      </c>
      <c r="T7" s="77">
        <v>8</v>
      </c>
      <c r="U7" s="77">
        <v>6</v>
      </c>
      <c r="V7" s="77">
        <v>7</v>
      </c>
      <c r="W7" s="77">
        <v>8</v>
      </c>
      <c r="X7" s="77">
        <v>3</v>
      </c>
      <c r="Y7" s="77">
        <v>4</v>
      </c>
      <c r="Z7" s="77">
        <v>5</v>
      </c>
      <c r="AA7" s="77">
        <v>6</v>
      </c>
      <c r="AB7" s="77">
        <v>7</v>
      </c>
      <c r="AC7" s="77">
        <v>8</v>
      </c>
      <c r="AD7" s="77">
        <v>3</v>
      </c>
      <c r="AE7" s="77">
        <v>4</v>
      </c>
      <c r="AF7" s="77">
        <v>5</v>
      </c>
      <c r="AG7" s="77">
        <v>6</v>
      </c>
      <c r="AH7" s="77">
        <v>7</v>
      </c>
      <c r="AI7" s="77">
        <v>8</v>
      </c>
      <c r="AJ7" s="77">
        <v>3</v>
      </c>
      <c r="AK7" s="77">
        <v>4</v>
      </c>
      <c r="AL7" s="77">
        <v>5</v>
      </c>
      <c r="AM7" s="77">
        <v>6</v>
      </c>
      <c r="AN7" s="77">
        <v>7</v>
      </c>
      <c r="AO7" s="77">
        <v>8</v>
      </c>
      <c r="AP7" s="77">
        <v>6</v>
      </c>
      <c r="AQ7" s="77">
        <v>7</v>
      </c>
      <c r="AR7" s="77">
        <v>8</v>
      </c>
      <c r="AS7" s="77">
        <v>3</v>
      </c>
      <c r="AT7" s="77">
        <v>4</v>
      </c>
      <c r="AU7" s="77">
        <v>5</v>
      </c>
      <c r="AV7" s="77">
        <v>6</v>
      </c>
      <c r="AW7" s="77">
        <v>7</v>
      </c>
      <c r="AX7" s="77">
        <v>8</v>
      </c>
      <c r="AY7" s="77">
        <v>3</v>
      </c>
      <c r="AZ7" s="77">
        <v>4</v>
      </c>
      <c r="BA7" s="77">
        <v>5</v>
      </c>
      <c r="BB7" s="77">
        <v>6</v>
      </c>
      <c r="BC7" s="77">
        <v>7</v>
      </c>
      <c r="BD7" s="77">
        <v>8</v>
      </c>
      <c r="BE7" s="77">
        <v>3</v>
      </c>
      <c r="BF7" s="77">
        <v>4</v>
      </c>
      <c r="BG7" s="77">
        <v>5</v>
      </c>
      <c r="BH7" s="77">
        <v>6</v>
      </c>
      <c r="BI7" s="77">
        <v>7</v>
      </c>
      <c r="BJ7" s="77">
        <v>8</v>
      </c>
      <c r="BK7" s="77">
        <v>6</v>
      </c>
      <c r="BL7" s="77">
        <v>7</v>
      </c>
      <c r="BM7" s="77">
        <v>8</v>
      </c>
      <c r="BN7" s="77">
        <v>3</v>
      </c>
      <c r="BO7" s="77">
        <v>4</v>
      </c>
      <c r="BP7" s="77">
        <v>5</v>
      </c>
      <c r="BQ7" s="77">
        <v>6</v>
      </c>
      <c r="BR7" s="77">
        <v>7</v>
      </c>
      <c r="BS7" s="77">
        <v>8</v>
      </c>
      <c r="BT7" s="77">
        <v>3</v>
      </c>
      <c r="BU7" s="77">
        <v>4</v>
      </c>
      <c r="BV7" s="77">
        <v>5</v>
      </c>
      <c r="BW7" s="77">
        <v>6</v>
      </c>
      <c r="BX7" s="77">
        <v>7</v>
      </c>
      <c r="BY7" s="77">
        <v>8</v>
      </c>
      <c r="BZ7" s="77">
        <v>3</v>
      </c>
      <c r="CA7" s="77">
        <v>4</v>
      </c>
      <c r="CB7" s="77">
        <v>5</v>
      </c>
      <c r="CC7" s="77">
        <v>6</v>
      </c>
      <c r="CD7" s="77">
        <v>7</v>
      </c>
      <c r="CE7" s="77">
        <v>8</v>
      </c>
      <c r="CF7" s="77">
        <v>6</v>
      </c>
      <c r="CG7" s="77">
        <v>7</v>
      </c>
      <c r="CH7" s="77">
        <v>8</v>
      </c>
      <c r="CI7" s="77">
        <v>3</v>
      </c>
      <c r="CJ7" s="77">
        <v>4</v>
      </c>
      <c r="CK7" s="77">
        <v>5</v>
      </c>
      <c r="CL7" s="77">
        <v>6</v>
      </c>
      <c r="CM7" s="77">
        <v>7</v>
      </c>
      <c r="CN7" s="77">
        <v>8</v>
      </c>
      <c r="CO7" s="77">
        <v>3</v>
      </c>
      <c r="CP7" s="77">
        <v>4</v>
      </c>
      <c r="CQ7" s="77">
        <v>5</v>
      </c>
      <c r="CR7" s="77">
        <v>6</v>
      </c>
      <c r="CS7" s="77">
        <v>7</v>
      </c>
      <c r="CT7" s="77">
        <v>8</v>
      </c>
      <c r="CU7" s="77">
        <v>3</v>
      </c>
      <c r="CV7" s="77">
        <v>4</v>
      </c>
      <c r="CW7" s="77">
        <v>5</v>
      </c>
      <c r="CX7" s="77">
        <v>6</v>
      </c>
      <c r="CY7" s="77">
        <v>7</v>
      </c>
      <c r="CZ7" s="77">
        <v>8</v>
      </c>
      <c r="DA7" s="77">
        <v>6</v>
      </c>
      <c r="DB7" s="77">
        <v>7</v>
      </c>
      <c r="DC7" s="77">
        <v>8</v>
      </c>
      <c r="DD7" s="77">
        <v>3</v>
      </c>
      <c r="DE7" s="77">
        <v>4</v>
      </c>
      <c r="DF7" s="77">
        <v>5</v>
      </c>
      <c r="DG7" s="77">
        <v>6</v>
      </c>
      <c r="DH7" s="77">
        <v>7</v>
      </c>
      <c r="DI7" s="77">
        <v>8</v>
      </c>
      <c r="DJ7" s="77">
        <v>3</v>
      </c>
      <c r="DK7" s="77">
        <v>4</v>
      </c>
      <c r="DL7" s="77">
        <v>5</v>
      </c>
      <c r="DM7" s="77">
        <v>6</v>
      </c>
      <c r="DN7" s="77">
        <v>7</v>
      </c>
      <c r="DO7" s="77">
        <v>8</v>
      </c>
      <c r="DP7" s="77">
        <v>3</v>
      </c>
      <c r="DQ7" s="77">
        <v>4</v>
      </c>
      <c r="DR7" s="77">
        <v>5</v>
      </c>
      <c r="DS7" s="77">
        <v>6</v>
      </c>
      <c r="DT7" s="77">
        <v>7</v>
      </c>
      <c r="DU7" s="77">
        <v>8</v>
      </c>
      <c r="DV7" s="77">
        <v>6</v>
      </c>
      <c r="DW7" s="77">
        <v>7</v>
      </c>
      <c r="DX7" s="77">
        <v>8</v>
      </c>
      <c r="DY7" s="77">
        <v>3</v>
      </c>
      <c r="DZ7" s="77">
        <v>4</v>
      </c>
      <c r="EA7" s="77">
        <v>5</v>
      </c>
      <c r="EB7" s="77">
        <v>6</v>
      </c>
      <c r="EC7" s="77">
        <v>7</v>
      </c>
      <c r="ED7" s="77">
        <v>8</v>
      </c>
      <c r="EE7" s="77">
        <v>3</v>
      </c>
      <c r="EF7" s="77">
        <v>4</v>
      </c>
      <c r="EG7" s="77">
        <v>5</v>
      </c>
      <c r="EH7" s="77">
        <v>6</v>
      </c>
      <c r="EI7" s="77">
        <v>7</v>
      </c>
      <c r="EJ7" s="77">
        <v>8</v>
      </c>
      <c r="EK7" s="77">
        <v>3</v>
      </c>
      <c r="EL7" s="77">
        <v>4</v>
      </c>
      <c r="EM7" s="77">
        <v>5</v>
      </c>
      <c r="EN7" s="77">
        <v>6</v>
      </c>
      <c r="EO7" s="77">
        <v>7</v>
      </c>
      <c r="EP7" s="77">
        <v>8</v>
      </c>
      <c r="EQ7" s="77">
        <v>6</v>
      </c>
      <c r="ER7" s="77">
        <v>7</v>
      </c>
      <c r="ES7" s="77">
        <v>8</v>
      </c>
      <c r="ET7" s="77">
        <v>3</v>
      </c>
      <c r="EU7" s="77">
        <v>4</v>
      </c>
      <c r="EV7" s="77">
        <v>5</v>
      </c>
      <c r="EW7" s="77">
        <v>6</v>
      </c>
      <c r="EX7" s="77">
        <v>7</v>
      </c>
      <c r="EY7" s="77">
        <v>8</v>
      </c>
      <c r="EZ7" s="77">
        <v>3</v>
      </c>
      <c r="FA7" s="77">
        <v>4</v>
      </c>
      <c r="FB7" s="77">
        <v>5</v>
      </c>
      <c r="FC7" s="77">
        <v>6</v>
      </c>
      <c r="FD7" s="77">
        <v>7</v>
      </c>
      <c r="FE7" s="77">
        <v>8</v>
      </c>
      <c r="FF7" s="77">
        <v>3</v>
      </c>
      <c r="FG7" s="77">
        <v>4</v>
      </c>
      <c r="FH7" s="77">
        <v>5</v>
      </c>
      <c r="FI7" s="77">
        <v>6</v>
      </c>
      <c r="FJ7" s="77">
        <v>7</v>
      </c>
      <c r="FK7" s="77">
        <v>8</v>
      </c>
      <c r="FL7" s="77">
        <v>6</v>
      </c>
      <c r="FM7" s="77">
        <v>7</v>
      </c>
      <c r="FN7" s="77">
        <v>8</v>
      </c>
    </row>
    <row r="8" spans="1:170">
      <c r="A8" s="603" t="s">
        <v>216</v>
      </c>
      <c r="B8" s="603"/>
      <c r="N8">
        <f>+L8+M8</f>
        <v>0</v>
      </c>
      <c r="AR8">
        <f>AP8+AQ8</f>
        <v>0</v>
      </c>
    </row>
    <row r="9" spans="1:170" ht="28.5">
      <c r="A9" s="94">
        <v>1</v>
      </c>
      <c r="B9" s="118" t="s">
        <v>143</v>
      </c>
      <c r="K9">
        <f>I9+J9</f>
        <v>0</v>
      </c>
      <c r="N9">
        <f>+L9+M9</f>
        <v>0</v>
      </c>
      <c r="U9">
        <f>+C9+F9+I9+L9+O9+R9</f>
        <v>0</v>
      </c>
      <c r="V9">
        <f t="shared" ref="V9:W9" si="0">+D9+G9+J9+M9+P9+S9</f>
        <v>0</v>
      </c>
      <c r="W9">
        <f t="shared" si="0"/>
        <v>0</v>
      </c>
      <c r="AF9">
        <f>AD9+AE9</f>
        <v>0</v>
      </c>
      <c r="AP9">
        <f>+X9+AA9+AD9+AG9+AJ9+AM9</f>
        <v>0</v>
      </c>
      <c r="AQ9">
        <f t="shared" ref="AQ9:AQ51" si="1">+Y9+AB9+AE9+AH9+AK9+AN9</f>
        <v>0</v>
      </c>
      <c r="AR9">
        <f t="shared" ref="AR9:AR51" si="2">AP9+AQ9</f>
        <v>0</v>
      </c>
      <c r="BK9">
        <f>+AS9+AV9+AY9+BB9+BE9+BH9</f>
        <v>0</v>
      </c>
      <c r="BL9">
        <f t="shared" ref="BL9:BL51" si="3">+AT9+AW9+AZ9+BC9+BF9+BI9</f>
        <v>0</v>
      </c>
      <c r="BM9">
        <f t="shared" ref="BM9:BM51" si="4">+AU9+AX9+BA9+BD9+BG9+BJ9</f>
        <v>0</v>
      </c>
      <c r="CF9">
        <f>+BN9+BQ9+BT9+BW9+BZ9+CC9</f>
        <v>0</v>
      </c>
      <c r="CG9">
        <f t="shared" ref="CG9:CG51" si="5">+BO9+BR9+BU9+BX9+CA9+CD9</f>
        <v>0</v>
      </c>
      <c r="CH9">
        <f t="shared" ref="CH9:CH51" si="6">+BP9+BS9+BV9+BY9+CB9+CE9</f>
        <v>0</v>
      </c>
      <c r="DA9">
        <f>+CI9+CL9+CO9+CR9+CU9+CX9</f>
        <v>0</v>
      </c>
      <c r="DB9">
        <f t="shared" ref="DB9:DB51" si="7">+CJ9+CM9+CP9+CS9+CV9+CY9</f>
        <v>0</v>
      </c>
      <c r="DC9">
        <f t="shared" ref="DC9:DC51" si="8">+CK9+CN9+CQ9+CT9+CW9+CZ9</f>
        <v>0</v>
      </c>
      <c r="DV9">
        <f>+DD9+DG9+DJ9+DM9+DP9+DS9</f>
        <v>0</v>
      </c>
      <c r="DW9">
        <f t="shared" ref="DW9:DW51" si="9">+DE9+DH9+DK9+DN9+DQ9+DT9</f>
        <v>0</v>
      </c>
      <c r="DX9">
        <f t="shared" ref="DX9:DX51" si="10">+DF9+DI9+DL9+DO9+DR9+DU9</f>
        <v>0</v>
      </c>
      <c r="EQ9">
        <f>+DY9+EB9+EE9+EH9+EK9+EN9</f>
        <v>0</v>
      </c>
      <c r="ER9">
        <f t="shared" ref="ER9:ER51" si="11">+DZ9+EC9+EF9+EI9+EL9+EO9</f>
        <v>0</v>
      </c>
      <c r="ES9">
        <f>EQ9+ER9</f>
        <v>0</v>
      </c>
      <c r="FL9">
        <f>+ET9+EW9+EZ9+FC9+FF9+FI9</f>
        <v>0</v>
      </c>
      <c r="FM9">
        <f t="shared" ref="FM9:FM51" si="12">+EU9+EX9+FA9+FD9+FG9+FJ9</f>
        <v>0</v>
      </c>
      <c r="FN9">
        <f t="shared" ref="FN9:FN51" si="13">+EV9+EY9+FB9+FE9+FH9+FK9</f>
        <v>0</v>
      </c>
    </row>
    <row r="10" spans="1:170" ht="28.5">
      <c r="A10" s="94">
        <v>2</v>
      </c>
      <c r="B10" s="118" t="s">
        <v>215</v>
      </c>
      <c r="K10">
        <f t="shared" ref="K10:K51" si="14">I10+J10</f>
        <v>0</v>
      </c>
      <c r="L10">
        <v>62166</v>
      </c>
      <c r="M10">
        <v>46839</v>
      </c>
      <c r="N10">
        <f>+L10+M10</f>
        <v>109005</v>
      </c>
      <c r="U10">
        <f>+C10+F10+I10+L10+O10+R10</f>
        <v>62166</v>
      </c>
      <c r="V10">
        <f t="shared" ref="V10:V11" si="15">+D10+G10+J10+M10+P10+S10</f>
        <v>46839</v>
      </c>
      <c r="W10">
        <f t="shared" ref="W10:W11" si="16">+E10+H10+K10+N10+Q10+T10</f>
        <v>109005</v>
      </c>
      <c r="AF10">
        <f t="shared" ref="AF10:AF12" si="17">AD10+AE10</f>
        <v>0</v>
      </c>
      <c r="AG10">
        <v>62153</v>
      </c>
      <c r="AH10">
        <v>46838</v>
      </c>
      <c r="AI10">
        <f>+AG10+AH10</f>
        <v>108991</v>
      </c>
      <c r="AP10">
        <f>+X10+AA10+AD10+AG10+AJ10+AM10</f>
        <v>62153</v>
      </c>
      <c r="AQ10">
        <f t="shared" si="1"/>
        <v>46838</v>
      </c>
      <c r="AR10">
        <f>AP10+AQ10</f>
        <v>108991</v>
      </c>
      <c r="BB10">
        <v>3304</v>
      </c>
      <c r="BC10">
        <v>2433</v>
      </c>
      <c r="BD10">
        <f>+BB10+BC10</f>
        <v>5737</v>
      </c>
      <c r="BK10">
        <f>+AS10+AV10+AY10+BB10+BE10+BH10</f>
        <v>3304</v>
      </c>
      <c r="BL10">
        <f t="shared" si="3"/>
        <v>2433</v>
      </c>
      <c r="BM10">
        <f t="shared" si="4"/>
        <v>5737</v>
      </c>
      <c r="BW10">
        <v>3304</v>
      </c>
      <c r="BX10">
        <v>2433</v>
      </c>
      <c r="BY10">
        <f>+BW10+BX10</f>
        <v>5737</v>
      </c>
      <c r="CF10">
        <f>+BN10+BQ10+BT10+BW10+BZ10+CC10</f>
        <v>3304</v>
      </c>
      <c r="CG10">
        <f t="shared" si="5"/>
        <v>2433</v>
      </c>
      <c r="CH10">
        <f t="shared" si="6"/>
        <v>5737</v>
      </c>
      <c r="CR10">
        <v>1661</v>
      </c>
      <c r="CS10">
        <v>1428</v>
      </c>
      <c r="CT10">
        <f>+CR10+CS10</f>
        <v>3089</v>
      </c>
      <c r="DA10">
        <f>+CI10+CL10+CO10+CR10+CU10+CX10</f>
        <v>1661</v>
      </c>
      <c r="DB10">
        <f t="shared" si="7"/>
        <v>1428</v>
      </c>
      <c r="DC10">
        <f t="shared" si="8"/>
        <v>3089</v>
      </c>
      <c r="DM10">
        <v>1660</v>
      </c>
      <c r="DN10">
        <v>1428</v>
      </c>
      <c r="DO10">
        <f>+DM10+DN10</f>
        <v>3088</v>
      </c>
      <c r="DV10">
        <f>+DD10+DG10+DJ10+DM10+DP10+DS10</f>
        <v>1660</v>
      </c>
      <c r="DW10">
        <f t="shared" si="9"/>
        <v>1428</v>
      </c>
      <c r="DX10">
        <f t="shared" si="10"/>
        <v>3088</v>
      </c>
      <c r="EH10">
        <v>13635</v>
      </c>
      <c r="EI10">
        <v>9828</v>
      </c>
      <c r="EJ10">
        <f>+EH10+EI10</f>
        <v>23463</v>
      </c>
      <c r="EQ10">
        <f>+DY10+EB10+EE10+EH10+EK10+EN10</f>
        <v>13635</v>
      </c>
      <c r="ER10">
        <f t="shared" si="11"/>
        <v>9828</v>
      </c>
      <c r="ES10">
        <f t="shared" ref="ES10:ES51" si="18">EQ10+ER10</f>
        <v>23463</v>
      </c>
      <c r="FC10">
        <v>13634</v>
      </c>
      <c r="FD10">
        <v>9827</v>
      </c>
      <c r="FE10">
        <f>+FC10+FD10</f>
        <v>23461</v>
      </c>
      <c r="FL10">
        <f>+ET10+EW10+EZ10+FC10+FF10+FI10</f>
        <v>13634</v>
      </c>
      <c r="FM10">
        <f t="shared" si="12"/>
        <v>9827</v>
      </c>
      <c r="FN10">
        <f t="shared" si="13"/>
        <v>23461</v>
      </c>
    </row>
    <row r="11" spans="1:170">
      <c r="A11" s="603" t="s">
        <v>217</v>
      </c>
      <c r="B11" s="603"/>
      <c r="K11">
        <f t="shared" si="14"/>
        <v>0</v>
      </c>
      <c r="N11">
        <f t="shared" ref="N11:N51" si="19">+L11+M11</f>
        <v>0</v>
      </c>
      <c r="U11">
        <f t="shared" ref="U11:U51" si="20">+C11+F11+I11+L11+O11+R11</f>
        <v>0</v>
      </c>
      <c r="V11">
        <f t="shared" si="15"/>
        <v>0</v>
      </c>
      <c r="W11">
        <f t="shared" si="16"/>
        <v>0</v>
      </c>
      <c r="AF11">
        <f t="shared" si="17"/>
        <v>0</v>
      </c>
      <c r="AP11">
        <f t="shared" ref="AP11:AP51" si="21">+X11+AA11+AD11+AG11+AJ11+AM11</f>
        <v>0</v>
      </c>
      <c r="AQ11">
        <f t="shared" si="1"/>
        <v>0</v>
      </c>
      <c r="AR11">
        <f t="shared" si="2"/>
        <v>0</v>
      </c>
      <c r="BD11">
        <f t="shared" ref="BD11:BD51" si="22">+BB11+BC11</f>
        <v>0</v>
      </c>
      <c r="BK11">
        <f t="shared" ref="BK11:BK51" si="23">+AS11+AV11+AY11+BB11+BE11+BH11</f>
        <v>0</v>
      </c>
      <c r="BL11">
        <f t="shared" si="3"/>
        <v>0</v>
      </c>
      <c r="BM11">
        <f t="shared" si="4"/>
        <v>0</v>
      </c>
      <c r="CF11">
        <f t="shared" ref="CF11:CF51" si="24">+BN11+BQ11+BT11+BW11+BZ11+CC11</f>
        <v>0</v>
      </c>
      <c r="CG11">
        <f t="shared" si="5"/>
        <v>0</v>
      </c>
      <c r="CH11">
        <f t="shared" si="6"/>
        <v>0</v>
      </c>
      <c r="DA11">
        <f t="shared" ref="DA11:DA51" si="25">+CI11+CL11+CO11+CR11+CU11+CX11</f>
        <v>0</v>
      </c>
      <c r="DB11">
        <f t="shared" si="7"/>
        <v>0</v>
      </c>
      <c r="DC11">
        <f t="shared" si="8"/>
        <v>0</v>
      </c>
      <c r="DV11">
        <f t="shared" ref="DV11:DV51" si="26">+DD11+DG11+DJ11+DM11+DP11+DS11</f>
        <v>0</v>
      </c>
      <c r="DW11">
        <f t="shared" si="9"/>
        <v>0</v>
      </c>
      <c r="DX11">
        <f t="shared" si="10"/>
        <v>0</v>
      </c>
      <c r="EQ11">
        <f t="shared" ref="EQ11:EQ51" si="27">+DY11+EB11+EE11+EH11+EK11+EN11</f>
        <v>0</v>
      </c>
      <c r="ER11">
        <f t="shared" si="11"/>
        <v>0</v>
      </c>
      <c r="ES11">
        <f t="shared" si="18"/>
        <v>0</v>
      </c>
      <c r="EY11">
        <f>EW11+EX11</f>
        <v>0</v>
      </c>
      <c r="FL11">
        <f t="shared" ref="FL11:FL51" si="28">+ET11+EW11+EZ11+FC11+FF11+FI11</f>
        <v>0</v>
      </c>
      <c r="FM11">
        <f t="shared" si="12"/>
        <v>0</v>
      </c>
      <c r="FN11">
        <f t="shared" si="13"/>
        <v>0</v>
      </c>
    </row>
    <row r="12" spans="1:170" ht="28.5">
      <c r="A12" s="94">
        <v>3</v>
      </c>
      <c r="B12" s="372" t="s">
        <v>133</v>
      </c>
      <c r="K12">
        <f t="shared" si="14"/>
        <v>0</v>
      </c>
      <c r="N12">
        <f t="shared" si="19"/>
        <v>0</v>
      </c>
      <c r="U12">
        <f t="shared" si="20"/>
        <v>0</v>
      </c>
      <c r="V12">
        <f t="shared" ref="V12:V51" si="29">+D12+G12+J12+M12+P12+S12</f>
        <v>0</v>
      </c>
      <c r="W12">
        <f t="shared" ref="W12:W51" si="30">+E12+H12+K12+N12+Q12+T12</f>
        <v>0</v>
      </c>
      <c r="AF12">
        <f t="shared" si="17"/>
        <v>0</v>
      </c>
      <c r="AP12">
        <f t="shared" si="21"/>
        <v>0</v>
      </c>
      <c r="AQ12">
        <f t="shared" si="1"/>
        <v>0</v>
      </c>
      <c r="AR12">
        <f t="shared" si="2"/>
        <v>0</v>
      </c>
      <c r="BD12">
        <f t="shared" si="22"/>
        <v>0</v>
      </c>
      <c r="BK12">
        <f t="shared" si="23"/>
        <v>0</v>
      </c>
      <c r="BL12">
        <f t="shared" si="3"/>
        <v>0</v>
      </c>
      <c r="BM12">
        <f t="shared" si="4"/>
        <v>0</v>
      </c>
      <c r="CF12">
        <f t="shared" si="24"/>
        <v>0</v>
      </c>
      <c r="CG12">
        <f t="shared" si="5"/>
        <v>0</v>
      </c>
      <c r="CH12">
        <f t="shared" si="6"/>
        <v>0</v>
      </c>
      <c r="DA12">
        <f t="shared" si="25"/>
        <v>0</v>
      </c>
      <c r="DB12">
        <f t="shared" si="7"/>
        <v>0</v>
      </c>
      <c r="DC12">
        <f t="shared" si="8"/>
        <v>0</v>
      </c>
      <c r="DV12">
        <f t="shared" si="26"/>
        <v>0</v>
      </c>
      <c r="DW12">
        <f t="shared" si="9"/>
        <v>0</v>
      </c>
      <c r="DX12">
        <f t="shared" si="10"/>
        <v>0</v>
      </c>
      <c r="EQ12">
        <f t="shared" si="27"/>
        <v>0</v>
      </c>
      <c r="ER12">
        <f t="shared" si="11"/>
        <v>0</v>
      </c>
      <c r="ES12">
        <f t="shared" si="18"/>
        <v>0</v>
      </c>
      <c r="EY12">
        <f>EW12+EX12</f>
        <v>0</v>
      </c>
      <c r="FL12">
        <f t="shared" si="28"/>
        <v>0</v>
      </c>
      <c r="FM12">
        <f t="shared" si="12"/>
        <v>0</v>
      </c>
      <c r="FN12">
        <f t="shared" si="13"/>
        <v>0</v>
      </c>
    </row>
    <row r="13" spans="1:170" ht="28.5">
      <c r="A13" s="94">
        <v>4</v>
      </c>
      <c r="B13" s="118" t="s">
        <v>213</v>
      </c>
      <c r="F13">
        <v>2335</v>
      </c>
      <c r="G13">
        <v>2580</v>
      </c>
      <c r="H13">
        <f>F13+G13</f>
        <v>4915</v>
      </c>
      <c r="I13">
        <v>20909</v>
      </c>
      <c r="J13">
        <v>17202</v>
      </c>
      <c r="K13">
        <f t="shared" si="14"/>
        <v>38111</v>
      </c>
      <c r="N13">
        <f t="shared" si="19"/>
        <v>0</v>
      </c>
      <c r="U13">
        <f t="shared" si="20"/>
        <v>23244</v>
      </c>
      <c r="V13">
        <f t="shared" si="29"/>
        <v>19782</v>
      </c>
      <c r="W13">
        <f t="shared" si="30"/>
        <v>43026</v>
      </c>
      <c r="AA13">
        <v>1502</v>
      </c>
      <c r="AB13">
        <v>1839</v>
      </c>
      <c r="AC13">
        <f>AA13+AB13</f>
        <v>3341</v>
      </c>
      <c r="AD13">
        <v>14678</v>
      </c>
      <c r="AE13">
        <v>13391</v>
      </c>
      <c r="AF13">
        <f>AD13+AE13</f>
        <v>28069</v>
      </c>
      <c r="AP13">
        <f t="shared" si="21"/>
        <v>16180</v>
      </c>
      <c r="AQ13">
        <f t="shared" si="1"/>
        <v>15230</v>
      </c>
      <c r="AR13">
        <f t="shared" si="2"/>
        <v>31410</v>
      </c>
      <c r="AV13">
        <v>739</v>
      </c>
      <c r="AW13">
        <v>798</v>
      </c>
      <c r="AX13">
        <f>AV13+AW13</f>
        <v>1537</v>
      </c>
      <c r="AY13">
        <v>4777</v>
      </c>
      <c r="AZ13">
        <v>4102</v>
      </c>
      <c r="BA13">
        <f>AY13+AZ13</f>
        <v>8879</v>
      </c>
      <c r="BD13">
        <f t="shared" si="22"/>
        <v>0</v>
      </c>
      <c r="BK13">
        <f t="shared" si="23"/>
        <v>5516</v>
      </c>
      <c r="BL13">
        <f t="shared" si="3"/>
        <v>4900</v>
      </c>
      <c r="BM13">
        <f>+AU13+AX13+BA13+BD13+BG13+BJ13</f>
        <v>10416</v>
      </c>
      <c r="BQ13">
        <v>447</v>
      </c>
      <c r="BR13">
        <v>524</v>
      </c>
      <c r="BS13">
        <f>BQ13+BR13</f>
        <v>971</v>
      </c>
      <c r="BT13">
        <v>3096</v>
      </c>
      <c r="BU13">
        <v>2928</v>
      </c>
      <c r="BV13">
        <f>BT13+BU13</f>
        <v>6024</v>
      </c>
      <c r="CF13">
        <f t="shared" si="24"/>
        <v>3543</v>
      </c>
      <c r="CG13">
        <f t="shared" si="5"/>
        <v>3452</v>
      </c>
      <c r="CH13">
        <f t="shared" si="6"/>
        <v>6995</v>
      </c>
      <c r="CL13">
        <v>131</v>
      </c>
      <c r="CM13">
        <v>147</v>
      </c>
      <c r="CN13">
        <f>CL13+CM13</f>
        <v>278</v>
      </c>
      <c r="CO13">
        <v>1022</v>
      </c>
      <c r="CP13">
        <v>816</v>
      </c>
      <c r="CQ13">
        <f>CO13+CP13</f>
        <v>1838</v>
      </c>
      <c r="DA13">
        <f t="shared" si="25"/>
        <v>1153</v>
      </c>
      <c r="DB13">
        <f t="shared" si="7"/>
        <v>963</v>
      </c>
      <c r="DC13">
        <f t="shared" si="8"/>
        <v>2116</v>
      </c>
      <c r="DG13">
        <v>89</v>
      </c>
      <c r="DH13">
        <v>107</v>
      </c>
      <c r="DI13">
        <f>DG13+DH13</f>
        <v>196</v>
      </c>
      <c r="DJ13">
        <v>720</v>
      </c>
      <c r="DK13">
        <v>625</v>
      </c>
      <c r="DL13">
        <f>DJ13+DK13</f>
        <v>1345</v>
      </c>
      <c r="DV13">
        <f t="shared" si="26"/>
        <v>809</v>
      </c>
      <c r="DW13">
        <f t="shared" si="9"/>
        <v>732</v>
      </c>
      <c r="DX13">
        <f t="shared" si="10"/>
        <v>1541</v>
      </c>
      <c r="EB13">
        <v>351</v>
      </c>
      <c r="EC13">
        <v>358</v>
      </c>
      <c r="ED13">
        <f>EB13+EC13</f>
        <v>709</v>
      </c>
      <c r="EE13">
        <v>3367</v>
      </c>
      <c r="EF13">
        <v>2407</v>
      </c>
      <c r="EG13">
        <f>EE13+EF13</f>
        <v>5774</v>
      </c>
      <c r="EQ13">
        <f t="shared" si="27"/>
        <v>3718</v>
      </c>
      <c r="ER13">
        <v>2739</v>
      </c>
      <c r="ES13">
        <f t="shared" si="18"/>
        <v>6457</v>
      </c>
      <c r="EW13">
        <v>223</v>
      </c>
      <c r="EX13">
        <v>262</v>
      </c>
      <c r="EY13">
        <f>EW13+EX13</f>
        <v>485</v>
      </c>
      <c r="EZ13">
        <v>2407</v>
      </c>
      <c r="FA13">
        <v>2196</v>
      </c>
      <c r="FB13">
        <f>EZ13+FA13</f>
        <v>4603</v>
      </c>
      <c r="FL13">
        <f t="shared" si="28"/>
        <v>2630</v>
      </c>
      <c r="FM13">
        <f t="shared" si="12"/>
        <v>2458</v>
      </c>
      <c r="FN13">
        <f t="shared" si="13"/>
        <v>5088</v>
      </c>
    </row>
    <row r="14" spans="1:170">
      <c r="A14" s="94">
        <v>5</v>
      </c>
      <c r="B14" s="118" t="s">
        <v>134</v>
      </c>
      <c r="F14">
        <v>586</v>
      </c>
      <c r="G14">
        <v>391</v>
      </c>
      <c r="H14">
        <f t="shared" ref="H14:H51" si="31">F14+G14</f>
        <v>977</v>
      </c>
      <c r="I14">
        <v>7240</v>
      </c>
      <c r="J14">
        <v>5073</v>
      </c>
      <c r="K14">
        <f t="shared" si="14"/>
        <v>12313</v>
      </c>
      <c r="N14">
        <f t="shared" si="19"/>
        <v>0</v>
      </c>
      <c r="U14">
        <f t="shared" si="20"/>
        <v>7826</v>
      </c>
      <c r="V14">
        <f t="shared" si="29"/>
        <v>5464</v>
      </c>
      <c r="W14">
        <f t="shared" si="30"/>
        <v>13290</v>
      </c>
      <c r="AA14">
        <v>448</v>
      </c>
      <c r="AB14">
        <v>310</v>
      </c>
      <c r="AC14">
        <f>AA14+AB14</f>
        <v>758</v>
      </c>
      <c r="AD14">
        <v>6251</v>
      </c>
      <c r="AE14">
        <v>4599</v>
      </c>
      <c r="AF14">
        <f t="shared" ref="AF14:AF22" si="32">AD14+AE14</f>
        <v>10850</v>
      </c>
      <c r="AP14">
        <f t="shared" si="21"/>
        <v>6699</v>
      </c>
      <c r="AQ14">
        <f t="shared" si="1"/>
        <v>4909</v>
      </c>
      <c r="AR14">
        <f t="shared" si="2"/>
        <v>11608</v>
      </c>
      <c r="AV14">
        <v>52</v>
      </c>
      <c r="AW14">
        <v>40</v>
      </c>
      <c r="AX14">
        <f t="shared" ref="AX14:AX51" si="33">AV14+AW14</f>
        <v>92</v>
      </c>
      <c r="AY14">
        <v>522</v>
      </c>
      <c r="AZ14">
        <v>331</v>
      </c>
      <c r="BA14">
        <f t="shared" ref="BA14:BA51" si="34">AY14+AZ14</f>
        <v>853</v>
      </c>
      <c r="BD14">
        <f t="shared" si="22"/>
        <v>0</v>
      </c>
      <c r="BK14">
        <f t="shared" si="23"/>
        <v>574</v>
      </c>
      <c r="BL14">
        <f t="shared" si="3"/>
        <v>371</v>
      </c>
      <c r="BM14">
        <f t="shared" si="4"/>
        <v>945</v>
      </c>
      <c r="BQ14">
        <v>45</v>
      </c>
      <c r="BR14">
        <v>30</v>
      </c>
      <c r="BS14">
        <f t="shared" ref="BS14:BS51" si="35">BQ14+BR14</f>
        <v>75</v>
      </c>
      <c r="BT14">
        <v>422</v>
      </c>
      <c r="BU14">
        <v>293</v>
      </c>
      <c r="BV14">
        <f t="shared" ref="BV14:BV51" si="36">BT14+BU14</f>
        <v>715</v>
      </c>
      <c r="CF14">
        <f t="shared" si="24"/>
        <v>467</v>
      </c>
      <c r="CG14">
        <f t="shared" si="5"/>
        <v>323</v>
      </c>
      <c r="CH14">
        <f t="shared" si="6"/>
        <v>790</v>
      </c>
      <c r="CL14">
        <v>76</v>
      </c>
      <c r="CM14">
        <v>44</v>
      </c>
      <c r="CN14">
        <f t="shared" ref="CN14:CN51" si="37">CL14+CM14</f>
        <v>120</v>
      </c>
      <c r="CO14">
        <v>1016</v>
      </c>
      <c r="CP14">
        <v>767</v>
      </c>
      <c r="CQ14">
        <f t="shared" ref="CQ14:CQ51" si="38">CO14+CP14</f>
        <v>1783</v>
      </c>
      <c r="DA14">
        <f t="shared" si="25"/>
        <v>1092</v>
      </c>
      <c r="DB14">
        <f t="shared" si="7"/>
        <v>811</v>
      </c>
      <c r="DC14">
        <f t="shared" si="8"/>
        <v>1903</v>
      </c>
      <c r="DG14">
        <v>51</v>
      </c>
      <c r="DH14">
        <v>32</v>
      </c>
      <c r="DI14">
        <f t="shared" ref="DI14:DI51" si="39">DG14+DH14</f>
        <v>83</v>
      </c>
      <c r="DJ14">
        <v>869</v>
      </c>
      <c r="DK14">
        <v>682</v>
      </c>
      <c r="DL14">
        <f t="shared" ref="DL14:DL51" si="40">DJ14+DK14</f>
        <v>1551</v>
      </c>
      <c r="DV14">
        <f t="shared" si="26"/>
        <v>920</v>
      </c>
      <c r="DW14">
        <f t="shared" si="9"/>
        <v>714</v>
      </c>
      <c r="DX14">
        <f t="shared" si="10"/>
        <v>1634</v>
      </c>
      <c r="EB14">
        <v>198</v>
      </c>
      <c r="EC14">
        <v>127</v>
      </c>
      <c r="ED14">
        <f t="shared" ref="ED14:ED51" si="41">EB14+EC14</f>
        <v>325</v>
      </c>
      <c r="EE14">
        <v>1976</v>
      </c>
      <c r="EF14">
        <v>1328</v>
      </c>
      <c r="EG14">
        <f t="shared" ref="EG14:EG51" si="42">EE14+EF14</f>
        <v>3304</v>
      </c>
      <c r="EQ14">
        <f t="shared" si="27"/>
        <v>2174</v>
      </c>
      <c r="ER14">
        <f t="shared" si="11"/>
        <v>1455</v>
      </c>
      <c r="ES14">
        <f t="shared" si="18"/>
        <v>3629</v>
      </c>
      <c r="EW14">
        <v>146</v>
      </c>
      <c r="EX14">
        <v>95</v>
      </c>
      <c r="EY14">
        <f t="shared" ref="EY14:EY51" si="43">EW14+EX14</f>
        <v>241</v>
      </c>
      <c r="EZ14">
        <v>1714</v>
      </c>
      <c r="FA14">
        <v>1207</v>
      </c>
      <c r="FB14">
        <f t="shared" ref="FB14:FB51" si="44">EZ14+FA14</f>
        <v>2921</v>
      </c>
      <c r="FL14">
        <f t="shared" si="28"/>
        <v>1860</v>
      </c>
      <c r="FM14">
        <f t="shared" si="12"/>
        <v>1302</v>
      </c>
      <c r="FN14">
        <f t="shared" si="13"/>
        <v>3162</v>
      </c>
    </row>
    <row r="15" spans="1:170">
      <c r="A15" s="94">
        <v>6</v>
      </c>
      <c r="B15" s="118" t="s">
        <v>136</v>
      </c>
      <c r="H15">
        <f t="shared" si="31"/>
        <v>0</v>
      </c>
      <c r="K15">
        <f t="shared" si="14"/>
        <v>0</v>
      </c>
      <c r="N15">
        <f t="shared" si="19"/>
        <v>0</v>
      </c>
      <c r="U15">
        <f t="shared" si="20"/>
        <v>0</v>
      </c>
      <c r="V15">
        <f t="shared" si="29"/>
        <v>0</v>
      </c>
      <c r="W15">
        <f t="shared" si="30"/>
        <v>0</v>
      </c>
      <c r="AC15">
        <f>AA15+AB15</f>
        <v>0</v>
      </c>
      <c r="AF15">
        <f t="shared" si="32"/>
        <v>0</v>
      </c>
      <c r="AP15">
        <f t="shared" si="21"/>
        <v>0</v>
      </c>
      <c r="AQ15">
        <f t="shared" si="1"/>
        <v>0</v>
      </c>
      <c r="AR15">
        <f t="shared" si="2"/>
        <v>0</v>
      </c>
      <c r="AX15">
        <f t="shared" si="33"/>
        <v>0</v>
      </c>
      <c r="BA15">
        <f t="shared" si="34"/>
        <v>0</v>
      </c>
      <c r="BD15">
        <f t="shared" si="22"/>
        <v>0</v>
      </c>
      <c r="BK15">
        <f t="shared" si="23"/>
        <v>0</v>
      </c>
      <c r="BL15">
        <f t="shared" si="3"/>
        <v>0</v>
      </c>
      <c r="BM15">
        <f t="shared" si="4"/>
        <v>0</v>
      </c>
      <c r="BS15">
        <f t="shared" si="35"/>
        <v>0</v>
      </c>
      <c r="BV15">
        <f t="shared" si="36"/>
        <v>0</v>
      </c>
      <c r="CF15">
        <f t="shared" si="24"/>
        <v>0</v>
      </c>
      <c r="CG15">
        <f t="shared" si="5"/>
        <v>0</v>
      </c>
      <c r="CH15">
        <f t="shared" si="6"/>
        <v>0</v>
      </c>
      <c r="CN15">
        <f t="shared" si="37"/>
        <v>0</v>
      </c>
      <c r="CQ15">
        <f t="shared" si="38"/>
        <v>0</v>
      </c>
      <c r="DA15">
        <f t="shared" si="25"/>
        <v>0</v>
      </c>
      <c r="DB15">
        <f t="shared" si="7"/>
        <v>0</v>
      </c>
      <c r="DC15">
        <f t="shared" si="8"/>
        <v>0</v>
      </c>
      <c r="DI15">
        <f t="shared" si="39"/>
        <v>0</v>
      </c>
      <c r="DL15">
        <f t="shared" si="40"/>
        <v>0</v>
      </c>
      <c r="DV15">
        <f t="shared" si="26"/>
        <v>0</v>
      </c>
      <c r="DW15">
        <f t="shared" si="9"/>
        <v>0</v>
      </c>
      <c r="DX15">
        <f t="shared" si="10"/>
        <v>0</v>
      </c>
      <c r="ED15">
        <f t="shared" si="41"/>
        <v>0</v>
      </c>
      <c r="EG15">
        <f t="shared" si="42"/>
        <v>0</v>
      </c>
      <c r="EQ15">
        <f t="shared" si="27"/>
        <v>0</v>
      </c>
      <c r="ER15">
        <f t="shared" si="11"/>
        <v>0</v>
      </c>
      <c r="ES15">
        <f t="shared" si="18"/>
        <v>0</v>
      </c>
      <c r="EY15">
        <f t="shared" si="43"/>
        <v>0</v>
      </c>
      <c r="FB15">
        <f t="shared" si="44"/>
        <v>0</v>
      </c>
      <c r="FL15">
        <f t="shared" si="28"/>
        <v>0</v>
      </c>
      <c r="FM15">
        <f t="shared" si="12"/>
        <v>0</v>
      </c>
      <c r="FN15">
        <f t="shared" si="13"/>
        <v>0</v>
      </c>
    </row>
    <row r="16" spans="1:170">
      <c r="A16" s="94">
        <v>7</v>
      </c>
      <c r="B16" s="118" t="s">
        <v>376</v>
      </c>
      <c r="H16">
        <f t="shared" si="31"/>
        <v>0</v>
      </c>
      <c r="K16">
        <f t="shared" si="14"/>
        <v>0</v>
      </c>
      <c r="N16">
        <f t="shared" si="19"/>
        <v>0</v>
      </c>
      <c r="U16">
        <f t="shared" si="20"/>
        <v>0</v>
      </c>
      <c r="V16">
        <f t="shared" si="29"/>
        <v>0</v>
      </c>
      <c r="W16">
        <f t="shared" si="30"/>
        <v>0</v>
      </c>
      <c r="AC16">
        <f t="shared" ref="AC16:AC51" si="45">AA16+AB16</f>
        <v>0</v>
      </c>
      <c r="AF16">
        <f t="shared" si="32"/>
        <v>0</v>
      </c>
      <c r="AP16">
        <f t="shared" si="21"/>
        <v>0</v>
      </c>
      <c r="AQ16">
        <f t="shared" si="1"/>
        <v>0</v>
      </c>
      <c r="AR16">
        <f t="shared" si="2"/>
        <v>0</v>
      </c>
      <c r="AX16">
        <f t="shared" si="33"/>
        <v>0</v>
      </c>
      <c r="BA16">
        <f t="shared" si="34"/>
        <v>0</v>
      </c>
      <c r="BD16">
        <f t="shared" si="22"/>
        <v>0</v>
      </c>
      <c r="BK16">
        <f t="shared" si="23"/>
        <v>0</v>
      </c>
      <c r="BL16">
        <f t="shared" si="3"/>
        <v>0</v>
      </c>
      <c r="BM16">
        <f>+AU16+AX16+BA16+BD16+BG16+BJ16</f>
        <v>0</v>
      </c>
      <c r="BS16">
        <f t="shared" si="35"/>
        <v>0</v>
      </c>
      <c r="BV16">
        <f t="shared" si="36"/>
        <v>0</v>
      </c>
      <c r="CF16">
        <f t="shared" si="24"/>
        <v>0</v>
      </c>
      <c r="CG16">
        <f t="shared" si="5"/>
        <v>0</v>
      </c>
      <c r="CH16">
        <f t="shared" si="6"/>
        <v>0</v>
      </c>
      <c r="CN16">
        <f t="shared" si="37"/>
        <v>0</v>
      </c>
      <c r="CQ16">
        <f t="shared" si="38"/>
        <v>0</v>
      </c>
      <c r="DA16">
        <f t="shared" si="25"/>
        <v>0</v>
      </c>
      <c r="DB16">
        <f t="shared" si="7"/>
        <v>0</v>
      </c>
      <c r="DC16">
        <f t="shared" si="8"/>
        <v>0</v>
      </c>
      <c r="DI16">
        <f t="shared" si="39"/>
        <v>0</v>
      </c>
      <c r="DL16">
        <f t="shared" si="40"/>
        <v>0</v>
      </c>
      <c r="DV16">
        <f t="shared" si="26"/>
        <v>0</v>
      </c>
      <c r="DW16">
        <f t="shared" si="9"/>
        <v>0</v>
      </c>
      <c r="DX16">
        <f t="shared" si="10"/>
        <v>0</v>
      </c>
      <c r="ED16">
        <f t="shared" si="41"/>
        <v>0</v>
      </c>
      <c r="EG16">
        <f t="shared" si="42"/>
        <v>0</v>
      </c>
      <c r="EQ16">
        <f t="shared" si="27"/>
        <v>0</v>
      </c>
      <c r="ER16">
        <f t="shared" si="11"/>
        <v>0</v>
      </c>
      <c r="ES16">
        <f t="shared" si="18"/>
        <v>0</v>
      </c>
      <c r="EY16">
        <f t="shared" si="43"/>
        <v>0</v>
      </c>
      <c r="FB16">
        <f t="shared" si="44"/>
        <v>0</v>
      </c>
      <c r="FL16">
        <f t="shared" si="28"/>
        <v>0</v>
      </c>
      <c r="FM16">
        <f t="shared" si="12"/>
        <v>0</v>
      </c>
      <c r="FN16">
        <f t="shared" si="13"/>
        <v>0</v>
      </c>
    </row>
    <row r="17" spans="1:170" ht="28.5">
      <c r="A17" s="94">
        <v>8</v>
      </c>
      <c r="B17" s="118" t="s">
        <v>139</v>
      </c>
      <c r="H17">
        <f t="shared" si="31"/>
        <v>0</v>
      </c>
      <c r="K17">
        <f t="shared" si="14"/>
        <v>0</v>
      </c>
      <c r="N17">
        <f t="shared" si="19"/>
        <v>0</v>
      </c>
      <c r="U17">
        <f t="shared" si="20"/>
        <v>0</v>
      </c>
      <c r="V17">
        <f t="shared" si="29"/>
        <v>0</v>
      </c>
      <c r="W17">
        <f t="shared" si="30"/>
        <v>0</v>
      </c>
      <c r="AC17">
        <f t="shared" si="45"/>
        <v>0</v>
      </c>
      <c r="AF17">
        <f t="shared" si="32"/>
        <v>0</v>
      </c>
      <c r="AP17">
        <f t="shared" si="21"/>
        <v>0</v>
      </c>
      <c r="AQ17">
        <f t="shared" si="1"/>
        <v>0</v>
      </c>
      <c r="AR17">
        <f t="shared" si="2"/>
        <v>0</v>
      </c>
      <c r="AX17">
        <f t="shared" si="33"/>
        <v>0</v>
      </c>
      <c r="BA17">
        <f t="shared" si="34"/>
        <v>0</v>
      </c>
      <c r="BD17">
        <f t="shared" si="22"/>
        <v>0</v>
      </c>
      <c r="BK17">
        <f t="shared" si="23"/>
        <v>0</v>
      </c>
      <c r="BL17">
        <f t="shared" si="3"/>
        <v>0</v>
      </c>
      <c r="BM17">
        <f t="shared" si="4"/>
        <v>0</v>
      </c>
      <c r="BS17">
        <f t="shared" si="35"/>
        <v>0</v>
      </c>
      <c r="BV17">
        <f t="shared" si="36"/>
        <v>0</v>
      </c>
      <c r="CF17">
        <f t="shared" si="24"/>
        <v>0</v>
      </c>
      <c r="CG17">
        <f t="shared" si="5"/>
        <v>0</v>
      </c>
      <c r="CH17">
        <f t="shared" si="6"/>
        <v>0</v>
      </c>
      <c r="CN17">
        <f t="shared" si="37"/>
        <v>0</v>
      </c>
      <c r="CQ17">
        <f t="shared" si="38"/>
        <v>0</v>
      </c>
      <c r="DA17">
        <f t="shared" si="25"/>
        <v>0</v>
      </c>
      <c r="DB17">
        <f t="shared" si="7"/>
        <v>0</v>
      </c>
      <c r="DC17">
        <f t="shared" si="8"/>
        <v>0</v>
      </c>
      <c r="DI17">
        <f t="shared" si="39"/>
        <v>0</v>
      </c>
      <c r="DL17">
        <f t="shared" si="40"/>
        <v>0</v>
      </c>
      <c r="DV17">
        <f t="shared" si="26"/>
        <v>0</v>
      </c>
      <c r="DW17">
        <f t="shared" si="9"/>
        <v>0</v>
      </c>
      <c r="DX17">
        <f t="shared" si="10"/>
        <v>0</v>
      </c>
      <c r="ED17">
        <f t="shared" si="41"/>
        <v>0</v>
      </c>
      <c r="EG17">
        <f t="shared" si="42"/>
        <v>0</v>
      </c>
      <c r="EQ17">
        <f t="shared" si="27"/>
        <v>0</v>
      </c>
      <c r="ER17">
        <f t="shared" si="11"/>
        <v>0</v>
      </c>
      <c r="ES17">
        <f t="shared" si="18"/>
        <v>0</v>
      </c>
      <c r="EY17">
        <f t="shared" si="43"/>
        <v>0</v>
      </c>
      <c r="FB17">
        <f t="shared" si="44"/>
        <v>0</v>
      </c>
      <c r="FL17">
        <f t="shared" si="28"/>
        <v>0</v>
      </c>
      <c r="FM17">
        <f t="shared" si="12"/>
        <v>0</v>
      </c>
      <c r="FN17">
        <f t="shared" si="13"/>
        <v>0</v>
      </c>
    </row>
    <row r="18" spans="1:170">
      <c r="A18" s="400">
        <v>9</v>
      </c>
      <c r="B18" s="396" t="s">
        <v>384</v>
      </c>
    </row>
    <row r="19" spans="1:170" ht="28.5">
      <c r="A19" s="94">
        <v>9</v>
      </c>
      <c r="B19" s="118" t="s">
        <v>145</v>
      </c>
      <c r="F19">
        <v>2680</v>
      </c>
      <c r="G19">
        <v>2117</v>
      </c>
      <c r="H19">
        <f t="shared" si="31"/>
        <v>4797</v>
      </c>
      <c r="K19">
        <f t="shared" si="14"/>
        <v>0</v>
      </c>
      <c r="N19">
        <f t="shared" si="19"/>
        <v>0</v>
      </c>
      <c r="U19">
        <f t="shared" si="20"/>
        <v>2680</v>
      </c>
      <c r="V19">
        <f t="shared" si="29"/>
        <v>2117</v>
      </c>
      <c r="W19">
        <f t="shared" si="30"/>
        <v>4797</v>
      </c>
      <c r="AC19">
        <f t="shared" si="45"/>
        <v>0</v>
      </c>
      <c r="AF19">
        <f t="shared" si="32"/>
        <v>0</v>
      </c>
      <c r="AP19">
        <f t="shared" si="21"/>
        <v>0</v>
      </c>
      <c r="AQ19">
        <f t="shared" si="1"/>
        <v>0</v>
      </c>
      <c r="AR19">
        <f t="shared" si="2"/>
        <v>0</v>
      </c>
      <c r="AV19">
        <v>487</v>
      </c>
      <c r="AW19">
        <v>306</v>
      </c>
      <c r="AX19">
        <f t="shared" si="33"/>
        <v>793</v>
      </c>
      <c r="BA19">
        <f t="shared" si="34"/>
        <v>0</v>
      </c>
      <c r="BD19">
        <f t="shared" si="22"/>
        <v>0</v>
      </c>
      <c r="BK19">
        <f t="shared" si="23"/>
        <v>487</v>
      </c>
      <c r="BL19">
        <f t="shared" si="3"/>
        <v>306</v>
      </c>
      <c r="BM19">
        <f t="shared" si="4"/>
        <v>793</v>
      </c>
      <c r="BS19">
        <f t="shared" si="35"/>
        <v>0</v>
      </c>
      <c r="BV19">
        <f t="shared" si="36"/>
        <v>0</v>
      </c>
      <c r="CF19">
        <f t="shared" si="24"/>
        <v>0</v>
      </c>
      <c r="CG19">
        <f t="shared" si="5"/>
        <v>0</v>
      </c>
      <c r="CH19">
        <f t="shared" si="6"/>
        <v>0</v>
      </c>
      <c r="CL19">
        <v>710</v>
      </c>
      <c r="CM19">
        <v>551</v>
      </c>
      <c r="CN19">
        <f t="shared" si="37"/>
        <v>1261</v>
      </c>
      <c r="CQ19">
        <f t="shared" si="38"/>
        <v>0</v>
      </c>
      <c r="DA19">
        <f t="shared" si="25"/>
        <v>710</v>
      </c>
      <c r="DB19">
        <f t="shared" si="7"/>
        <v>551</v>
      </c>
      <c r="DC19">
        <f t="shared" si="8"/>
        <v>1261</v>
      </c>
      <c r="DI19">
        <f t="shared" si="39"/>
        <v>0</v>
      </c>
      <c r="DL19">
        <f t="shared" si="40"/>
        <v>0</v>
      </c>
      <c r="DV19">
        <f t="shared" si="26"/>
        <v>0</v>
      </c>
      <c r="DW19">
        <f t="shared" si="9"/>
        <v>0</v>
      </c>
      <c r="DX19">
        <f t="shared" si="10"/>
        <v>0</v>
      </c>
      <c r="EB19">
        <v>1282</v>
      </c>
      <c r="EC19">
        <v>485</v>
      </c>
      <c r="ED19">
        <f t="shared" si="41"/>
        <v>1767</v>
      </c>
      <c r="EG19">
        <f t="shared" si="42"/>
        <v>0</v>
      </c>
      <c r="EQ19">
        <f t="shared" si="27"/>
        <v>1282</v>
      </c>
      <c r="ER19">
        <f t="shared" si="11"/>
        <v>485</v>
      </c>
      <c r="ES19">
        <f t="shared" si="18"/>
        <v>1767</v>
      </c>
      <c r="EY19">
        <f t="shared" si="43"/>
        <v>0</v>
      </c>
      <c r="FB19">
        <f t="shared" si="44"/>
        <v>0</v>
      </c>
      <c r="FL19">
        <f t="shared" si="28"/>
        <v>0</v>
      </c>
      <c r="FM19">
        <f t="shared" si="12"/>
        <v>0</v>
      </c>
      <c r="FN19">
        <f t="shared" si="13"/>
        <v>0</v>
      </c>
    </row>
    <row r="20" spans="1:170">
      <c r="A20" s="94">
        <v>10</v>
      </c>
      <c r="B20" s="398" t="s">
        <v>377</v>
      </c>
      <c r="H20">
        <f t="shared" si="31"/>
        <v>0</v>
      </c>
      <c r="K20">
        <f t="shared" si="14"/>
        <v>0</v>
      </c>
      <c r="N20">
        <f t="shared" si="19"/>
        <v>0</v>
      </c>
      <c r="U20">
        <f t="shared" si="20"/>
        <v>0</v>
      </c>
      <c r="V20">
        <f t="shared" si="29"/>
        <v>0</v>
      </c>
      <c r="W20">
        <f t="shared" si="30"/>
        <v>0</v>
      </c>
      <c r="AC20">
        <f t="shared" si="45"/>
        <v>0</v>
      </c>
      <c r="AF20">
        <f t="shared" si="32"/>
        <v>0</v>
      </c>
      <c r="AP20">
        <f t="shared" si="21"/>
        <v>0</v>
      </c>
      <c r="AQ20">
        <f t="shared" si="1"/>
        <v>0</v>
      </c>
      <c r="AR20">
        <f t="shared" si="2"/>
        <v>0</v>
      </c>
      <c r="AX20">
        <f t="shared" si="33"/>
        <v>0</v>
      </c>
      <c r="BA20">
        <f t="shared" si="34"/>
        <v>0</v>
      </c>
      <c r="BD20">
        <f t="shared" si="22"/>
        <v>0</v>
      </c>
      <c r="BK20">
        <f t="shared" si="23"/>
        <v>0</v>
      </c>
      <c r="BL20">
        <f t="shared" si="3"/>
        <v>0</v>
      </c>
      <c r="BM20">
        <f t="shared" si="4"/>
        <v>0</v>
      </c>
      <c r="BS20">
        <f t="shared" si="35"/>
        <v>0</v>
      </c>
      <c r="BV20">
        <f t="shared" si="36"/>
        <v>0</v>
      </c>
      <c r="CF20">
        <f t="shared" si="24"/>
        <v>0</v>
      </c>
      <c r="CG20">
        <f t="shared" si="5"/>
        <v>0</v>
      </c>
      <c r="CH20">
        <f t="shared" si="6"/>
        <v>0</v>
      </c>
      <c r="CN20">
        <f t="shared" si="37"/>
        <v>0</v>
      </c>
      <c r="CQ20">
        <f t="shared" si="38"/>
        <v>0</v>
      </c>
      <c r="DA20">
        <f t="shared" si="25"/>
        <v>0</v>
      </c>
      <c r="DB20">
        <f t="shared" si="7"/>
        <v>0</v>
      </c>
      <c r="DC20">
        <f t="shared" si="8"/>
        <v>0</v>
      </c>
      <c r="DI20">
        <f t="shared" si="39"/>
        <v>0</v>
      </c>
      <c r="DL20">
        <f t="shared" si="40"/>
        <v>0</v>
      </c>
      <c r="DV20">
        <f t="shared" si="26"/>
        <v>0</v>
      </c>
      <c r="DW20">
        <f t="shared" si="9"/>
        <v>0</v>
      </c>
      <c r="DX20">
        <f t="shared" si="10"/>
        <v>0</v>
      </c>
      <c r="ED20">
        <f t="shared" si="41"/>
        <v>0</v>
      </c>
      <c r="EG20">
        <f t="shared" si="42"/>
        <v>0</v>
      </c>
      <c r="EQ20">
        <f t="shared" si="27"/>
        <v>0</v>
      </c>
      <c r="ER20">
        <f t="shared" si="11"/>
        <v>0</v>
      </c>
      <c r="ES20">
        <f t="shared" si="18"/>
        <v>0</v>
      </c>
      <c r="EY20">
        <f t="shared" si="43"/>
        <v>0</v>
      </c>
      <c r="FB20">
        <f t="shared" si="44"/>
        <v>0</v>
      </c>
      <c r="FL20">
        <f t="shared" si="28"/>
        <v>0</v>
      </c>
      <c r="FM20">
        <f t="shared" si="12"/>
        <v>0</v>
      </c>
      <c r="FN20">
        <f t="shared" si="13"/>
        <v>0</v>
      </c>
    </row>
    <row r="21" spans="1:170" ht="28.5">
      <c r="A21" s="94">
        <v>11</v>
      </c>
      <c r="B21" s="118" t="s">
        <v>378</v>
      </c>
      <c r="H21">
        <f t="shared" si="31"/>
        <v>0</v>
      </c>
      <c r="K21">
        <f t="shared" si="14"/>
        <v>0</v>
      </c>
      <c r="N21">
        <f t="shared" si="19"/>
        <v>0</v>
      </c>
      <c r="U21">
        <f t="shared" si="20"/>
        <v>0</v>
      </c>
      <c r="V21">
        <f t="shared" si="29"/>
        <v>0</v>
      </c>
      <c r="W21">
        <f t="shared" si="30"/>
        <v>0</v>
      </c>
      <c r="AC21">
        <f t="shared" si="45"/>
        <v>0</v>
      </c>
      <c r="AF21">
        <f t="shared" si="32"/>
        <v>0</v>
      </c>
      <c r="AP21">
        <f t="shared" si="21"/>
        <v>0</v>
      </c>
      <c r="AQ21">
        <f t="shared" si="1"/>
        <v>0</v>
      </c>
      <c r="AR21">
        <f t="shared" si="2"/>
        <v>0</v>
      </c>
      <c r="AX21">
        <f t="shared" si="33"/>
        <v>0</v>
      </c>
      <c r="BA21">
        <f t="shared" si="34"/>
        <v>0</v>
      </c>
      <c r="BD21">
        <f t="shared" si="22"/>
        <v>0</v>
      </c>
      <c r="BK21">
        <f t="shared" si="23"/>
        <v>0</v>
      </c>
      <c r="BL21">
        <f t="shared" si="3"/>
        <v>0</v>
      </c>
      <c r="BM21">
        <f t="shared" si="4"/>
        <v>0</v>
      </c>
      <c r="BS21">
        <f t="shared" si="35"/>
        <v>0</v>
      </c>
      <c r="BV21">
        <f t="shared" si="36"/>
        <v>0</v>
      </c>
      <c r="CF21">
        <f t="shared" si="24"/>
        <v>0</v>
      </c>
      <c r="CG21">
        <f t="shared" si="5"/>
        <v>0</v>
      </c>
      <c r="CH21">
        <f t="shared" si="6"/>
        <v>0</v>
      </c>
      <c r="CN21">
        <f t="shared" si="37"/>
        <v>0</v>
      </c>
      <c r="CQ21">
        <f t="shared" si="38"/>
        <v>0</v>
      </c>
      <c r="DA21">
        <f t="shared" si="25"/>
        <v>0</v>
      </c>
      <c r="DB21">
        <f t="shared" si="7"/>
        <v>0</v>
      </c>
      <c r="DC21">
        <f t="shared" si="8"/>
        <v>0</v>
      </c>
      <c r="DI21">
        <f t="shared" si="39"/>
        <v>0</v>
      </c>
      <c r="DL21">
        <f t="shared" si="40"/>
        <v>0</v>
      </c>
      <c r="DV21">
        <f t="shared" si="26"/>
        <v>0</v>
      </c>
      <c r="DW21">
        <f t="shared" si="9"/>
        <v>0</v>
      </c>
      <c r="DX21">
        <f t="shared" si="10"/>
        <v>0</v>
      </c>
      <c r="ED21">
        <f t="shared" si="41"/>
        <v>0</v>
      </c>
      <c r="EG21">
        <f t="shared" si="42"/>
        <v>0</v>
      </c>
      <c r="EQ21">
        <f t="shared" si="27"/>
        <v>0</v>
      </c>
      <c r="ER21">
        <f t="shared" si="11"/>
        <v>0</v>
      </c>
      <c r="ES21">
        <f t="shared" si="18"/>
        <v>0</v>
      </c>
      <c r="EY21">
        <f t="shared" si="43"/>
        <v>0</v>
      </c>
      <c r="FB21">
        <f t="shared" si="44"/>
        <v>0</v>
      </c>
      <c r="FL21">
        <f t="shared" si="28"/>
        <v>0</v>
      </c>
      <c r="FM21">
        <f t="shared" si="12"/>
        <v>0</v>
      </c>
      <c r="FN21">
        <f t="shared" si="13"/>
        <v>0</v>
      </c>
    </row>
    <row r="22" spans="1:170" ht="28.5">
      <c r="A22" s="94">
        <v>12</v>
      </c>
      <c r="B22" s="372" t="s">
        <v>148</v>
      </c>
      <c r="C22">
        <v>220</v>
      </c>
      <c r="D22">
        <v>154</v>
      </c>
      <c r="E22">
        <f>C22+D22</f>
        <v>374</v>
      </c>
      <c r="H22">
        <f t="shared" si="31"/>
        <v>0</v>
      </c>
      <c r="K22">
        <f t="shared" si="14"/>
        <v>0</v>
      </c>
      <c r="N22">
        <f t="shared" si="19"/>
        <v>0</v>
      </c>
      <c r="U22">
        <f t="shared" si="20"/>
        <v>220</v>
      </c>
      <c r="V22">
        <f t="shared" si="29"/>
        <v>154</v>
      </c>
      <c r="W22">
        <f t="shared" si="30"/>
        <v>374</v>
      </c>
      <c r="X22">
        <v>220</v>
      </c>
      <c r="Y22">
        <v>154</v>
      </c>
      <c r="Z22">
        <f>X22+Y22</f>
        <v>374</v>
      </c>
      <c r="AC22">
        <f t="shared" si="45"/>
        <v>0</v>
      </c>
      <c r="AF22">
        <f t="shared" si="32"/>
        <v>0</v>
      </c>
      <c r="AP22">
        <f t="shared" si="21"/>
        <v>220</v>
      </c>
      <c r="AQ22">
        <f t="shared" si="1"/>
        <v>154</v>
      </c>
      <c r="AR22">
        <f t="shared" si="2"/>
        <v>374</v>
      </c>
      <c r="AS22">
        <v>1</v>
      </c>
      <c r="AT22">
        <v>0</v>
      </c>
      <c r="AU22">
        <f t="shared" ref="AU22" si="46">AS22+AT22</f>
        <v>1</v>
      </c>
      <c r="AX22">
        <f t="shared" si="33"/>
        <v>0</v>
      </c>
      <c r="BA22">
        <f t="shared" si="34"/>
        <v>0</v>
      </c>
      <c r="BD22">
        <f t="shared" si="22"/>
        <v>0</v>
      </c>
      <c r="BK22">
        <f t="shared" si="23"/>
        <v>1</v>
      </c>
      <c r="BL22">
        <f t="shared" si="3"/>
        <v>0</v>
      </c>
      <c r="BM22">
        <f t="shared" si="4"/>
        <v>1</v>
      </c>
      <c r="BN22">
        <v>1</v>
      </c>
      <c r="BO22">
        <v>0</v>
      </c>
      <c r="BP22">
        <f t="shared" ref="BP22" si="47">BN22+BO22</f>
        <v>1</v>
      </c>
      <c r="BS22">
        <f t="shared" si="35"/>
        <v>0</v>
      </c>
      <c r="BV22">
        <f t="shared" si="36"/>
        <v>0</v>
      </c>
      <c r="CF22">
        <f t="shared" si="24"/>
        <v>1</v>
      </c>
      <c r="CG22">
        <f t="shared" si="5"/>
        <v>0</v>
      </c>
      <c r="CH22">
        <f t="shared" si="6"/>
        <v>1</v>
      </c>
      <c r="CI22">
        <v>27</v>
      </c>
      <c r="CJ22">
        <v>35</v>
      </c>
      <c r="CK22">
        <f>CI22+CJ22</f>
        <v>62</v>
      </c>
      <c r="CN22">
        <f t="shared" si="37"/>
        <v>0</v>
      </c>
      <c r="CQ22">
        <f t="shared" si="38"/>
        <v>0</v>
      </c>
      <c r="DA22">
        <f t="shared" si="25"/>
        <v>27</v>
      </c>
      <c r="DB22">
        <f t="shared" si="7"/>
        <v>35</v>
      </c>
      <c r="DC22">
        <f t="shared" si="8"/>
        <v>62</v>
      </c>
      <c r="DD22">
        <v>27</v>
      </c>
      <c r="DE22">
        <v>35</v>
      </c>
      <c r="DF22">
        <f>DD22+DE22</f>
        <v>62</v>
      </c>
      <c r="DI22">
        <f t="shared" si="39"/>
        <v>0</v>
      </c>
      <c r="DL22">
        <f t="shared" si="40"/>
        <v>0</v>
      </c>
      <c r="DV22">
        <f t="shared" si="26"/>
        <v>27</v>
      </c>
      <c r="DW22">
        <f t="shared" si="9"/>
        <v>35</v>
      </c>
      <c r="DX22">
        <f t="shared" si="10"/>
        <v>62</v>
      </c>
      <c r="DY22">
        <v>12</v>
      </c>
      <c r="DZ22">
        <v>19</v>
      </c>
      <c r="EA22">
        <f>DY22+DZ22</f>
        <v>31</v>
      </c>
      <c r="ED22">
        <f t="shared" si="41"/>
        <v>0</v>
      </c>
      <c r="EG22">
        <f t="shared" si="42"/>
        <v>0</v>
      </c>
      <c r="EQ22">
        <f t="shared" si="27"/>
        <v>12</v>
      </c>
      <c r="ER22">
        <f t="shared" si="11"/>
        <v>19</v>
      </c>
      <c r="ES22">
        <f t="shared" si="18"/>
        <v>31</v>
      </c>
      <c r="ET22">
        <v>12</v>
      </c>
      <c r="EU22">
        <v>19</v>
      </c>
      <c r="EV22">
        <f>ET22+EU22</f>
        <v>31</v>
      </c>
      <c r="EY22">
        <f t="shared" si="43"/>
        <v>0</v>
      </c>
      <c r="FB22">
        <f t="shared" si="44"/>
        <v>0</v>
      </c>
      <c r="FL22">
        <f t="shared" si="28"/>
        <v>12</v>
      </c>
      <c r="FM22">
        <f t="shared" si="12"/>
        <v>19</v>
      </c>
      <c r="FN22">
        <f t="shared" si="13"/>
        <v>31</v>
      </c>
    </row>
    <row r="23" spans="1:170" ht="28.5">
      <c r="A23" s="94">
        <v>13</v>
      </c>
      <c r="B23" s="118" t="s">
        <v>149</v>
      </c>
      <c r="H23">
        <f t="shared" si="31"/>
        <v>0</v>
      </c>
      <c r="K23">
        <f t="shared" si="14"/>
        <v>0</v>
      </c>
      <c r="N23">
        <f t="shared" si="19"/>
        <v>0</v>
      </c>
      <c r="U23">
        <f t="shared" si="20"/>
        <v>0</v>
      </c>
      <c r="V23">
        <f t="shared" si="29"/>
        <v>0</v>
      </c>
      <c r="W23">
        <f t="shared" si="30"/>
        <v>0</v>
      </c>
      <c r="AC23">
        <f t="shared" si="45"/>
        <v>0</v>
      </c>
      <c r="AP23">
        <f t="shared" si="21"/>
        <v>0</v>
      </c>
      <c r="AQ23">
        <f t="shared" si="1"/>
        <v>0</v>
      </c>
      <c r="AR23">
        <f t="shared" si="2"/>
        <v>0</v>
      </c>
      <c r="AX23">
        <f t="shared" si="33"/>
        <v>0</v>
      </c>
      <c r="BA23">
        <f t="shared" si="34"/>
        <v>0</v>
      </c>
      <c r="BD23">
        <f t="shared" si="22"/>
        <v>0</v>
      </c>
      <c r="BK23">
        <f t="shared" si="23"/>
        <v>0</v>
      </c>
      <c r="BL23">
        <f t="shared" si="3"/>
        <v>0</v>
      </c>
      <c r="BM23">
        <f t="shared" si="4"/>
        <v>0</v>
      </c>
      <c r="BS23">
        <f t="shared" si="35"/>
        <v>0</v>
      </c>
      <c r="BV23">
        <f t="shared" si="36"/>
        <v>0</v>
      </c>
      <c r="CF23">
        <f t="shared" si="24"/>
        <v>0</v>
      </c>
      <c r="CG23">
        <f t="shared" si="5"/>
        <v>0</v>
      </c>
      <c r="CH23">
        <f t="shared" si="6"/>
        <v>0</v>
      </c>
      <c r="CN23">
        <f t="shared" si="37"/>
        <v>0</v>
      </c>
      <c r="CQ23">
        <f t="shared" si="38"/>
        <v>0</v>
      </c>
      <c r="DA23">
        <f t="shared" si="25"/>
        <v>0</v>
      </c>
      <c r="DB23">
        <f t="shared" si="7"/>
        <v>0</v>
      </c>
      <c r="DC23">
        <f t="shared" si="8"/>
        <v>0</v>
      </c>
      <c r="DI23">
        <f t="shared" si="39"/>
        <v>0</v>
      </c>
      <c r="DL23">
        <f t="shared" si="40"/>
        <v>0</v>
      </c>
      <c r="DV23">
        <f t="shared" si="26"/>
        <v>0</v>
      </c>
      <c r="DW23">
        <f t="shared" si="9"/>
        <v>0</v>
      </c>
      <c r="DX23">
        <f t="shared" si="10"/>
        <v>0</v>
      </c>
      <c r="ED23">
        <f t="shared" si="41"/>
        <v>0</v>
      </c>
      <c r="EG23">
        <f t="shared" si="42"/>
        <v>0</v>
      </c>
      <c r="EQ23">
        <f t="shared" si="27"/>
        <v>0</v>
      </c>
      <c r="ER23">
        <f t="shared" si="11"/>
        <v>0</v>
      </c>
      <c r="ES23">
        <f t="shared" si="18"/>
        <v>0</v>
      </c>
      <c r="EY23">
        <f t="shared" si="43"/>
        <v>0</v>
      </c>
      <c r="FB23">
        <f t="shared" si="44"/>
        <v>0</v>
      </c>
      <c r="FL23">
        <f t="shared" si="28"/>
        <v>0</v>
      </c>
      <c r="FM23">
        <f t="shared" si="12"/>
        <v>0</v>
      </c>
      <c r="FN23">
        <f t="shared" si="13"/>
        <v>0</v>
      </c>
    </row>
    <row r="24" spans="1:170">
      <c r="A24" s="94">
        <v>14</v>
      </c>
      <c r="B24" s="118" t="s">
        <v>140</v>
      </c>
      <c r="H24">
        <f t="shared" si="31"/>
        <v>0</v>
      </c>
      <c r="K24">
        <f t="shared" si="14"/>
        <v>0</v>
      </c>
      <c r="N24">
        <f t="shared" si="19"/>
        <v>0</v>
      </c>
      <c r="U24">
        <f t="shared" si="20"/>
        <v>0</v>
      </c>
      <c r="V24">
        <f t="shared" si="29"/>
        <v>0</v>
      </c>
      <c r="W24">
        <f t="shared" si="30"/>
        <v>0</v>
      </c>
      <c r="AC24">
        <f t="shared" si="45"/>
        <v>0</v>
      </c>
      <c r="AP24">
        <f t="shared" si="21"/>
        <v>0</v>
      </c>
      <c r="AQ24">
        <f t="shared" si="1"/>
        <v>0</v>
      </c>
      <c r="AR24">
        <f t="shared" si="2"/>
        <v>0</v>
      </c>
      <c r="AX24">
        <f t="shared" si="33"/>
        <v>0</v>
      </c>
      <c r="BA24">
        <f t="shared" si="34"/>
        <v>0</v>
      </c>
      <c r="BD24">
        <f t="shared" si="22"/>
        <v>0</v>
      </c>
      <c r="BK24">
        <f t="shared" si="23"/>
        <v>0</v>
      </c>
      <c r="BL24">
        <f t="shared" si="3"/>
        <v>0</v>
      </c>
      <c r="BM24">
        <f t="shared" si="4"/>
        <v>0</v>
      </c>
      <c r="BS24">
        <f t="shared" si="35"/>
        <v>0</v>
      </c>
      <c r="BV24">
        <f t="shared" si="36"/>
        <v>0</v>
      </c>
      <c r="CF24">
        <f t="shared" si="24"/>
        <v>0</v>
      </c>
      <c r="CG24">
        <f t="shared" si="5"/>
        <v>0</v>
      </c>
      <c r="CH24">
        <f t="shared" si="6"/>
        <v>0</v>
      </c>
      <c r="CN24">
        <f t="shared" si="37"/>
        <v>0</v>
      </c>
      <c r="CQ24">
        <f t="shared" si="38"/>
        <v>0</v>
      </c>
      <c r="DA24">
        <f t="shared" si="25"/>
        <v>0</v>
      </c>
      <c r="DB24">
        <f t="shared" si="7"/>
        <v>0</v>
      </c>
      <c r="DC24">
        <f t="shared" si="8"/>
        <v>0</v>
      </c>
      <c r="DI24">
        <f t="shared" si="39"/>
        <v>0</v>
      </c>
      <c r="DL24">
        <f t="shared" si="40"/>
        <v>0</v>
      </c>
      <c r="DV24">
        <f t="shared" si="26"/>
        <v>0</v>
      </c>
      <c r="DW24">
        <f t="shared" si="9"/>
        <v>0</v>
      </c>
      <c r="DX24">
        <f t="shared" si="10"/>
        <v>0</v>
      </c>
      <c r="ED24">
        <f t="shared" si="41"/>
        <v>0</v>
      </c>
      <c r="EG24">
        <f t="shared" si="42"/>
        <v>0</v>
      </c>
      <c r="EQ24">
        <f t="shared" si="27"/>
        <v>0</v>
      </c>
      <c r="ER24">
        <f t="shared" si="11"/>
        <v>0</v>
      </c>
      <c r="ES24">
        <f t="shared" si="18"/>
        <v>0</v>
      </c>
      <c r="EY24">
        <f t="shared" si="43"/>
        <v>0</v>
      </c>
      <c r="FB24">
        <f t="shared" si="44"/>
        <v>0</v>
      </c>
      <c r="FL24">
        <f t="shared" si="28"/>
        <v>0</v>
      </c>
      <c r="FM24">
        <f t="shared" si="12"/>
        <v>0</v>
      </c>
      <c r="FN24">
        <f t="shared" si="13"/>
        <v>0</v>
      </c>
    </row>
    <row r="25" spans="1:170">
      <c r="A25" s="94">
        <v>15</v>
      </c>
      <c r="B25" s="118" t="s">
        <v>150</v>
      </c>
      <c r="F25">
        <v>2335</v>
      </c>
      <c r="G25">
        <v>2580</v>
      </c>
      <c r="H25">
        <f t="shared" si="31"/>
        <v>4915</v>
      </c>
      <c r="I25">
        <v>20909</v>
      </c>
      <c r="J25">
        <v>17202</v>
      </c>
      <c r="K25">
        <f t="shared" si="14"/>
        <v>38111</v>
      </c>
      <c r="N25">
        <f t="shared" si="19"/>
        <v>0</v>
      </c>
      <c r="U25">
        <f t="shared" si="20"/>
        <v>23244</v>
      </c>
      <c r="V25">
        <f t="shared" si="29"/>
        <v>19782</v>
      </c>
      <c r="W25">
        <f t="shared" si="30"/>
        <v>43026</v>
      </c>
      <c r="AA25">
        <v>1502</v>
      </c>
      <c r="AB25">
        <v>1839</v>
      </c>
      <c r="AC25">
        <f t="shared" si="45"/>
        <v>3341</v>
      </c>
      <c r="AD25">
        <v>14678</v>
      </c>
      <c r="AE25">
        <v>13391</v>
      </c>
      <c r="AF25">
        <v>28069</v>
      </c>
      <c r="AP25">
        <f t="shared" si="21"/>
        <v>16180</v>
      </c>
      <c r="AQ25">
        <f t="shared" si="1"/>
        <v>15230</v>
      </c>
      <c r="AR25">
        <f t="shared" si="2"/>
        <v>31410</v>
      </c>
      <c r="AV25">
        <v>4777</v>
      </c>
      <c r="AW25">
        <v>4102</v>
      </c>
      <c r="AX25">
        <f t="shared" si="33"/>
        <v>8879</v>
      </c>
      <c r="AY25">
        <v>739</v>
      </c>
      <c r="AZ25">
        <v>798</v>
      </c>
      <c r="BA25">
        <f t="shared" si="34"/>
        <v>1537</v>
      </c>
      <c r="BD25">
        <f t="shared" si="22"/>
        <v>0</v>
      </c>
      <c r="BK25">
        <f t="shared" si="23"/>
        <v>5516</v>
      </c>
      <c r="BL25">
        <f t="shared" si="3"/>
        <v>4900</v>
      </c>
      <c r="BM25">
        <f t="shared" si="4"/>
        <v>10416</v>
      </c>
      <c r="BQ25">
        <v>447</v>
      </c>
      <c r="BR25">
        <v>524</v>
      </c>
      <c r="BS25">
        <v>971</v>
      </c>
      <c r="BT25">
        <v>3096</v>
      </c>
      <c r="BU25">
        <v>2928</v>
      </c>
      <c r="BV25">
        <f t="shared" si="36"/>
        <v>6024</v>
      </c>
      <c r="CF25">
        <f t="shared" si="24"/>
        <v>3543</v>
      </c>
      <c r="CG25">
        <f t="shared" si="5"/>
        <v>3452</v>
      </c>
      <c r="CH25">
        <f t="shared" si="6"/>
        <v>6995</v>
      </c>
      <c r="CL25">
        <v>131</v>
      </c>
      <c r="CM25">
        <v>147</v>
      </c>
      <c r="CN25">
        <f t="shared" si="37"/>
        <v>278</v>
      </c>
      <c r="CO25">
        <v>1022</v>
      </c>
      <c r="CP25">
        <v>816</v>
      </c>
      <c r="CQ25">
        <f t="shared" si="38"/>
        <v>1838</v>
      </c>
      <c r="DA25">
        <f t="shared" si="25"/>
        <v>1153</v>
      </c>
      <c r="DB25">
        <f t="shared" si="7"/>
        <v>963</v>
      </c>
      <c r="DC25">
        <f t="shared" si="8"/>
        <v>2116</v>
      </c>
      <c r="DG25">
        <v>89</v>
      </c>
      <c r="DH25">
        <v>107</v>
      </c>
      <c r="DI25">
        <f t="shared" si="39"/>
        <v>196</v>
      </c>
      <c r="DJ25">
        <v>720</v>
      </c>
      <c r="DK25">
        <v>625</v>
      </c>
      <c r="DL25">
        <f t="shared" si="40"/>
        <v>1345</v>
      </c>
      <c r="DV25">
        <f t="shared" si="26"/>
        <v>809</v>
      </c>
      <c r="DW25">
        <f t="shared" si="9"/>
        <v>732</v>
      </c>
      <c r="DX25">
        <f t="shared" si="10"/>
        <v>1541</v>
      </c>
      <c r="EB25">
        <v>351</v>
      </c>
      <c r="EC25">
        <v>358</v>
      </c>
      <c r="ED25">
        <f t="shared" si="41"/>
        <v>709</v>
      </c>
      <c r="EE25">
        <v>3367</v>
      </c>
      <c r="EF25">
        <v>2739</v>
      </c>
      <c r="EG25">
        <f t="shared" si="42"/>
        <v>6106</v>
      </c>
      <c r="EQ25">
        <f t="shared" si="27"/>
        <v>3718</v>
      </c>
      <c r="ER25">
        <f t="shared" si="11"/>
        <v>3097</v>
      </c>
      <c r="ES25">
        <f t="shared" si="18"/>
        <v>6815</v>
      </c>
      <c r="EW25">
        <v>223</v>
      </c>
      <c r="EX25">
        <v>262</v>
      </c>
      <c r="EY25">
        <f t="shared" si="43"/>
        <v>485</v>
      </c>
      <c r="EZ25">
        <v>2407</v>
      </c>
      <c r="FA25">
        <v>2196</v>
      </c>
      <c r="FB25">
        <f t="shared" si="44"/>
        <v>4603</v>
      </c>
      <c r="FL25">
        <f t="shared" si="28"/>
        <v>2630</v>
      </c>
      <c r="FM25">
        <f t="shared" si="12"/>
        <v>2458</v>
      </c>
      <c r="FN25">
        <f t="shared" si="13"/>
        <v>5088</v>
      </c>
    </row>
    <row r="26" spans="1:170">
      <c r="A26" s="94">
        <v>16</v>
      </c>
      <c r="B26" s="118" t="s">
        <v>151</v>
      </c>
      <c r="H26">
        <f t="shared" si="31"/>
        <v>0</v>
      </c>
      <c r="K26">
        <f t="shared" si="14"/>
        <v>0</v>
      </c>
      <c r="N26">
        <f t="shared" si="19"/>
        <v>0</v>
      </c>
      <c r="U26">
        <f t="shared" si="20"/>
        <v>0</v>
      </c>
      <c r="V26">
        <f t="shared" si="29"/>
        <v>0</v>
      </c>
      <c r="W26">
        <f t="shared" si="30"/>
        <v>0</v>
      </c>
      <c r="AC26">
        <f t="shared" si="45"/>
        <v>0</v>
      </c>
      <c r="AP26">
        <f t="shared" si="21"/>
        <v>0</v>
      </c>
      <c r="AQ26">
        <f t="shared" si="1"/>
        <v>0</v>
      </c>
      <c r="AR26">
        <f t="shared" si="2"/>
        <v>0</v>
      </c>
      <c r="AX26">
        <f t="shared" si="33"/>
        <v>0</v>
      </c>
      <c r="BA26">
        <f t="shared" si="34"/>
        <v>0</v>
      </c>
      <c r="BD26">
        <f t="shared" si="22"/>
        <v>0</v>
      </c>
      <c r="BK26">
        <f t="shared" si="23"/>
        <v>0</v>
      </c>
      <c r="BL26">
        <f t="shared" si="3"/>
        <v>0</v>
      </c>
      <c r="BM26">
        <f t="shared" si="4"/>
        <v>0</v>
      </c>
      <c r="BS26">
        <f t="shared" si="35"/>
        <v>0</v>
      </c>
      <c r="BV26">
        <f t="shared" si="36"/>
        <v>0</v>
      </c>
      <c r="CF26">
        <f t="shared" si="24"/>
        <v>0</v>
      </c>
      <c r="CG26">
        <f t="shared" si="5"/>
        <v>0</v>
      </c>
      <c r="CH26">
        <f t="shared" si="6"/>
        <v>0</v>
      </c>
      <c r="CN26">
        <f t="shared" si="37"/>
        <v>0</v>
      </c>
      <c r="CQ26">
        <f t="shared" si="38"/>
        <v>0</v>
      </c>
      <c r="DA26">
        <f t="shared" si="25"/>
        <v>0</v>
      </c>
      <c r="DB26">
        <f t="shared" si="7"/>
        <v>0</v>
      </c>
      <c r="DC26">
        <f t="shared" si="8"/>
        <v>0</v>
      </c>
      <c r="DI26">
        <f t="shared" si="39"/>
        <v>0</v>
      </c>
      <c r="DL26">
        <f t="shared" si="40"/>
        <v>0</v>
      </c>
      <c r="DV26">
        <f t="shared" si="26"/>
        <v>0</v>
      </c>
      <c r="DW26">
        <f t="shared" si="9"/>
        <v>0</v>
      </c>
      <c r="DX26">
        <f t="shared" si="10"/>
        <v>0</v>
      </c>
      <c r="ED26">
        <f t="shared" si="41"/>
        <v>0</v>
      </c>
      <c r="EG26">
        <f t="shared" si="42"/>
        <v>0</v>
      </c>
      <c r="EQ26">
        <f t="shared" si="27"/>
        <v>0</v>
      </c>
      <c r="ER26">
        <f t="shared" si="11"/>
        <v>0</v>
      </c>
      <c r="ES26">
        <f t="shared" si="18"/>
        <v>0</v>
      </c>
      <c r="EY26">
        <f t="shared" si="43"/>
        <v>0</v>
      </c>
      <c r="FB26">
        <f t="shared" si="44"/>
        <v>0</v>
      </c>
      <c r="FL26">
        <f t="shared" si="28"/>
        <v>0</v>
      </c>
      <c r="FM26">
        <f t="shared" si="12"/>
        <v>0</v>
      </c>
      <c r="FN26">
        <f t="shared" si="13"/>
        <v>0</v>
      </c>
    </row>
    <row r="27" spans="1:170">
      <c r="A27" s="94">
        <v>17</v>
      </c>
      <c r="B27" s="118" t="s">
        <v>152</v>
      </c>
      <c r="H27">
        <f t="shared" si="31"/>
        <v>0</v>
      </c>
      <c r="K27">
        <f t="shared" si="14"/>
        <v>0</v>
      </c>
      <c r="N27">
        <f t="shared" si="19"/>
        <v>0</v>
      </c>
      <c r="U27">
        <f t="shared" si="20"/>
        <v>0</v>
      </c>
      <c r="V27">
        <f t="shared" si="29"/>
        <v>0</v>
      </c>
      <c r="W27">
        <f t="shared" si="30"/>
        <v>0</v>
      </c>
      <c r="AC27">
        <f t="shared" si="45"/>
        <v>0</v>
      </c>
      <c r="AP27">
        <f t="shared" si="21"/>
        <v>0</v>
      </c>
      <c r="AQ27">
        <f t="shared" si="1"/>
        <v>0</v>
      </c>
      <c r="AR27">
        <f t="shared" si="2"/>
        <v>0</v>
      </c>
      <c r="AX27">
        <f t="shared" si="33"/>
        <v>0</v>
      </c>
      <c r="BA27">
        <f t="shared" si="34"/>
        <v>0</v>
      </c>
      <c r="BD27">
        <f t="shared" si="22"/>
        <v>0</v>
      </c>
      <c r="BK27">
        <f t="shared" si="23"/>
        <v>0</v>
      </c>
      <c r="BL27">
        <f t="shared" si="3"/>
        <v>0</v>
      </c>
      <c r="BM27">
        <f t="shared" si="4"/>
        <v>0</v>
      </c>
      <c r="BS27">
        <f t="shared" si="35"/>
        <v>0</v>
      </c>
      <c r="BV27">
        <f t="shared" si="36"/>
        <v>0</v>
      </c>
      <c r="CF27">
        <f t="shared" si="24"/>
        <v>0</v>
      </c>
      <c r="CG27">
        <f t="shared" si="5"/>
        <v>0</v>
      </c>
      <c r="CH27">
        <f t="shared" si="6"/>
        <v>0</v>
      </c>
      <c r="CN27">
        <f t="shared" si="37"/>
        <v>0</v>
      </c>
      <c r="CQ27">
        <f t="shared" si="38"/>
        <v>0</v>
      </c>
      <c r="DA27">
        <f t="shared" si="25"/>
        <v>0</v>
      </c>
      <c r="DB27">
        <f t="shared" si="7"/>
        <v>0</v>
      </c>
      <c r="DC27">
        <f t="shared" si="8"/>
        <v>0</v>
      </c>
      <c r="DI27">
        <f t="shared" si="39"/>
        <v>0</v>
      </c>
      <c r="DL27">
        <f t="shared" si="40"/>
        <v>0</v>
      </c>
      <c r="DV27">
        <f t="shared" si="26"/>
        <v>0</v>
      </c>
      <c r="DW27">
        <f t="shared" si="9"/>
        <v>0</v>
      </c>
      <c r="DX27">
        <f t="shared" si="10"/>
        <v>0</v>
      </c>
      <c r="ED27">
        <f t="shared" si="41"/>
        <v>0</v>
      </c>
      <c r="EG27">
        <f t="shared" si="42"/>
        <v>0</v>
      </c>
      <c r="EQ27">
        <f t="shared" si="27"/>
        <v>0</v>
      </c>
      <c r="ER27">
        <f t="shared" si="11"/>
        <v>0</v>
      </c>
      <c r="ES27">
        <f t="shared" si="18"/>
        <v>0</v>
      </c>
      <c r="EY27">
        <f t="shared" si="43"/>
        <v>0</v>
      </c>
      <c r="FB27">
        <f t="shared" si="44"/>
        <v>0</v>
      </c>
      <c r="FL27">
        <f t="shared" si="28"/>
        <v>0</v>
      </c>
      <c r="FM27">
        <f t="shared" si="12"/>
        <v>0</v>
      </c>
      <c r="FN27">
        <f t="shared" si="13"/>
        <v>0</v>
      </c>
    </row>
    <row r="28" spans="1:170" ht="28.5">
      <c r="A28" s="94">
        <v>18</v>
      </c>
      <c r="B28" s="385" t="s">
        <v>153</v>
      </c>
      <c r="F28">
        <v>559</v>
      </c>
      <c r="G28">
        <v>883</v>
      </c>
      <c r="H28">
        <f t="shared" si="31"/>
        <v>1442</v>
      </c>
      <c r="I28">
        <v>17</v>
      </c>
      <c r="J28">
        <v>14</v>
      </c>
      <c r="K28">
        <f t="shared" si="14"/>
        <v>31</v>
      </c>
      <c r="N28">
        <f t="shared" si="19"/>
        <v>0</v>
      </c>
      <c r="U28">
        <f t="shared" si="20"/>
        <v>576</v>
      </c>
      <c r="V28">
        <f t="shared" si="29"/>
        <v>897</v>
      </c>
      <c r="W28">
        <f t="shared" si="30"/>
        <v>1473</v>
      </c>
      <c r="AA28">
        <v>470</v>
      </c>
      <c r="AB28">
        <v>827</v>
      </c>
      <c r="AC28">
        <f t="shared" si="45"/>
        <v>1297</v>
      </c>
      <c r="AD28">
        <v>17</v>
      </c>
      <c r="AE28">
        <v>14</v>
      </c>
      <c r="AF28">
        <f>AD28+AE28</f>
        <v>31</v>
      </c>
      <c r="AP28">
        <f t="shared" si="21"/>
        <v>487</v>
      </c>
      <c r="AQ28">
        <f t="shared" si="1"/>
        <v>841</v>
      </c>
      <c r="AR28">
        <f t="shared" si="2"/>
        <v>1328</v>
      </c>
      <c r="AV28">
        <v>119</v>
      </c>
      <c r="AW28">
        <v>168</v>
      </c>
      <c r="AX28">
        <f t="shared" si="33"/>
        <v>287</v>
      </c>
      <c r="AY28">
        <v>4</v>
      </c>
      <c r="AZ28">
        <v>3</v>
      </c>
      <c r="BA28">
        <f t="shared" si="34"/>
        <v>7</v>
      </c>
      <c r="BD28">
        <f t="shared" si="22"/>
        <v>0</v>
      </c>
      <c r="BK28">
        <f t="shared" si="23"/>
        <v>123</v>
      </c>
      <c r="BL28">
        <f t="shared" si="3"/>
        <v>171</v>
      </c>
      <c r="BM28">
        <f t="shared" si="4"/>
        <v>294</v>
      </c>
      <c r="BQ28">
        <v>97</v>
      </c>
      <c r="BR28">
        <v>162</v>
      </c>
      <c r="BS28">
        <f t="shared" si="35"/>
        <v>259</v>
      </c>
      <c r="BT28">
        <v>4</v>
      </c>
      <c r="BU28">
        <v>3</v>
      </c>
      <c r="BV28">
        <f t="shared" si="36"/>
        <v>7</v>
      </c>
      <c r="CF28">
        <f t="shared" si="24"/>
        <v>101</v>
      </c>
      <c r="CG28">
        <f t="shared" si="5"/>
        <v>165</v>
      </c>
      <c r="CH28">
        <f t="shared" si="6"/>
        <v>266</v>
      </c>
      <c r="CL28">
        <v>47</v>
      </c>
      <c r="CM28">
        <v>50</v>
      </c>
      <c r="CN28">
        <f t="shared" si="37"/>
        <v>97</v>
      </c>
      <c r="CO28">
        <v>0</v>
      </c>
      <c r="CP28">
        <v>0</v>
      </c>
      <c r="CQ28">
        <f t="shared" si="38"/>
        <v>0</v>
      </c>
      <c r="DA28">
        <f t="shared" si="25"/>
        <v>47</v>
      </c>
      <c r="DB28">
        <f t="shared" si="7"/>
        <v>50</v>
      </c>
      <c r="DC28">
        <f t="shared" si="8"/>
        <v>97</v>
      </c>
      <c r="DG28">
        <v>36</v>
      </c>
      <c r="DH28">
        <v>46</v>
      </c>
      <c r="DI28">
        <f t="shared" si="39"/>
        <v>82</v>
      </c>
      <c r="DJ28">
        <v>0</v>
      </c>
      <c r="DK28">
        <v>0</v>
      </c>
      <c r="DL28">
        <f t="shared" si="40"/>
        <v>0</v>
      </c>
      <c r="DV28">
        <f t="shared" si="26"/>
        <v>36</v>
      </c>
      <c r="DW28">
        <f t="shared" si="9"/>
        <v>46</v>
      </c>
      <c r="DX28">
        <f t="shared" si="10"/>
        <v>82</v>
      </c>
      <c r="EB28">
        <v>354</v>
      </c>
      <c r="EC28">
        <v>635</v>
      </c>
      <c r="ED28">
        <f t="shared" si="41"/>
        <v>989</v>
      </c>
      <c r="EE28">
        <v>13</v>
      </c>
      <c r="EF28">
        <v>11</v>
      </c>
      <c r="EG28">
        <f t="shared" si="42"/>
        <v>24</v>
      </c>
      <c r="EQ28">
        <f t="shared" si="27"/>
        <v>367</v>
      </c>
      <c r="ER28">
        <f t="shared" si="11"/>
        <v>646</v>
      </c>
      <c r="ES28">
        <f t="shared" si="18"/>
        <v>1013</v>
      </c>
      <c r="EW28">
        <v>305</v>
      </c>
      <c r="EX28">
        <v>590</v>
      </c>
      <c r="EY28">
        <f t="shared" si="43"/>
        <v>895</v>
      </c>
      <c r="EZ28">
        <v>13</v>
      </c>
      <c r="FA28">
        <v>11</v>
      </c>
      <c r="FB28">
        <f t="shared" si="44"/>
        <v>24</v>
      </c>
      <c r="FL28">
        <f t="shared" si="28"/>
        <v>318</v>
      </c>
      <c r="FM28">
        <f t="shared" si="12"/>
        <v>601</v>
      </c>
      <c r="FN28">
        <f t="shared" si="13"/>
        <v>919</v>
      </c>
    </row>
    <row r="29" spans="1:170" ht="28.5">
      <c r="A29" s="94">
        <v>19</v>
      </c>
      <c r="B29" s="118" t="s">
        <v>154</v>
      </c>
      <c r="H29">
        <v>439346</v>
      </c>
      <c r="K29">
        <f t="shared" si="14"/>
        <v>0</v>
      </c>
      <c r="N29">
        <f t="shared" si="19"/>
        <v>0</v>
      </c>
      <c r="U29">
        <f t="shared" si="20"/>
        <v>0</v>
      </c>
      <c r="V29">
        <f t="shared" si="29"/>
        <v>0</v>
      </c>
      <c r="W29">
        <f t="shared" si="30"/>
        <v>439346</v>
      </c>
      <c r="AC29">
        <v>431162</v>
      </c>
      <c r="AP29">
        <f t="shared" si="21"/>
        <v>0</v>
      </c>
      <c r="AQ29">
        <f t="shared" si="1"/>
        <v>0</v>
      </c>
      <c r="AR29">
        <f t="shared" si="2"/>
        <v>0</v>
      </c>
      <c r="AX29">
        <f t="shared" si="33"/>
        <v>0</v>
      </c>
      <c r="BA29">
        <f t="shared" si="34"/>
        <v>0</v>
      </c>
      <c r="BD29">
        <f t="shared" si="22"/>
        <v>0</v>
      </c>
      <c r="BK29">
        <f t="shared" si="23"/>
        <v>0</v>
      </c>
      <c r="BL29">
        <f t="shared" si="3"/>
        <v>0</v>
      </c>
      <c r="BM29">
        <f t="shared" si="4"/>
        <v>0</v>
      </c>
      <c r="BS29">
        <f t="shared" si="35"/>
        <v>0</v>
      </c>
      <c r="BV29">
        <f t="shared" si="36"/>
        <v>0</v>
      </c>
      <c r="CF29">
        <f t="shared" si="24"/>
        <v>0</v>
      </c>
      <c r="CG29">
        <f t="shared" si="5"/>
        <v>0</v>
      </c>
      <c r="CH29">
        <f t="shared" si="6"/>
        <v>0</v>
      </c>
      <c r="CN29">
        <f t="shared" si="37"/>
        <v>0</v>
      </c>
      <c r="CQ29">
        <f t="shared" si="38"/>
        <v>0</v>
      </c>
      <c r="DA29">
        <f t="shared" si="25"/>
        <v>0</v>
      </c>
      <c r="DB29">
        <f t="shared" si="7"/>
        <v>0</v>
      </c>
      <c r="DC29">
        <f t="shared" si="8"/>
        <v>0</v>
      </c>
      <c r="DI29">
        <f t="shared" si="39"/>
        <v>0</v>
      </c>
      <c r="DL29">
        <f t="shared" si="40"/>
        <v>0</v>
      </c>
      <c r="DV29">
        <f t="shared" si="26"/>
        <v>0</v>
      </c>
      <c r="DW29">
        <f t="shared" si="9"/>
        <v>0</v>
      </c>
      <c r="DX29">
        <f t="shared" si="10"/>
        <v>0</v>
      </c>
      <c r="ED29">
        <f t="shared" si="41"/>
        <v>0</v>
      </c>
      <c r="EG29">
        <f t="shared" si="42"/>
        <v>0</v>
      </c>
      <c r="EQ29">
        <f t="shared" si="27"/>
        <v>0</v>
      </c>
      <c r="ER29">
        <f t="shared" si="11"/>
        <v>0</v>
      </c>
      <c r="ES29">
        <f t="shared" si="18"/>
        <v>0</v>
      </c>
      <c r="EY29">
        <f t="shared" si="43"/>
        <v>0</v>
      </c>
      <c r="FB29">
        <f t="shared" si="44"/>
        <v>0</v>
      </c>
      <c r="FL29">
        <f t="shared" si="28"/>
        <v>0</v>
      </c>
      <c r="FM29">
        <f t="shared" si="12"/>
        <v>0</v>
      </c>
      <c r="FN29">
        <f t="shared" si="13"/>
        <v>0</v>
      </c>
    </row>
    <row r="30" spans="1:170" ht="28.5">
      <c r="A30" s="94">
        <v>20</v>
      </c>
      <c r="B30" s="118" t="s">
        <v>380</v>
      </c>
      <c r="C30">
        <v>917714</v>
      </c>
      <c r="D30">
        <v>755940</v>
      </c>
      <c r="E30">
        <f>C30+D30</f>
        <v>1673654</v>
      </c>
      <c r="H30">
        <f t="shared" si="31"/>
        <v>0</v>
      </c>
      <c r="K30">
        <f t="shared" si="14"/>
        <v>0</v>
      </c>
      <c r="N30">
        <f t="shared" si="19"/>
        <v>0</v>
      </c>
      <c r="U30">
        <f t="shared" si="20"/>
        <v>917714</v>
      </c>
      <c r="V30">
        <f t="shared" si="29"/>
        <v>755940</v>
      </c>
      <c r="W30">
        <f t="shared" si="30"/>
        <v>1673654</v>
      </c>
      <c r="X30">
        <v>788904</v>
      </c>
      <c r="Y30">
        <v>690705</v>
      </c>
      <c r="Z30">
        <f>X30+Y30</f>
        <v>1479609</v>
      </c>
      <c r="AC30">
        <f t="shared" si="45"/>
        <v>0</v>
      </c>
      <c r="AP30">
        <f t="shared" si="21"/>
        <v>788904</v>
      </c>
      <c r="AQ30">
        <f t="shared" si="1"/>
        <v>690705</v>
      </c>
      <c r="AR30">
        <f t="shared" si="2"/>
        <v>1479609</v>
      </c>
      <c r="AS30">
        <v>129130</v>
      </c>
      <c r="AT30">
        <v>108547</v>
      </c>
      <c r="AU30">
        <f>AS30+AT30</f>
        <v>237677</v>
      </c>
      <c r="AX30">
        <f t="shared" si="33"/>
        <v>0</v>
      </c>
      <c r="BA30">
        <f t="shared" si="34"/>
        <v>0</v>
      </c>
      <c r="BD30">
        <f t="shared" si="22"/>
        <v>0</v>
      </c>
      <c r="BK30">
        <f t="shared" si="23"/>
        <v>129130</v>
      </c>
      <c r="BL30">
        <f t="shared" si="3"/>
        <v>108547</v>
      </c>
      <c r="BM30">
        <f t="shared" si="4"/>
        <v>237677</v>
      </c>
      <c r="BN30">
        <v>105005</v>
      </c>
      <c r="BO30">
        <v>94724</v>
      </c>
      <c r="BP30">
        <f>BN30+BO30</f>
        <v>199729</v>
      </c>
      <c r="BS30">
        <f t="shared" si="35"/>
        <v>0</v>
      </c>
      <c r="BV30">
        <f t="shared" si="36"/>
        <v>0</v>
      </c>
      <c r="CF30">
        <f t="shared" si="24"/>
        <v>105005</v>
      </c>
      <c r="CG30">
        <f t="shared" si="5"/>
        <v>94724</v>
      </c>
      <c r="CH30">
        <f t="shared" si="6"/>
        <v>199729</v>
      </c>
      <c r="CI30">
        <v>81255</v>
      </c>
      <c r="CJ30">
        <v>66920</v>
      </c>
      <c r="CK30">
        <f>CI30+CJ30</f>
        <v>148175</v>
      </c>
      <c r="CN30">
        <f t="shared" si="37"/>
        <v>0</v>
      </c>
      <c r="CQ30">
        <f t="shared" si="38"/>
        <v>0</v>
      </c>
      <c r="DA30">
        <f t="shared" si="25"/>
        <v>81255</v>
      </c>
      <c r="DB30">
        <f t="shared" si="7"/>
        <v>66920</v>
      </c>
      <c r="DC30">
        <f t="shared" si="8"/>
        <v>148175</v>
      </c>
      <c r="DD30">
        <v>63806</v>
      </c>
      <c r="DE30">
        <v>55836</v>
      </c>
      <c r="DF30">
        <f>DD30+DE30</f>
        <v>119642</v>
      </c>
      <c r="DI30">
        <f t="shared" si="39"/>
        <v>0</v>
      </c>
      <c r="DL30">
        <f t="shared" si="40"/>
        <v>0</v>
      </c>
      <c r="DV30">
        <f t="shared" si="26"/>
        <v>63806</v>
      </c>
      <c r="DW30">
        <f t="shared" si="9"/>
        <v>55836</v>
      </c>
      <c r="DX30">
        <f t="shared" si="10"/>
        <v>119642</v>
      </c>
      <c r="DY30">
        <v>334273</v>
      </c>
      <c r="DZ30">
        <v>273124</v>
      </c>
      <c r="EA30">
        <f>DY30+DZ30</f>
        <v>607397</v>
      </c>
      <c r="ED30">
        <f t="shared" si="41"/>
        <v>0</v>
      </c>
      <c r="EG30">
        <f t="shared" si="42"/>
        <v>0</v>
      </c>
      <c r="EQ30">
        <f t="shared" si="27"/>
        <v>334273</v>
      </c>
      <c r="ER30">
        <f t="shared" si="11"/>
        <v>273124</v>
      </c>
      <c r="ES30">
        <f t="shared" si="18"/>
        <v>607397</v>
      </c>
      <c r="ET30">
        <v>291637</v>
      </c>
      <c r="EU30">
        <v>252127</v>
      </c>
      <c r="EV30">
        <f>ET30+EU30</f>
        <v>543764</v>
      </c>
      <c r="EY30">
        <f t="shared" si="43"/>
        <v>0</v>
      </c>
      <c r="FB30">
        <f t="shared" si="44"/>
        <v>0</v>
      </c>
      <c r="FL30">
        <f t="shared" si="28"/>
        <v>291637</v>
      </c>
      <c r="FM30">
        <f t="shared" si="12"/>
        <v>252127</v>
      </c>
      <c r="FN30">
        <f t="shared" si="13"/>
        <v>543764</v>
      </c>
    </row>
    <row r="31" spans="1:170" ht="28.5">
      <c r="A31" s="94">
        <v>21</v>
      </c>
      <c r="B31" s="396" t="s">
        <v>381</v>
      </c>
      <c r="F31">
        <v>5160</v>
      </c>
      <c r="G31">
        <v>1561</v>
      </c>
      <c r="H31">
        <f t="shared" si="31"/>
        <v>6721</v>
      </c>
      <c r="K31">
        <f t="shared" si="14"/>
        <v>0</v>
      </c>
      <c r="N31">
        <f t="shared" si="19"/>
        <v>0</v>
      </c>
      <c r="U31">
        <f t="shared" si="20"/>
        <v>5160</v>
      </c>
      <c r="V31">
        <f t="shared" si="29"/>
        <v>1561</v>
      </c>
      <c r="W31">
        <f t="shared" si="30"/>
        <v>6721</v>
      </c>
      <c r="AA31">
        <v>4370</v>
      </c>
      <c r="AB31">
        <v>1435</v>
      </c>
      <c r="AC31">
        <f t="shared" si="45"/>
        <v>5805</v>
      </c>
      <c r="AP31">
        <f t="shared" si="21"/>
        <v>4370</v>
      </c>
      <c r="AQ31">
        <f t="shared" si="1"/>
        <v>1435</v>
      </c>
      <c r="AR31">
        <f t="shared" si="2"/>
        <v>5805</v>
      </c>
      <c r="AV31">
        <v>1089</v>
      </c>
      <c r="AW31">
        <v>252</v>
      </c>
      <c r="AX31">
        <f t="shared" si="33"/>
        <v>1341</v>
      </c>
      <c r="BA31">
        <f t="shared" si="34"/>
        <v>0</v>
      </c>
      <c r="BD31">
        <f t="shared" si="22"/>
        <v>0</v>
      </c>
      <c r="BK31">
        <f t="shared" si="23"/>
        <v>1089</v>
      </c>
      <c r="BL31">
        <f t="shared" si="3"/>
        <v>252</v>
      </c>
      <c r="BM31">
        <f t="shared" si="4"/>
        <v>1341</v>
      </c>
      <c r="BQ31">
        <v>937</v>
      </c>
      <c r="BR31">
        <v>257</v>
      </c>
      <c r="BS31">
        <f t="shared" si="35"/>
        <v>1194</v>
      </c>
      <c r="BV31">
        <f t="shared" si="36"/>
        <v>0</v>
      </c>
      <c r="CF31">
        <f t="shared" si="24"/>
        <v>937</v>
      </c>
      <c r="CG31">
        <v>235</v>
      </c>
      <c r="CH31">
        <f t="shared" si="6"/>
        <v>1194</v>
      </c>
      <c r="CL31">
        <v>1109</v>
      </c>
      <c r="CM31">
        <v>257</v>
      </c>
      <c r="CN31">
        <f t="shared" si="37"/>
        <v>1366</v>
      </c>
      <c r="CQ31">
        <f t="shared" si="38"/>
        <v>0</v>
      </c>
      <c r="DA31">
        <f t="shared" si="25"/>
        <v>1109</v>
      </c>
      <c r="DB31">
        <f t="shared" si="7"/>
        <v>257</v>
      </c>
      <c r="DC31">
        <f t="shared" si="8"/>
        <v>1366</v>
      </c>
      <c r="DG31">
        <v>867</v>
      </c>
      <c r="DH31">
        <v>228</v>
      </c>
      <c r="DI31">
        <f t="shared" si="39"/>
        <v>1095</v>
      </c>
      <c r="DL31">
        <f t="shared" si="40"/>
        <v>0</v>
      </c>
      <c r="DV31">
        <f t="shared" si="26"/>
        <v>867</v>
      </c>
      <c r="DW31">
        <f t="shared" si="9"/>
        <v>228</v>
      </c>
      <c r="DX31">
        <f t="shared" si="10"/>
        <v>1095</v>
      </c>
      <c r="EB31">
        <v>2309</v>
      </c>
      <c r="EC31">
        <v>795</v>
      </c>
      <c r="ED31">
        <f t="shared" si="41"/>
        <v>3104</v>
      </c>
      <c r="EG31">
        <f t="shared" si="42"/>
        <v>0</v>
      </c>
      <c r="EQ31">
        <f t="shared" si="27"/>
        <v>2309</v>
      </c>
      <c r="ER31">
        <f t="shared" si="11"/>
        <v>795</v>
      </c>
      <c r="ES31">
        <f t="shared" si="18"/>
        <v>3104</v>
      </c>
      <c r="EW31">
        <v>1982</v>
      </c>
      <c r="EX31">
        <v>727</v>
      </c>
      <c r="EY31">
        <f t="shared" si="43"/>
        <v>2709</v>
      </c>
      <c r="FB31">
        <f t="shared" si="44"/>
        <v>0</v>
      </c>
      <c r="FL31">
        <f t="shared" si="28"/>
        <v>1982</v>
      </c>
      <c r="FM31">
        <f t="shared" si="12"/>
        <v>727</v>
      </c>
      <c r="FN31">
        <f t="shared" si="13"/>
        <v>2709</v>
      </c>
    </row>
    <row r="32" spans="1:170" ht="28.5">
      <c r="A32" s="94">
        <v>22</v>
      </c>
      <c r="B32" s="385" t="s">
        <v>141</v>
      </c>
      <c r="H32">
        <f t="shared" si="31"/>
        <v>0</v>
      </c>
      <c r="I32">
        <v>1274</v>
      </c>
      <c r="J32">
        <v>697</v>
      </c>
      <c r="K32">
        <f t="shared" si="14"/>
        <v>1971</v>
      </c>
      <c r="N32">
        <f t="shared" si="19"/>
        <v>0</v>
      </c>
      <c r="U32">
        <f t="shared" si="20"/>
        <v>1274</v>
      </c>
      <c r="V32">
        <f t="shared" si="29"/>
        <v>697</v>
      </c>
      <c r="W32">
        <f t="shared" si="30"/>
        <v>1971</v>
      </c>
      <c r="AC32">
        <f t="shared" si="45"/>
        <v>0</v>
      </c>
      <c r="AD32">
        <v>1083</v>
      </c>
      <c r="AE32">
        <v>584</v>
      </c>
      <c r="AF32">
        <f>AD32+AE32</f>
        <v>1667</v>
      </c>
      <c r="AP32">
        <f t="shared" si="21"/>
        <v>1083</v>
      </c>
      <c r="AQ32">
        <f t="shared" si="1"/>
        <v>584</v>
      </c>
      <c r="AR32">
        <f t="shared" si="2"/>
        <v>1667</v>
      </c>
      <c r="AX32">
        <f t="shared" si="33"/>
        <v>0</v>
      </c>
      <c r="AY32">
        <v>77</v>
      </c>
      <c r="AZ32">
        <v>51</v>
      </c>
      <c r="BA32">
        <f t="shared" si="34"/>
        <v>128</v>
      </c>
      <c r="BD32">
        <f t="shared" si="22"/>
        <v>0</v>
      </c>
      <c r="BK32">
        <f t="shared" si="23"/>
        <v>77</v>
      </c>
      <c r="BL32">
        <f t="shared" si="3"/>
        <v>51</v>
      </c>
      <c r="BM32">
        <f t="shared" si="4"/>
        <v>128</v>
      </c>
      <c r="BS32">
        <f t="shared" si="35"/>
        <v>0</v>
      </c>
      <c r="BT32">
        <v>62</v>
      </c>
      <c r="BU32">
        <v>48</v>
      </c>
      <c r="BV32">
        <f t="shared" si="36"/>
        <v>110</v>
      </c>
      <c r="CF32">
        <f t="shared" si="24"/>
        <v>62</v>
      </c>
      <c r="CG32">
        <f t="shared" si="5"/>
        <v>48</v>
      </c>
      <c r="CH32">
        <f t="shared" si="6"/>
        <v>110</v>
      </c>
      <c r="CN32">
        <f t="shared" si="37"/>
        <v>0</v>
      </c>
      <c r="CO32">
        <v>107</v>
      </c>
      <c r="CP32">
        <v>42</v>
      </c>
      <c r="CQ32">
        <f t="shared" si="38"/>
        <v>149</v>
      </c>
      <c r="DA32">
        <f t="shared" si="25"/>
        <v>107</v>
      </c>
      <c r="DB32">
        <f t="shared" si="7"/>
        <v>42</v>
      </c>
      <c r="DC32">
        <f t="shared" si="8"/>
        <v>149</v>
      </c>
      <c r="DI32">
        <f t="shared" si="39"/>
        <v>0</v>
      </c>
      <c r="DJ32">
        <v>90</v>
      </c>
      <c r="DK32">
        <v>34</v>
      </c>
      <c r="DL32">
        <f t="shared" si="40"/>
        <v>124</v>
      </c>
      <c r="DV32">
        <f t="shared" si="26"/>
        <v>90</v>
      </c>
      <c r="DW32">
        <f t="shared" si="9"/>
        <v>34</v>
      </c>
      <c r="DX32">
        <f t="shared" si="10"/>
        <v>124</v>
      </c>
      <c r="ED32">
        <f t="shared" si="41"/>
        <v>0</v>
      </c>
      <c r="EE32">
        <v>522</v>
      </c>
      <c r="EF32">
        <v>282</v>
      </c>
      <c r="EG32">
        <f t="shared" si="42"/>
        <v>804</v>
      </c>
      <c r="EQ32">
        <f t="shared" si="27"/>
        <v>522</v>
      </c>
      <c r="ER32">
        <f t="shared" si="11"/>
        <v>282</v>
      </c>
      <c r="ES32">
        <f t="shared" si="18"/>
        <v>804</v>
      </c>
      <c r="EY32">
        <f t="shared" si="43"/>
        <v>0</v>
      </c>
      <c r="EZ32">
        <v>448</v>
      </c>
      <c r="FA32">
        <v>235</v>
      </c>
      <c r="FB32">
        <f t="shared" si="44"/>
        <v>683</v>
      </c>
      <c r="FL32">
        <f t="shared" si="28"/>
        <v>448</v>
      </c>
      <c r="FM32">
        <f t="shared" si="12"/>
        <v>235</v>
      </c>
      <c r="FN32">
        <f t="shared" si="13"/>
        <v>683</v>
      </c>
    </row>
    <row r="33" spans="1:176">
      <c r="A33" s="94">
        <v>23</v>
      </c>
      <c r="B33" s="118" t="s">
        <v>158</v>
      </c>
      <c r="H33">
        <f t="shared" si="31"/>
        <v>0</v>
      </c>
      <c r="I33">
        <v>435</v>
      </c>
      <c r="J33">
        <v>441</v>
      </c>
      <c r="K33">
        <f t="shared" si="14"/>
        <v>876</v>
      </c>
      <c r="N33">
        <f t="shared" si="19"/>
        <v>0</v>
      </c>
      <c r="U33">
        <f t="shared" si="20"/>
        <v>435</v>
      </c>
      <c r="V33">
        <f t="shared" si="29"/>
        <v>441</v>
      </c>
      <c r="W33">
        <f t="shared" si="30"/>
        <v>876</v>
      </c>
      <c r="AC33">
        <f t="shared" si="45"/>
        <v>0</v>
      </c>
      <c r="AD33">
        <v>411</v>
      </c>
      <c r="AE33">
        <v>416</v>
      </c>
      <c r="AF33">
        <f>AD33+AE33</f>
        <v>827</v>
      </c>
      <c r="AP33">
        <f t="shared" si="21"/>
        <v>411</v>
      </c>
      <c r="AQ33">
        <f t="shared" si="1"/>
        <v>416</v>
      </c>
      <c r="AR33">
        <f t="shared" si="2"/>
        <v>827</v>
      </c>
      <c r="AX33">
        <f t="shared" si="33"/>
        <v>0</v>
      </c>
      <c r="AY33">
        <v>3</v>
      </c>
      <c r="AZ33">
        <v>1</v>
      </c>
      <c r="BA33">
        <f t="shared" si="34"/>
        <v>4</v>
      </c>
      <c r="BD33">
        <f t="shared" si="22"/>
        <v>0</v>
      </c>
      <c r="BK33">
        <f t="shared" si="23"/>
        <v>3</v>
      </c>
      <c r="BL33">
        <f t="shared" si="3"/>
        <v>1</v>
      </c>
      <c r="BM33">
        <f t="shared" si="4"/>
        <v>4</v>
      </c>
      <c r="BS33">
        <f t="shared" si="35"/>
        <v>0</v>
      </c>
      <c r="BT33">
        <v>3</v>
      </c>
      <c r="BU33">
        <v>1</v>
      </c>
      <c r="BV33">
        <f t="shared" si="36"/>
        <v>4</v>
      </c>
      <c r="CF33">
        <f t="shared" si="24"/>
        <v>3</v>
      </c>
      <c r="CG33">
        <f t="shared" si="5"/>
        <v>1</v>
      </c>
      <c r="CH33">
        <f t="shared" si="6"/>
        <v>4</v>
      </c>
      <c r="CN33">
        <f t="shared" si="37"/>
        <v>0</v>
      </c>
      <c r="CO33">
        <v>387</v>
      </c>
      <c r="CP33">
        <v>396</v>
      </c>
      <c r="CQ33">
        <f t="shared" si="38"/>
        <v>783</v>
      </c>
      <c r="DA33">
        <f t="shared" si="25"/>
        <v>387</v>
      </c>
      <c r="DB33">
        <f t="shared" si="7"/>
        <v>396</v>
      </c>
      <c r="DC33">
        <f t="shared" si="8"/>
        <v>783</v>
      </c>
      <c r="DI33">
        <f t="shared" si="39"/>
        <v>0</v>
      </c>
      <c r="DJ33">
        <v>364</v>
      </c>
      <c r="DK33">
        <v>371</v>
      </c>
      <c r="DL33">
        <f t="shared" si="40"/>
        <v>735</v>
      </c>
      <c r="DV33">
        <f t="shared" si="26"/>
        <v>364</v>
      </c>
      <c r="DW33">
        <f t="shared" si="9"/>
        <v>371</v>
      </c>
      <c r="DX33">
        <f t="shared" si="10"/>
        <v>735</v>
      </c>
      <c r="ED33">
        <f t="shared" si="41"/>
        <v>0</v>
      </c>
      <c r="EE33">
        <v>4</v>
      </c>
      <c r="EF33">
        <v>6</v>
      </c>
      <c r="EG33">
        <f t="shared" si="42"/>
        <v>10</v>
      </c>
      <c r="EQ33">
        <f t="shared" si="27"/>
        <v>4</v>
      </c>
      <c r="ER33">
        <f t="shared" si="11"/>
        <v>6</v>
      </c>
      <c r="ES33">
        <f t="shared" si="18"/>
        <v>10</v>
      </c>
      <c r="EY33">
        <f t="shared" si="43"/>
        <v>0</v>
      </c>
      <c r="EZ33">
        <v>4</v>
      </c>
      <c r="FA33">
        <v>6</v>
      </c>
      <c r="FB33">
        <f t="shared" si="44"/>
        <v>10</v>
      </c>
      <c r="FL33">
        <f t="shared" si="28"/>
        <v>4</v>
      </c>
      <c r="FM33">
        <f t="shared" si="12"/>
        <v>6</v>
      </c>
      <c r="FN33">
        <f t="shared" si="13"/>
        <v>10</v>
      </c>
    </row>
    <row r="34" spans="1:176">
      <c r="A34" s="94">
        <v>24</v>
      </c>
      <c r="B34" s="118" t="s">
        <v>159</v>
      </c>
      <c r="F34">
        <v>432</v>
      </c>
      <c r="G34">
        <v>663</v>
      </c>
      <c r="H34">
        <f t="shared" si="31"/>
        <v>1095</v>
      </c>
      <c r="K34">
        <f t="shared" si="14"/>
        <v>0</v>
      </c>
      <c r="N34">
        <f t="shared" si="19"/>
        <v>0</v>
      </c>
      <c r="U34">
        <f t="shared" si="20"/>
        <v>432</v>
      </c>
      <c r="V34">
        <f t="shared" si="29"/>
        <v>663</v>
      </c>
      <c r="W34">
        <f t="shared" si="30"/>
        <v>1095</v>
      </c>
      <c r="AA34">
        <v>417</v>
      </c>
      <c r="AB34">
        <v>629</v>
      </c>
      <c r="AC34">
        <f t="shared" si="45"/>
        <v>1046</v>
      </c>
      <c r="AP34">
        <f t="shared" si="21"/>
        <v>417</v>
      </c>
      <c r="AQ34">
        <f t="shared" si="1"/>
        <v>629</v>
      </c>
      <c r="AR34">
        <f t="shared" si="2"/>
        <v>1046</v>
      </c>
      <c r="AV34">
        <v>8</v>
      </c>
      <c r="AW34">
        <v>9</v>
      </c>
      <c r="AX34">
        <f t="shared" si="33"/>
        <v>17</v>
      </c>
      <c r="BA34">
        <f t="shared" si="34"/>
        <v>0</v>
      </c>
      <c r="BD34">
        <f t="shared" si="22"/>
        <v>0</v>
      </c>
      <c r="BK34">
        <f t="shared" si="23"/>
        <v>8</v>
      </c>
      <c r="BL34">
        <f t="shared" si="3"/>
        <v>9</v>
      </c>
      <c r="BM34">
        <f t="shared" si="4"/>
        <v>17</v>
      </c>
      <c r="BQ34">
        <v>8</v>
      </c>
      <c r="BR34">
        <v>9</v>
      </c>
      <c r="BS34">
        <f t="shared" si="35"/>
        <v>17</v>
      </c>
      <c r="BV34">
        <f t="shared" si="36"/>
        <v>0</v>
      </c>
      <c r="CF34">
        <f t="shared" si="24"/>
        <v>8</v>
      </c>
      <c r="CG34">
        <f t="shared" si="5"/>
        <v>9</v>
      </c>
      <c r="CH34">
        <f t="shared" si="6"/>
        <v>17</v>
      </c>
      <c r="CL34">
        <v>410</v>
      </c>
      <c r="CM34">
        <v>635</v>
      </c>
      <c r="CN34">
        <f t="shared" si="37"/>
        <v>1045</v>
      </c>
      <c r="CQ34">
        <f t="shared" si="38"/>
        <v>0</v>
      </c>
      <c r="DA34">
        <f t="shared" si="25"/>
        <v>410</v>
      </c>
      <c r="DB34">
        <f t="shared" si="7"/>
        <v>635</v>
      </c>
      <c r="DC34">
        <f t="shared" si="8"/>
        <v>1045</v>
      </c>
      <c r="DG34">
        <v>395</v>
      </c>
      <c r="DH34">
        <v>604</v>
      </c>
      <c r="DI34">
        <f t="shared" si="39"/>
        <v>999</v>
      </c>
      <c r="DL34">
        <f t="shared" si="40"/>
        <v>0</v>
      </c>
      <c r="DV34">
        <f t="shared" si="26"/>
        <v>395</v>
      </c>
      <c r="DW34">
        <f t="shared" si="9"/>
        <v>604</v>
      </c>
      <c r="DX34">
        <f t="shared" si="10"/>
        <v>999</v>
      </c>
      <c r="EB34">
        <v>4</v>
      </c>
      <c r="EC34">
        <v>5</v>
      </c>
      <c r="ED34">
        <f t="shared" si="41"/>
        <v>9</v>
      </c>
      <c r="EG34">
        <f t="shared" si="42"/>
        <v>0</v>
      </c>
      <c r="EQ34">
        <f t="shared" si="27"/>
        <v>4</v>
      </c>
      <c r="ER34">
        <f t="shared" si="11"/>
        <v>5</v>
      </c>
      <c r="ES34">
        <f t="shared" si="18"/>
        <v>9</v>
      </c>
      <c r="EW34">
        <v>4</v>
      </c>
      <c r="EX34">
        <v>5</v>
      </c>
      <c r="EY34">
        <f t="shared" si="43"/>
        <v>9</v>
      </c>
      <c r="FB34">
        <f t="shared" si="44"/>
        <v>0</v>
      </c>
      <c r="FL34">
        <f t="shared" si="28"/>
        <v>4</v>
      </c>
      <c r="FM34">
        <f t="shared" si="12"/>
        <v>5</v>
      </c>
      <c r="FN34">
        <f t="shared" si="13"/>
        <v>9</v>
      </c>
    </row>
    <row r="35" spans="1:176">
      <c r="A35" s="94">
        <v>25</v>
      </c>
      <c r="B35" s="118" t="s">
        <v>160</v>
      </c>
      <c r="F35">
        <v>2490</v>
      </c>
      <c r="G35">
        <v>2831</v>
      </c>
      <c r="H35">
        <f t="shared" si="31"/>
        <v>5321</v>
      </c>
      <c r="K35">
        <f t="shared" si="14"/>
        <v>0</v>
      </c>
      <c r="N35">
        <f t="shared" si="19"/>
        <v>0</v>
      </c>
      <c r="U35">
        <f t="shared" si="20"/>
        <v>2490</v>
      </c>
      <c r="V35">
        <f t="shared" si="29"/>
        <v>2831</v>
      </c>
      <c r="W35">
        <f t="shared" si="30"/>
        <v>5321</v>
      </c>
      <c r="AA35">
        <v>1602</v>
      </c>
      <c r="AB35">
        <v>1907</v>
      </c>
      <c r="AC35">
        <f t="shared" si="45"/>
        <v>3509</v>
      </c>
      <c r="AP35">
        <f t="shared" si="21"/>
        <v>1602</v>
      </c>
      <c r="AQ35">
        <f t="shared" si="1"/>
        <v>1907</v>
      </c>
      <c r="AR35">
        <f t="shared" si="2"/>
        <v>3509</v>
      </c>
      <c r="AV35">
        <v>27</v>
      </c>
      <c r="AW35">
        <v>27</v>
      </c>
      <c r="AX35">
        <f t="shared" si="33"/>
        <v>54</v>
      </c>
      <c r="BA35">
        <f t="shared" si="34"/>
        <v>0</v>
      </c>
      <c r="BD35">
        <f t="shared" si="22"/>
        <v>0</v>
      </c>
      <c r="BK35">
        <f t="shared" si="23"/>
        <v>27</v>
      </c>
      <c r="BL35">
        <f t="shared" si="3"/>
        <v>27</v>
      </c>
      <c r="BM35">
        <f t="shared" si="4"/>
        <v>54</v>
      </c>
      <c r="BQ35">
        <v>16</v>
      </c>
      <c r="BR35">
        <v>15</v>
      </c>
      <c r="BS35">
        <f t="shared" si="35"/>
        <v>31</v>
      </c>
      <c r="BV35">
        <f t="shared" si="36"/>
        <v>0</v>
      </c>
      <c r="CF35">
        <f t="shared" si="24"/>
        <v>16</v>
      </c>
      <c r="CG35">
        <f t="shared" si="5"/>
        <v>15</v>
      </c>
      <c r="CH35">
        <f t="shared" si="6"/>
        <v>31</v>
      </c>
      <c r="CL35">
        <v>2179</v>
      </c>
      <c r="CM35">
        <v>2502</v>
      </c>
      <c r="CN35">
        <f t="shared" si="37"/>
        <v>4681</v>
      </c>
      <c r="CQ35">
        <f t="shared" si="38"/>
        <v>0</v>
      </c>
      <c r="DA35">
        <f t="shared" si="25"/>
        <v>2179</v>
      </c>
      <c r="DB35">
        <f t="shared" si="7"/>
        <v>2502</v>
      </c>
      <c r="DC35">
        <f t="shared" si="8"/>
        <v>4681</v>
      </c>
      <c r="DG35">
        <v>1386</v>
      </c>
      <c r="DH35">
        <v>1702</v>
      </c>
      <c r="DI35">
        <f t="shared" si="39"/>
        <v>3088</v>
      </c>
      <c r="DL35">
        <f t="shared" si="40"/>
        <v>0</v>
      </c>
      <c r="DV35">
        <f t="shared" si="26"/>
        <v>1386</v>
      </c>
      <c r="DW35">
        <f t="shared" si="9"/>
        <v>1702</v>
      </c>
      <c r="DX35">
        <f t="shared" si="10"/>
        <v>3088</v>
      </c>
      <c r="EB35">
        <v>71</v>
      </c>
      <c r="EC35">
        <v>56</v>
      </c>
      <c r="ED35">
        <f t="shared" si="41"/>
        <v>127</v>
      </c>
      <c r="EG35">
        <f t="shared" si="42"/>
        <v>0</v>
      </c>
      <c r="EQ35">
        <f t="shared" si="27"/>
        <v>71</v>
      </c>
      <c r="ER35">
        <f t="shared" si="11"/>
        <v>56</v>
      </c>
      <c r="ES35">
        <f t="shared" si="18"/>
        <v>127</v>
      </c>
      <c r="EW35">
        <v>51</v>
      </c>
      <c r="EX35">
        <v>38</v>
      </c>
      <c r="EY35">
        <f t="shared" si="43"/>
        <v>89</v>
      </c>
      <c r="FB35">
        <f t="shared" si="44"/>
        <v>0</v>
      </c>
      <c r="FL35">
        <f t="shared" si="28"/>
        <v>51</v>
      </c>
      <c r="FM35">
        <f t="shared" si="12"/>
        <v>38</v>
      </c>
      <c r="FN35">
        <f t="shared" si="13"/>
        <v>89</v>
      </c>
    </row>
    <row r="36" spans="1:176">
      <c r="A36" s="94">
        <v>26</v>
      </c>
      <c r="B36" s="118" t="s">
        <v>142</v>
      </c>
      <c r="H36">
        <f t="shared" si="31"/>
        <v>0</v>
      </c>
      <c r="K36">
        <f t="shared" si="14"/>
        <v>0</v>
      </c>
      <c r="N36">
        <f t="shared" si="19"/>
        <v>0</v>
      </c>
      <c r="U36">
        <f t="shared" si="20"/>
        <v>0</v>
      </c>
      <c r="V36">
        <f t="shared" si="29"/>
        <v>0</v>
      </c>
      <c r="W36">
        <f t="shared" si="30"/>
        <v>0</v>
      </c>
      <c r="AC36">
        <f t="shared" si="45"/>
        <v>0</v>
      </c>
      <c r="AP36">
        <f t="shared" si="21"/>
        <v>0</v>
      </c>
      <c r="AQ36">
        <f t="shared" si="1"/>
        <v>0</v>
      </c>
      <c r="AR36">
        <f t="shared" si="2"/>
        <v>0</v>
      </c>
      <c r="AX36">
        <f t="shared" si="33"/>
        <v>0</v>
      </c>
      <c r="BA36">
        <f t="shared" si="34"/>
        <v>0</v>
      </c>
      <c r="BD36">
        <f t="shared" si="22"/>
        <v>0</v>
      </c>
      <c r="BK36">
        <f t="shared" si="23"/>
        <v>0</v>
      </c>
      <c r="BL36">
        <f t="shared" si="3"/>
        <v>0</v>
      </c>
      <c r="BM36">
        <f t="shared" si="4"/>
        <v>0</v>
      </c>
      <c r="BS36">
        <f t="shared" si="35"/>
        <v>0</v>
      </c>
      <c r="BV36">
        <f t="shared" si="36"/>
        <v>0</v>
      </c>
      <c r="CF36">
        <f t="shared" si="24"/>
        <v>0</v>
      </c>
      <c r="CG36">
        <f t="shared" si="5"/>
        <v>0</v>
      </c>
      <c r="CH36">
        <f t="shared" si="6"/>
        <v>0</v>
      </c>
      <c r="CN36">
        <f t="shared" si="37"/>
        <v>0</v>
      </c>
      <c r="CQ36">
        <f t="shared" si="38"/>
        <v>0</v>
      </c>
      <c r="DA36">
        <f t="shared" si="25"/>
        <v>0</v>
      </c>
      <c r="DB36">
        <f t="shared" si="7"/>
        <v>0</v>
      </c>
      <c r="DC36">
        <f t="shared" si="8"/>
        <v>0</v>
      </c>
      <c r="DI36">
        <f t="shared" si="39"/>
        <v>0</v>
      </c>
      <c r="DL36">
        <f t="shared" si="40"/>
        <v>0</v>
      </c>
      <c r="DV36">
        <f t="shared" si="26"/>
        <v>0</v>
      </c>
      <c r="DW36">
        <f t="shared" si="9"/>
        <v>0</v>
      </c>
      <c r="DX36">
        <f t="shared" si="10"/>
        <v>0</v>
      </c>
      <c r="ED36">
        <f t="shared" si="41"/>
        <v>0</v>
      </c>
      <c r="EG36">
        <f t="shared" si="42"/>
        <v>0</v>
      </c>
      <c r="EQ36">
        <f t="shared" si="27"/>
        <v>0</v>
      </c>
      <c r="ER36">
        <f t="shared" si="11"/>
        <v>0</v>
      </c>
      <c r="ES36">
        <f t="shared" si="18"/>
        <v>0</v>
      </c>
      <c r="EY36">
        <f t="shared" si="43"/>
        <v>0</v>
      </c>
      <c r="FB36">
        <f t="shared" si="44"/>
        <v>0</v>
      </c>
      <c r="FL36">
        <f t="shared" si="28"/>
        <v>0</v>
      </c>
      <c r="FM36">
        <f t="shared" si="12"/>
        <v>0</v>
      </c>
      <c r="FN36">
        <f t="shared" si="13"/>
        <v>0</v>
      </c>
      <c r="FR36" s="71"/>
    </row>
    <row r="37" spans="1:176">
      <c r="A37" s="94">
        <v>27</v>
      </c>
      <c r="B37" s="118" t="s">
        <v>162</v>
      </c>
      <c r="C37">
        <v>0</v>
      </c>
      <c r="D37">
        <v>0</v>
      </c>
      <c r="E37">
        <f>C37+D37</f>
        <v>0</v>
      </c>
      <c r="F37">
        <v>2139</v>
      </c>
      <c r="G37">
        <v>1681</v>
      </c>
      <c r="H37">
        <f t="shared" si="31"/>
        <v>3820</v>
      </c>
      <c r="I37">
        <v>250090</v>
      </c>
      <c r="J37">
        <v>185107</v>
      </c>
      <c r="K37">
        <f t="shared" si="14"/>
        <v>435197</v>
      </c>
      <c r="L37">
        <v>0</v>
      </c>
      <c r="M37">
        <v>0</v>
      </c>
      <c r="N37">
        <f t="shared" si="19"/>
        <v>0</v>
      </c>
      <c r="O37">
        <v>0</v>
      </c>
      <c r="P37">
        <v>0</v>
      </c>
      <c r="Q37">
        <f>O37+P37</f>
        <v>0</v>
      </c>
      <c r="U37">
        <f t="shared" si="20"/>
        <v>252229</v>
      </c>
      <c r="V37">
        <f t="shared" si="29"/>
        <v>186788</v>
      </c>
      <c r="W37">
        <f t="shared" si="30"/>
        <v>439017</v>
      </c>
      <c r="AA37">
        <v>1240</v>
      </c>
      <c r="AB37">
        <v>1198</v>
      </c>
      <c r="AC37">
        <f t="shared" si="45"/>
        <v>2438</v>
      </c>
      <c r="AD37">
        <v>133388</v>
      </c>
      <c r="AE37">
        <v>124689</v>
      </c>
      <c r="AF37">
        <f>AD37+AE37</f>
        <v>258077</v>
      </c>
      <c r="AP37">
        <f t="shared" si="21"/>
        <v>134628</v>
      </c>
      <c r="AQ37">
        <f t="shared" si="1"/>
        <v>125887</v>
      </c>
      <c r="AR37">
        <f t="shared" si="2"/>
        <v>260515</v>
      </c>
      <c r="AV37">
        <v>1177</v>
      </c>
      <c r="AW37">
        <v>919</v>
      </c>
      <c r="AX37">
        <f t="shared" si="33"/>
        <v>2096</v>
      </c>
      <c r="AY37">
        <v>108465</v>
      </c>
      <c r="AZ37">
        <v>87733</v>
      </c>
      <c r="BA37">
        <f t="shared" si="34"/>
        <v>196198</v>
      </c>
      <c r="BD37">
        <f t="shared" si="22"/>
        <v>0</v>
      </c>
      <c r="BK37">
        <f t="shared" si="23"/>
        <v>109642</v>
      </c>
      <c r="BL37">
        <f t="shared" si="3"/>
        <v>88652</v>
      </c>
      <c r="BM37">
        <f t="shared" si="4"/>
        <v>198294</v>
      </c>
      <c r="BQ37">
        <v>590</v>
      </c>
      <c r="BR37">
        <v>593</v>
      </c>
      <c r="BS37">
        <f t="shared" si="35"/>
        <v>1183</v>
      </c>
      <c r="BT37">
        <v>49424</v>
      </c>
      <c r="BU37">
        <v>52297</v>
      </c>
      <c r="BV37">
        <f t="shared" si="36"/>
        <v>101721</v>
      </c>
      <c r="CF37">
        <f t="shared" si="24"/>
        <v>50014</v>
      </c>
      <c r="CG37">
        <f t="shared" si="5"/>
        <v>52890</v>
      </c>
      <c r="CH37">
        <f t="shared" si="6"/>
        <v>102904</v>
      </c>
      <c r="CL37">
        <v>3</v>
      </c>
      <c r="CM37">
        <v>0</v>
      </c>
      <c r="CN37">
        <f t="shared" si="37"/>
        <v>3</v>
      </c>
      <c r="CO37">
        <v>64</v>
      </c>
      <c r="CP37">
        <v>36</v>
      </c>
      <c r="CQ37">
        <f t="shared" si="38"/>
        <v>100</v>
      </c>
      <c r="DA37">
        <f t="shared" si="25"/>
        <v>67</v>
      </c>
      <c r="DB37">
        <f t="shared" si="7"/>
        <v>36</v>
      </c>
      <c r="DC37">
        <f t="shared" si="8"/>
        <v>103</v>
      </c>
      <c r="DG37">
        <v>1</v>
      </c>
      <c r="DH37">
        <v>0</v>
      </c>
      <c r="DI37">
        <f t="shared" si="39"/>
        <v>1</v>
      </c>
      <c r="DJ37">
        <v>37</v>
      </c>
      <c r="DK37">
        <v>23</v>
      </c>
      <c r="DL37">
        <f t="shared" si="40"/>
        <v>60</v>
      </c>
      <c r="DV37">
        <f t="shared" si="26"/>
        <v>38</v>
      </c>
      <c r="DW37">
        <f t="shared" si="9"/>
        <v>23</v>
      </c>
      <c r="DX37">
        <f t="shared" si="10"/>
        <v>61</v>
      </c>
      <c r="EB37">
        <v>78</v>
      </c>
      <c r="EC37">
        <v>62</v>
      </c>
      <c r="ED37">
        <f t="shared" si="41"/>
        <v>140</v>
      </c>
      <c r="EE37">
        <v>10079</v>
      </c>
      <c r="EF37">
        <v>7827</v>
      </c>
      <c r="EG37">
        <f t="shared" si="42"/>
        <v>17906</v>
      </c>
      <c r="EQ37">
        <f t="shared" si="27"/>
        <v>10157</v>
      </c>
      <c r="ER37">
        <f t="shared" si="11"/>
        <v>7889</v>
      </c>
      <c r="ES37">
        <f t="shared" si="18"/>
        <v>18046</v>
      </c>
      <c r="EW37">
        <v>56</v>
      </c>
      <c r="EX37">
        <v>49</v>
      </c>
      <c r="EY37">
        <f t="shared" si="43"/>
        <v>105</v>
      </c>
      <c r="EZ37">
        <v>5855</v>
      </c>
      <c r="FA37">
        <v>5678</v>
      </c>
      <c r="FB37">
        <f t="shared" si="44"/>
        <v>11533</v>
      </c>
      <c r="FL37">
        <f t="shared" si="28"/>
        <v>5911</v>
      </c>
      <c r="FM37">
        <f t="shared" si="12"/>
        <v>5727</v>
      </c>
      <c r="FN37">
        <f t="shared" si="13"/>
        <v>11638</v>
      </c>
      <c r="FT37" t="s">
        <v>367</v>
      </c>
    </row>
    <row r="38" spans="1:176" ht="28.5">
      <c r="A38" s="94">
        <v>28</v>
      </c>
      <c r="B38" s="118" t="s">
        <v>212</v>
      </c>
      <c r="H38">
        <f t="shared" si="31"/>
        <v>0</v>
      </c>
      <c r="K38">
        <f t="shared" si="14"/>
        <v>0</v>
      </c>
      <c r="N38">
        <f t="shared" si="19"/>
        <v>0</v>
      </c>
      <c r="U38">
        <f t="shared" si="20"/>
        <v>0</v>
      </c>
      <c r="V38">
        <f t="shared" si="29"/>
        <v>0</v>
      </c>
      <c r="W38">
        <f t="shared" si="30"/>
        <v>0</v>
      </c>
      <c r="AC38">
        <f t="shared" si="45"/>
        <v>0</v>
      </c>
      <c r="AP38">
        <f t="shared" si="21"/>
        <v>0</v>
      </c>
      <c r="AQ38">
        <f t="shared" si="1"/>
        <v>0</v>
      </c>
      <c r="AR38">
        <f t="shared" si="2"/>
        <v>0</v>
      </c>
      <c r="AX38">
        <f t="shared" si="33"/>
        <v>0</v>
      </c>
      <c r="BA38">
        <f t="shared" si="34"/>
        <v>0</v>
      </c>
      <c r="BD38">
        <f t="shared" si="22"/>
        <v>0</v>
      </c>
      <c r="BK38">
        <f t="shared" si="23"/>
        <v>0</v>
      </c>
      <c r="BL38">
        <f t="shared" si="3"/>
        <v>0</v>
      </c>
      <c r="BM38">
        <f t="shared" si="4"/>
        <v>0</v>
      </c>
      <c r="BS38">
        <f t="shared" si="35"/>
        <v>0</v>
      </c>
      <c r="BV38">
        <f t="shared" si="36"/>
        <v>0</v>
      </c>
      <c r="CF38">
        <f t="shared" si="24"/>
        <v>0</v>
      </c>
      <c r="CG38">
        <f t="shared" si="5"/>
        <v>0</v>
      </c>
      <c r="CH38">
        <f t="shared" si="6"/>
        <v>0</v>
      </c>
      <c r="CN38">
        <f t="shared" si="37"/>
        <v>0</v>
      </c>
      <c r="CQ38">
        <f t="shared" si="38"/>
        <v>0</v>
      </c>
      <c r="DA38">
        <f t="shared" si="25"/>
        <v>0</v>
      </c>
      <c r="DB38">
        <f t="shared" si="7"/>
        <v>0</v>
      </c>
      <c r="DC38">
        <f t="shared" si="8"/>
        <v>0</v>
      </c>
      <c r="DI38">
        <f t="shared" si="39"/>
        <v>0</v>
      </c>
      <c r="DL38">
        <f t="shared" si="40"/>
        <v>0</v>
      </c>
      <c r="DV38">
        <f t="shared" si="26"/>
        <v>0</v>
      </c>
      <c r="DW38">
        <f t="shared" si="9"/>
        <v>0</v>
      </c>
      <c r="DX38">
        <f t="shared" si="10"/>
        <v>0</v>
      </c>
      <c r="ED38">
        <f t="shared" si="41"/>
        <v>0</v>
      </c>
      <c r="EG38">
        <f t="shared" si="42"/>
        <v>0</v>
      </c>
      <c r="EQ38">
        <f t="shared" si="27"/>
        <v>0</v>
      </c>
      <c r="ER38">
        <f t="shared" si="11"/>
        <v>0</v>
      </c>
      <c r="ES38">
        <f t="shared" si="18"/>
        <v>0</v>
      </c>
      <c r="EY38">
        <f t="shared" si="43"/>
        <v>0</v>
      </c>
      <c r="FB38">
        <f t="shared" si="44"/>
        <v>0</v>
      </c>
      <c r="FL38">
        <f t="shared" si="28"/>
        <v>0</v>
      </c>
      <c r="FM38">
        <f t="shared" si="12"/>
        <v>0</v>
      </c>
      <c r="FN38">
        <f t="shared" si="13"/>
        <v>0</v>
      </c>
    </row>
    <row r="39" spans="1:176" ht="28.5">
      <c r="A39" s="94">
        <v>29</v>
      </c>
      <c r="B39" s="118" t="s">
        <v>382</v>
      </c>
      <c r="H39">
        <f t="shared" si="31"/>
        <v>0</v>
      </c>
      <c r="K39">
        <f t="shared" si="14"/>
        <v>0</v>
      </c>
      <c r="N39">
        <f t="shared" si="19"/>
        <v>0</v>
      </c>
      <c r="U39">
        <f t="shared" si="20"/>
        <v>0</v>
      </c>
      <c r="V39">
        <f t="shared" si="29"/>
        <v>0</v>
      </c>
      <c r="W39">
        <f t="shared" si="30"/>
        <v>0</v>
      </c>
      <c r="AC39">
        <f t="shared" si="45"/>
        <v>0</v>
      </c>
      <c r="AP39">
        <f t="shared" si="21"/>
        <v>0</v>
      </c>
      <c r="AQ39">
        <f t="shared" si="1"/>
        <v>0</v>
      </c>
      <c r="AR39">
        <f t="shared" si="2"/>
        <v>0</v>
      </c>
      <c r="AX39">
        <f t="shared" si="33"/>
        <v>0</v>
      </c>
      <c r="BA39">
        <f t="shared" si="34"/>
        <v>0</v>
      </c>
      <c r="BD39">
        <f t="shared" si="22"/>
        <v>0</v>
      </c>
      <c r="BK39">
        <f t="shared" si="23"/>
        <v>0</v>
      </c>
      <c r="BL39">
        <f t="shared" si="3"/>
        <v>0</v>
      </c>
      <c r="BM39">
        <f t="shared" si="4"/>
        <v>0</v>
      </c>
      <c r="BS39">
        <f t="shared" si="35"/>
        <v>0</v>
      </c>
      <c r="BV39">
        <f t="shared" si="36"/>
        <v>0</v>
      </c>
      <c r="CF39">
        <f t="shared" si="24"/>
        <v>0</v>
      </c>
      <c r="CG39">
        <f t="shared" si="5"/>
        <v>0</v>
      </c>
      <c r="CH39">
        <f t="shared" si="6"/>
        <v>0</v>
      </c>
      <c r="CN39">
        <f t="shared" si="37"/>
        <v>0</v>
      </c>
      <c r="CQ39">
        <f t="shared" si="38"/>
        <v>0</v>
      </c>
      <c r="DA39">
        <f t="shared" si="25"/>
        <v>0</v>
      </c>
      <c r="DB39">
        <f t="shared" si="7"/>
        <v>0</v>
      </c>
      <c r="DC39">
        <f t="shared" si="8"/>
        <v>0</v>
      </c>
      <c r="DI39">
        <f t="shared" si="39"/>
        <v>0</v>
      </c>
      <c r="DL39">
        <f t="shared" si="40"/>
        <v>0</v>
      </c>
      <c r="DV39">
        <f t="shared" si="26"/>
        <v>0</v>
      </c>
      <c r="DW39">
        <f t="shared" si="9"/>
        <v>0</v>
      </c>
      <c r="DX39">
        <f t="shared" si="10"/>
        <v>0</v>
      </c>
      <c r="ED39">
        <f t="shared" si="41"/>
        <v>0</v>
      </c>
      <c r="EG39">
        <f t="shared" si="42"/>
        <v>0</v>
      </c>
      <c r="EQ39">
        <f t="shared" si="27"/>
        <v>0</v>
      </c>
      <c r="ER39">
        <f t="shared" si="11"/>
        <v>0</v>
      </c>
      <c r="ES39">
        <f t="shared" si="18"/>
        <v>0</v>
      </c>
      <c r="EY39">
        <f t="shared" si="43"/>
        <v>0</v>
      </c>
      <c r="FB39">
        <f t="shared" si="44"/>
        <v>0</v>
      </c>
      <c r="FL39">
        <f t="shared" si="28"/>
        <v>0</v>
      </c>
      <c r="FM39">
        <f t="shared" si="12"/>
        <v>0</v>
      </c>
      <c r="FN39">
        <f t="shared" si="13"/>
        <v>0</v>
      </c>
    </row>
    <row r="40" spans="1:176">
      <c r="A40" s="94">
        <v>30</v>
      </c>
      <c r="B40" s="118" t="s">
        <v>165</v>
      </c>
      <c r="H40">
        <f t="shared" si="31"/>
        <v>0</v>
      </c>
      <c r="K40">
        <f t="shared" si="14"/>
        <v>0</v>
      </c>
      <c r="N40">
        <f t="shared" si="19"/>
        <v>0</v>
      </c>
      <c r="U40">
        <f t="shared" si="20"/>
        <v>0</v>
      </c>
      <c r="V40">
        <f t="shared" si="29"/>
        <v>0</v>
      </c>
      <c r="W40">
        <f t="shared" si="30"/>
        <v>0</v>
      </c>
      <c r="AC40">
        <f t="shared" si="45"/>
        <v>0</v>
      </c>
      <c r="AP40">
        <f t="shared" si="21"/>
        <v>0</v>
      </c>
      <c r="AQ40">
        <f t="shared" si="1"/>
        <v>0</v>
      </c>
      <c r="AR40">
        <f t="shared" si="2"/>
        <v>0</v>
      </c>
      <c r="AX40">
        <f t="shared" si="33"/>
        <v>0</v>
      </c>
      <c r="BA40">
        <f t="shared" si="34"/>
        <v>0</v>
      </c>
      <c r="BD40">
        <f t="shared" si="22"/>
        <v>0</v>
      </c>
      <c r="BK40">
        <f t="shared" si="23"/>
        <v>0</v>
      </c>
      <c r="BL40">
        <f t="shared" si="3"/>
        <v>0</v>
      </c>
      <c r="BM40">
        <f t="shared" si="4"/>
        <v>0</v>
      </c>
      <c r="BS40">
        <f t="shared" si="35"/>
        <v>0</v>
      </c>
      <c r="BV40">
        <f t="shared" si="36"/>
        <v>0</v>
      </c>
      <c r="CF40">
        <f t="shared" si="24"/>
        <v>0</v>
      </c>
      <c r="CG40">
        <f t="shared" si="5"/>
        <v>0</v>
      </c>
      <c r="CH40">
        <f t="shared" si="6"/>
        <v>0</v>
      </c>
      <c r="CN40">
        <f t="shared" si="37"/>
        <v>0</v>
      </c>
      <c r="CQ40">
        <f t="shared" si="38"/>
        <v>0</v>
      </c>
      <c r="DA40">
        <f t="shared" si="25"/>
        <v>0</v>
      </c>
      <c r="DB40">
        <f t="shared" si="7"/>
        <v>0</v>
      </c>
      <c r="DC40">
        <f t="shared" si="8"/>
        <v>0</v>
      </c>
      <c r="DI40">
        <f t="shared" si="39"/>
        <v>0</v>
      </c>
      <c r="DL40">
        <f t="shared" si="40"/>
        <v>0</v>
      </c>
      <c r="DV40">
        <f t="shared" si="26"/>
        <v>0</v>
      </c>
      <c r="DW40">
        <f t="shared" si="9"/>
        <v>0</v>
      </c>
      <c r="DX40">
        <f t="shared" si="10"/>
        <v>0</v>
      </c>
      <c r="ED40">
        <f t="shared" si="41"/>
        <v>0</v>
      </c>
      <c r="EG40">
        <f t="shared" si="42"/>
        <v>0</v>
      </c>
      <c r="EQ40">
        <f t="shared" si="27"/>
        <v>0</v>
      </c>
      <c r="ER40">
        <f t="shared" si="11"/>
        <v>0</v>
      </c>
      <c r="ES40">
        <f t="shared" si="18"/>
        <v>0</v>
      </c>
      <c r="EY40">
        <f t="shared" si="43"/>
        <v>0</v>
      </c>
      <c r="FB40">
        <f t="shared" si="44"/>
        <v>0</v>
      </c>
      <c r="FL40">
        <f t="shared" si="28"/>
        <v>0</v>
      </c>
      <c r="FM40">
        <f t="shared" si="12"/>
        <v>0</v>
      </c>
      <c r="FN40">
        <f t="shared" si="13"/>
        <v>0</v>
      </c>
    </row>
    <row r="41" spans="1:176" ht="28.5">
      <c r="A41" s="94">
        <v>31</v>
      </c>
      <c r="B41" s="118" t="s">
        <v>383</v>
      </c>
      <c r="H41">
        <f t="shared" si="31"/>
        <v>0</v>
      </c>
      <c r="K41">
        <f t="shared" si="14"/>
        <v>0</v>
      </c>
      <c r="N41">
        <f t="shared" si="19"/>
        <v>0</v>
      </c>
      <c r="U41">
        <f t="shared" si="20"/>
        <v>0</v>
      </c>
      <c r="V41">
        <f t="shared" si="29"/>
        <v>0</v>
      </c>
      <c r="W41">
        <f t="shared" si="30"/>
        <v>0</v>
      </c>
      <c r="AC41">
        <f t="shared" si="45"/>
        <v>0</v>
      </c>
      <c r="AP41">
        <f t="shared" si="21"/>
        <v>0</v>
      </c>
      <c r="AQ41">
        <f t="shared" si="1"/>
        <v>0</v>
      </c>
      <c r="AR41">
        <f t="shared" si="2"/>
        <v>0</v>
      </c>
      <c r="AX41">
        <f t="shared" si="33"/>
        <v>0</v>
      </c>
      <c r="BA41">
        <f t="shared" si="34"/>
        <v>0</v>
      </c>
      <c r="BD41">
        <f t="shared" si="22"/>
        <v>0</v>
      </c>
      <c r="BK41">
        <f t="shared" si="23"/>
        <v>0</v>
      </c>
      <c r="BL41">
        <f t="shared" si="3"/>
        <v>0</v>
      </c>
      <c r="BM41">
        <f t="shared" si="4"/>
        <v>0</v>
      </c>
      <c r="BS41">
        <f t="shared" si="35"/>
        <v>0</v>
      </c>
      <c r="BV41">
        <f t="shared" si="36"/>
        <v>0</v>
      </c>
      <c r="CF41">
        <f t="shared" si="24"/>
        <v>0</v>
      </c>
      <c r="CG41">
        <f t="shared" si="5"/>
        <v>0</v>
      </c>
      <c r="CH41">
        <f t="shared" si="6"/>
        <v>0</v>
      </c>
      <c r="CN41">
        <f t="shared" si="37"/>
        <v>0</v>
      </c>
      <c r="CQ41">
        <f t="shared" si="38"/>
        <v>0</v>
      </c>
      <c r="DA41">
        <f t="shared" si="25"/>
        <v>0</v>
      </c>
      <c r="DB41">
        <f t="shared" si="7"/>
        <v>0</v>
      </c>
      <c r="DC41">
        <f t="shared" si="8"/>
        <v>0</v>
      </c>
      <c r="DI41">
        <f t="shared" si="39"/>
        <v>0</v>
      </c>
      <c r="DL41">
        <f t="shared" si="40"/>
        <v>0</v>
      </c>
      <c r="DV41">
        <f t="shared" si="26"/>
        <v>0</v>
      </c>
      <c r="DW41">
        <f t="shared" si="9"/>
        <v>0</v>
      </c>
      <c r="DX41">
        <f t="shared" si="10"/>
        <v>0</v>
      </c>
      <c r="ED41">
        <f t="shared" si="41"/>
        <v>0</v>
      </c>
      <c r="EG41">
        <f t="shared" si="42"/>
        <v>0</v>
      </c>
      <c r="EQ41">
        <f t="shared" si="27"/>
        <v>0</v>
      </c>
      <c r="ER41">
        <f t="shared" si="11"/>
        <v>0</v>
      </c>
      <c r="ES41">
        <f t="shared" si="18"/>
        <v>0</v>
      </c>
      <c r="EY41">
        <f t="shared" si="43"/>
        <v>0</v>
      </c>
      <c r="FB41">
        <f t="shared" si="44"/>
        <v>0</v>
      </c>
      <c r="FL41">
        <f t="shared" si="28"/>
        <v>0</v>
      </c>
      <c r="FM41">
        <f t="shared" si="12"/>
        <v>0</v>
      </c>
      <c r="FN41">
        <f t="shared" si="13"/>
        <v>0</v>
      </c>
    </row>
    <row r="42" spans="1:176">
      <c r="A42" s="94">
        <v>32</v>
      </c>
      <c r="B42" s="118" t="s">
        <v>169</v>
      </c>
      <c r="H42">
        <f t="shared" si="31"/>
        <v>0</v>
      </c>
      <c r="K42">
        <f t="shared" si="14"/>
        <v>0</v>
      </c>
      <c r="N42">
        <f t="shared" si="19"/>
        <v>0</v>
      </c>
      <c r="U42">
        <f t="shared" si="20"/>
        <v>0</v>
      </c>
      <c r="V42">
        <f t="shared" si="29"/>
        <v>0</v>
      </c>
      <c r="W42">
        <f t="shared" si="30"/>
        <v>0</v>
      </c>
      <c r="AC42">
        <f t="shared" si="45"/>
        <v>0</v>
      </c>
      <c r="AP42">
        <f t="shared" si="21"/>
        <v>0</v>
      </c>
      <c r="AQ42">
        <f t="shared" si="1"/>
        <v>0</v>
      </c>
      <c r="AR42">
        <f t="shared" si="2"/>
        <v>0</v>
      </c>
      <c r="AX42">
        <f t="shared" si="33"/>
        <v>0</v>
      </c>
      <c r="BA42">
        <f t="shared" si="34"/>
        <v>0</v>
      </c>
      <c r="BD42">
        <f t="shared" si="22"/>
        <v>0</v>
      </c>
      <c r="BK42">
        <f t="shared" si="23"/>
        <v>0</v>
      </c>
      <c r="BL42">
        <f t="shared" si="3"/>
        <v>0</v>
      </c>
      <c r="BM42">
        <f t="shared" si="4"/>
        <v>0</v>
      </c>
      <c r="BS42">
        <f t="shared" si="35"/>
        <v>0</v>
      </c>
      <c r="BV42">
        <f t="shared" si="36"/>
        <v>0</v>
      </c>
      <c r="CF42">
        <f t="shared" si="24"/>
        <v>0</v>
      </c>
      <c r="CG42">
        <f t="shared" si="5"/>
        <v>0</v>
      </c>
      <c r="CH42">
        <f t="shared" si="6"/>
        <v>0</v>
      </c>
      <c r="CN42">
        <f t="shared" si="37"/>
        <v>0</v>
      </c>
      <c r="CQ42">
        <f t="shared" si="38"/>
        <v>0</v>
      </c>
      <c r="DA42">
        <f t="shared" si="25"/>
        <v>0</v>
      </c>
      <c r="DB42">
        <f t="shared" si="7"/>
        <v>0</v>
      </c>
      <c r="DC42">
        <f t="shared" si="8"/>
        <v>0</v>
      </c>
      <c r="DI42">
        <f t="shared" si="39"/>
        <v>0</v>
      </c>
      <c r="DL42">
        <f t="shared" si="40"/>
        <v>0</v>
      </c>
      <c r="DV42">
        <f t="shared" si="26"/>
        <v>0</v>
      </c>
      <c r="DW42">
        <f t="shared" si="9"/>
        <v>0</v>
      </c>
      <c r="DX42">
        <f t="shared" si="10"/>
        <v>0</v>
      </c>
      <c r="ED42">
        <f t="shared" si="41"/>
        <v>0</v>
      </c>
      <c r="EG42">
        <f t="shared" si="42"/>
        <v>0</v>
      </c>
      <c r="EQ42">
        <f t="shared" si="27"/>
        <v>0</v>
      </c>
      <c r="ER42">
        <f t="shared" si="11"/>
        <v>0</v>
      </c>
      <c r="ES42">
        <f t="shared" si="18"/>
        <v>0</v>
      </c>
      <c r="EY42">
        <f t="shared" si="43"/>
        <v>0</v>
      </c>
      <c r="FB42">
        <f t="shared" si="44"/>
        <v>0</v>
      </c>
      <c r="FL42">
        <f t="shared" si="28"/>
        <v>0</v>
      </c>
      <c r="FM42">
        <f t="shared" si="12"/>
        <v>0</v>
      </c>
      <c r="FN42">
        <f t="shared" si="13"/>
        <v>0</v>
      </c>
    </row>
    <row r="43" spans="1:176" ht="28.5">
      <c r="A43" s="94">
        <v>33</v>
      </c>
      <c r="B43" s="118" t="s">
        <v>314</v>
      </c>
      <c r="H43">
        <f t="shared" si="31"/>
        <v>0</v>
      </c>
      <c r="K43">
        <f t="shared" si="14"/>
        <v>0</v>
      </c>
      <c r="N43">
        <f t="shared" si="19"/>
        <v>0</v>
      </c>
      <c r="U43">
        <f t="shared" si="20"/>
        <v>0</v>
      </c>
      <c r="V43">
        <f t="shared" si="29"/>
        <v>0</v>
      </c>
      <c r="W43">
        <f t="shared" si="30"/>
        <v>0</v>
      </c>
      <c r="AC43">
        <f t="shared" si="45"/>
        <v>0</v>
      </c>
      <c r="AP43">
        <f t="shared" si="21"/>
        <v>0</v>
      </c>
      <c r="AQ43">
        <f t="shared" si="1"/>
        <v>0</v>
      </c>
      <c r="AR43">
        <f t="shared" si="2"/>
        <v>0</v>
      </c>
      <c r="AX43">
        <f t="shared" si="33"/>
        <v>0</v>
      </c>
      <c r="BA43">
        <f t="shared" si="34"/>
        <v>0</v>
      </c>
      <c r="BD43">
        <f t="shared" si="22"/>
        <v>0</v>
      </c>
      <c r="BK43">
        <f t="shared" si="23"/>
        <v>0</v>
      </c>
      <c r="BL43">
        <f t="shared" si="3"/>
        <v>0</v>
      </c>
      <c r="BM43">
        <f t="shared" si="4"/>
        <v>0</v>
      </c>
      <c r="BS43">
        <f t="shared" si="35"/>
        <v>0</v>
      </c>
      <c r="BV43">
        <f t="shared" si="36"/>
        <v>0</v>
      </c>
      <c r="CF43">
        <f t="shared" si="24"/>
        <v>0</v>
      </c>
      <c r="CG43">
        <f t="shared" si="5"/>
        <v>0</v>
      </c>
      <c r="CH43">
        <f t="shared" si="6"/>
        <v>0</v>
      </c>
      <c r="CN43">
        <f t="shared" si="37"/>
        <v>0</v>
      </c>
      <c r="CQ43">
        <f t="shared" si="38"/>
        <v>0</v>
      </c>
      <c r="DA43">
        <f t="shared" si="25"/>
        <v>0</v>
      </c>
      <c r="DB43">
        <f t="shared" si="7"/>
        <v>0</v>
      </c>
      <c r="DC43">
        <f t="shared" si="8"/>
        <v>0</v>
      </c>
      <c r="DI43">
        <f t="shared" si="39"/>
        <v>0</v>
      </c>
      <c r="DL43">
        <f t="shared" si="40"/>
        <v>0</v>
      </c>
      <c r="DV43">
        <f t="shared" si="26"/>
        <v>0</v>
      </c>
      <c r="DW43">
        <f t="shared" si="9"/>
        <v>0</v>
      </c>
      <c r="DX43">
        <f t="shared" si="10"/>
        <v>0</v>
      </c>
      <c r="ED43">
        <f t="shared" si="41"/>
        <v>0</v>
      </c>
      <c r="EG43">
        <f t="shared" si="42"/>
        <v>0</v>
      </c>
      <c r="EQ43">
        <f t="shared" si="27"/>
        <v>0</v>
      </c>
      <c r="ER43">
        <f t="shared" si="11"/>
        <v>0</v>
      </c>
      <c r="ES43">
        <f t="shared" si="18"/>
        <v>0</v>
      </c>
      <c r="EY43">
        <f t="shared" si="43"/>
        <v>0</v>
      </c>
      <c r="FB43">
        <f t="shared" si="44"/>
        <v>0</v>
      </c>
      <c r="FL43">
        <f t="shared" si="28"/>
        <v>0</v>
      </c>
      <c r="FM43">
        <f t="shared" si="12"/>
        <v>0</v>
      </c>
      <c r="FN43">
        <f t="shared" si="13"/>
        <v>0</v>
      </c>
    </row>
    <row r="44" spans="1:176" ht="28.5">
      <c r="A44" s="94">
        <v>34</v>
      </c>
      <c r="B44" s="118" t="s">
        <v>171</v>
      </c>
      <c r="H44">
        <f t="shared" si="31"/>
        <v>0</v>
      </c>
      <c r="K44">
        <f t="shared" si="14"/>
        <v>0</v>
      </c>
      <c r="N44">
        <f t="shared" si="19"/>
        <v>0</v>
      </c>
      <c r="U44">
        <f t="shared" si="20"/>
        <v>0</v>
      </c>
      <c r="V44">
        <f t="shared" si="29"/>
        <v>0</v>
      </c>
      <c r="W44">
        <f t="shared" si="30"/>
        <v>0</v>
      </c>
      <c r="AC44">
        <f t="shared" si="45"/>
        <v>0</v>
      </c>
      <c r="AP44">
        <f t="shared" si="21"/>
        <v>0</v>
      </c>
      <c r="AQ44">
        <f t="shared" si="1"/>
        <v>0</v>
      </c>
      <c r="AR44">
        <f t="shared" si="2"/>
        <v>0</v>
      </c>
      <c r="AX44">
        <f t="shared" si="33"/>
        <v>0</v>
      </c>
      <c r="BA44">
        <f t="shared" si="34"/>
        <v>0</v>
      </c>
      <c r="BD44">
        <f t="shared" si="22"/>
        <v>0</v>
      </c>
      <c r="BK44">
        <f t="shared" si="23"/>
        <v>0</v>
      </c>
      <c r="BL44">
        <f t="shared" si="3"/>
        <v>0</v>
      </c>
      <c r="BM44">
        <f t="shared" si="4"/>
        <v>0</v>
      </c>
      <c r="BS44">
        <f t="shared" si="35"/>
        <v>0</v>
      </c>
      <c r="BV44">
        <f t="shared" si="36"/>
        <v>0</v>
      </c>
      <c r="CF44">
        <f t="shared" si="24"/>
        <v>0</v>
      </c>
      <c r="CG44">
        <f t="shared" si="5"/>
        <v>0</v>
      </c>
      <c r="CH44">
        <f t="shared" si="6"/>
        <v>0</v>
      </c>
      <c r="CN44">
        <f t="shared" si="37"/>
        <v>0</v>
      </c>
      <c r="CQ44">
        <f t="shared" si="38"/>
        <v>0</v>
      </c>
      <c r="DA44">
        <f t="shared" si="25"/>
        <v>0</v>
      </c>
      <c r="DB44">
        <f t="shared" si="7"/>
        <v>0</v>
      </c>
      <c r="DC44">
        <f t="shared" si="8"/>
        <v>0</v>
      </c>
      <c r="DI44">
        <f t="shared" si="39"/>
        <v>0</v>
      </c>
      <c r="DL44">
        <f t="shared" si="40"/>
        <v>0</v>
      </c>
      <c r="DV44">
        <f t="shared" si="26"/>
        <v>0</v>
      </c>
      <c r="DW44">
        <f t="shared" si="9"/>
        <v>0</v>
      </c>
      <c r="DX44">
        <f t="shared" si="10"/>
        <v>0</v>
      </c>
      <c r="ED44">
        <f t="shared" si="41"/>
        <v>0</v>
      </c>
      <c r="EG44">
        <f t="shared" si="42"/>
        <v>0</v>
      </c>
      <c r="EQ44">
        <f t="shared" si="27"/>
        <v>0</v>
      </c>
      <c r="ER44">
        <f t="shared" si="11"/>
        <v>0</v>
      </c>
      <c r="ES44">
        <f t="shared" si="18"/>
        <v>0</v>
      </c>
      <c r="EY44">
        <f t="shared" si="43"/>
        <v>0</v>
      </c>
      <c r="FB44">
        <f t="shared" si="44"/>
        <v>0</v>
      </c>
      <c r="FL44">
        <f t="shared" si="28"/>
        <v>0</v>
      </c>
      <c r="FM44">
        <f t="shared" si="12"/>
        <v>0</v>
      </c>
      <c r="FN44">
        <f t="shared" si="13"/>
        <v>0</v>
      </c>
    </row>
    <row r="45" spans="1:176">
      <c r="A45" s="94">
        <v>35</v>
      </c>
      <c r="B45" s="118" t="s">
        <v>163</v>
      </c>
      <c r="H45">
        <f t="shared" si="31"/>
        <v>0</v>
      </c>
      <c r="K45">
        <f t="shared" si="14"/>
        <v>0</v>
      </c>
      <c r="N45">
        <f t="shared" si="19"/>
        <v>0</v>
      </c>
      <c r="U45">
        <f t="shared" si="20"/>
        <v>0</v>
      </c>
      <c r="V45">
        <f t="shared" si="29"/>
        <v>0</v>
      </c>
      <c r="W45">
        <f t="shared" si="30"/>
        <v>0</v>
      </c>
      <c r="AC45">
        <f t="shared" si="45"/>
        <v>0</v>
      </c>
      <c r="AP45">
        <f t="shared" si="21"/>
        <v>0</v>
      </c>
      <c r="AQ45">
        <f t="shared" si="1"/>
        <v>0</v>
      </c>
      <c r="AR45">
        <f t="shared" si="2"/>
        <v>0</v>
      </c>
      <c r="AX45">
        <f t="shared" si="33"/>
        <v>0</v>
      </c>
      <c r="BA45">
        <f t="shared" si="34"/>
        <v>0</v>
      </c>
      <c r="BD45">
        <f t="shared" si="22"/>
        <v>0</v>
      </c>
      <c r="BK45">
        <f t="shared" si="23"/>
        <v>0</v>
      </c>
      <c r="BL45">
        <f t="shared" si="3"/>
        <v>0</v>
      </c>
      <c r="BM45">
        <f t="shared" si="4"/>
        <v>0</v>
      </c>
      <c r="BS45">
        <f t="shared" si="35"/>
        <v>0</v>
      </c>
      <c r="BV45">
        <f t="shared" si="36"/>
        <v>0</v>
      </c>
      <c r="CF45">
        <f t="shared" si="24"/>
        <v>0</v>
      </c>
      <c r="CG45">
        <f t="shared" si="5"/>
        <v>0</v>
      </c>
      <c r="CH45">
        <f t="shared" si="6"/>
        <v>0</v>
      </c>
      <c r="CN45">
        <f t="shared" si="37"/>
        <v>0</v>
      </c>
      <c r="CQ45">
        <f t="shared" si="38"/>
        <v>0</v>
      </c>
      <c r="DA45">
        <f t="shared" si="25"/>
        <v>0</v>
      </c>
      <c r="DB45">
        <f t="shared" si="7"/>
        <v>0</v>
      </c>
      <c r="DC45">
        <f t="shared" si="8"/>
        <v>0</v>
      </c>
      <c r="DI45">
        <f t="shared" si="39"/>
        <v>0</v>
      </c>
      <c r="DL45">
        <f t="shared" si="40"/>
        <v>0</v>
      </c>
      <c r="DV45">
        <f t="shared" si="26"/>
        <v>0</v>
      </c>
      <c r="DW45">
        <f t="shared" si="9"/>
        <v>0</v>
      </c>
      <c r="DX45">
        <f t="shared" si="10"/>
        <v>0</v>
      </c>
      <c r="ED45">
        <f t="shared" si="41"/>
        <v>0</v>
      </c>
      <c r="EG45">
        <f t="shared" si="42"/>
        <v>0</v>
      </c>
      <c r="EQ45">
        <f t="shared" si="27"/>
        <v>0</v>
      </c>
      <c r="ER45">
        <f t="shared" si="11"/>
        <v>0</v>
      </c>
      <c r="ES45">
        <f t="shared" si="18"/>
        <v>0</v>
      </c>
      <c r="EY45">
        <f t="shared" si="43"/>
        <v>0</v>
      </c>
      <c r="FB45">
        <f t="shared" si="44"/>
        <v>0</v>
      </c>
      <c r="FL45">
        <f t="shared" si="28"/>
        <v>0</v>
      </c>
      <c r="FM45">
        <f t="shared" si="12"/>
        <v>0</v>
      </c>
      <c r="FN45">
        <f t="shared" si="13"/>
        <v>0</v>
      </c>
    </row>
    <row r="46" spans="1:176" ht="28.5">
      <c r="A46" s="94">
        <v>36</v>
      </c>
      <c r="B46" s="118" t="s">
        <v>132</v>
      </c>
      <c r="C46">
        <v>682</v>
      </c>
      <c r="D46">
        <v>197</v>
      </c>
      <c r="E46">
        <f>C46+D46</f>
        <v>879</v>
      </c>
      <c r="H46">
        <f t="shared" si="31"/>
        <v>0</v>
      </c>
      <c r="K46">
        <f t="shared" si="14"/>
        <v>0</v>
      </c>
      <c r="N46">
        <f t="shared" si="19"/>
        <v>0</v>
      </c>
      <c r="U46">
        <f t="shared" si="20"/>
        <v>682</v>
      </c>
      <c r="V46">
        <f t="shared" si="29"/>
        <v>197</v>
      </c>
      <c r="W46">
        <f t="shared" si="30"/>
        <v>879</v>
      </c>
      <c r="X46">
        <v>667</v>
      </c>
      <c r="Y46">
        <v>196</v>
      </c>
      <c r="Z46">
        <f>X46+Y46</f>
        <v>863</v>
      </c>
      <c r="AC46">
        <f t="shared" si="45"/>
        <v>0</v>
      </c>
      <c r="AP46">
        <f t="shared" si="21"/>
        <v>667</v>
      </c>
      <c r="AQ46">
        <f t="shared" si="1"/>
        <v>196</v>
      </c>
      <c r="AR46">
        <f t="shared" si="2"/>
        <v>863</v>
      </c>
      <c r="AX46">
        <f t="shared" si="33"/>
        <v>0</v>
      </c>
      <c r="BA46">
        <f t="shared" si="34"/>
        <v>0</v>
      </c>
      <c r="BD46">
        <f t="shared" si="22"/>
        <v>0</v>
      </c>
      <c r="BK46">
        <f t="shared" si="23"/>
        <v>0</v>
      </c>
      <c r="BL46">
        <f t="shared" si="3"/>
        <v>0</v>
      </c>
      <c r="BM46">
        <f t="shared" si="4"/>
        <v>0</v>
      </c>
      <c r="BS46">
        <f t="shared" si="35"/>
        <v>0</v>
      </c>
      <c r="BV46">
        <f t="shared" si="36"/>
        <v>0</v>
      </c>
      <c r="CF46">
        <f t="shared" si="24"/>
        <v>0</v>
      </c>
      <c r="CG46">
        <f t="shared" si="5"/>
        <v>0</v>
      </c>
      <c r="CH46">
        <f t="shared" si="6"/>
        <v>0</v>
      </c>
      <c r="CN46">
        <f t="shared" si="37"/>
        <v>0</v>
      </c>
      <c r="CQ46">
        <f t="shared" si="38"/>
        <v>0</v>
      </c>
      <c r="DA46">
        <f t="shared" si="25"/>
        <v>0</v>
      </c>
      <c r="DB46">
        <f t="shared" si="7"/>
        <v>0</v>
      </c>
      <c r="DC46">
        <f t="shared" si="8"/>
        <v>0</v>
      </c>
      <c r="DI46">
        <f t="shared" si="39"/>
        <v>0</v>
      </c>
      <c r="DL46">
        <f t="shared" si="40"/>
        <v>0</v>
      </c>
      <c r="DV46">
        <f t="shared" si="26"/>
        <v>0</v>
      </c>
      <c r="DW46">
        <f t="shared" si="9"/>
        <v>0</v>
      </c>
      <c r="DX46">
        <f t="shared" si="10"/>
        <v>0</v>
      </c>
      <c r="ED46">
        <f t="shared" si="41"/>
        <v>0</v>
      </c>
      <c r="EG46">
        <f t="shared" si="42"/>
        <v>0</v>
      </c>
      <c r="EQ46">
        <f t="shared" si="27"/>
        <v>0</v>
      </c>
      <c r="ER46">
        <f t="shared" si="11"/>
        <v>0</v>
      </c>
      <c r="ES46">
        <f t="shared" si="18"/>
        <v>0</v>
      </c>
      <c r="EY46">
        <f t="shared" si="43"/>
        <v>0</v>
      </c>
      <c r="FB46">
        <f t="shared" si="44"/>
        <v>0</v>
      </c>
      <c r="FL46">
        <f t="shared" si="28"/>
        <v>0</v>
      </c>
      <c r="FM46">
        <f t="shared" si="12"/>
        <v>0</v>
      </c>
      <c r="FN46">
        <f t="shared" si="13"/>
        <v>0</v>
      </c>
    </row>
    <row r="47" spans="1:176" ht="28.5">
      <c r="A47" s="94">
        <v>37</v>
      </c>
      <c r="B47" s="118" t="s">
        <v>157</v>
      </c>
      <c r="H47">
        <f t="shared" si="31"/>
        <v>0</v>
      </c>
      <c r="K47">
        <f t="shared" si="14"/>
        <v>0</v>
      </c>
      <c r="N47">
        <f t="shared" si="19"/>
        <v>0</v>
      </c>
      <c r="R47">
        <v>1296</v>
      </c>
      <c r="S47">
        <v>376</v>
      </c>
      <c r="T47">
        <f>R47+S47</f>
        <v>1672</v>
      </c>
      <c r="U47">
        <f t="shared" si="20"/>
        <v>1296</v>
      </c>
      <c r="V47">
        <f t="shared" si="29"/>
        <v>376</v>
      </c>
      <c r="W47">
        <f t="shared" si="30"/>
        <v>1672</v>
      </c>
      <c r="AC47">
        <f t="shared" si="45"/>
        <v>0</v>
      </c>
      <c r="AM47">
        <v>529</v>
      </c>
      <c r="AN47">
        <v>201</v>
      </c>
      <c r="AO47">
        <f>AM47+AN47</f>
        <v>730</v>
      </c>
      <c r="AP47">
        <f t="shared" si="21"/>
        <v>529</v>
      </c>
      <c r="AQ47">
        <f t="shared" si="1"/>
        <v>201</v>
      </c>
      <c r="AR47">
        <f t="shared" si="2"/>
        <v>730</v>
      </c>
      <c r="AX47">
        <f t="shared" si="33"/>
        <v>0</v>
      </c>
      <c r="BA47">
        <f t="shared" si="34"/>
        <v>0</v>
      </c>
      <c r="BD47">
        <f t="shared" si="22"/>
        <v>0</v>
      </c>
      <c r="BH47">
        <v>95</v>
      </c>
      <c r="BI47">
        <v>41</v>
      </c>
      <c r="BJ47">
        <f>BH47+BI47</f>
        <v>136</v>
      </c>
      <c r="BK47">
        <f t="shared" si="23"/>
        <v>95</v>
      </c>
      <c r="BL47">
        <f t="shared" si="3"/>
        <v>41</v>
      </c>
      <c r="BM47">
        <f t="shared" si="4"/>
        <v>136</v>
      </c>
      <c r="BS47">
        <f t="shared" si="35"/>
        <v>0</v>
      </c>
      <c r="BV47">
        <f t="shared" si="36"/>
        <v>0</v>
      </c>
      <c r="CC47">
        <v>30</v>
      </c>
      <c r="CD47">
        <v>12</v>
      </c>
      <c r="CE47">
        <f t="shared" ref="CE47" si="48">CC47+CD47</f>
        <v>42</v>
      </c>
      <c r="CF47">
        <f t="shared" si="24"/>
        <v>30</v>
      </c>
      <c r="CG47">
        <f t="shared" si="5"/>
        <v>12</v>
      </c>
      <c r="CH47">
        <f t="shared" si="6"/>
        <v>42</v>
      </c>
      <c r="CN47">
        <f t="shared" si="37"/>
        <v>0</v>
      </c>
      <c r="CQ47">
        <f t="shared" si="38"/>
        <v>0</v>
      </c>
      <c r="CX47">
        <v>58</v>
      </c>
      <c r="CY47">
        <v>15</v>
      </c>
      <c r="CZ47">
        <f t="shared" ref="CZ47" si="49">CX47+CY47</f>
        <v>73</v>
      </c>
      <c r="DA47">
        <f t="shared" si="25"/>
        <v>58</v>
      </c>
      <c r="DB47">
        <f t="shared" si="7"/>
        <v>15</v>
      </c>
      <c r="DC47">
        <f t="shared" si="8"/>
        <v>73</v>
      </c>
      <c r="DI47">
        <f t="shared" si="39"/>
        <v>0</v>
      </c>
      <c r="DL47">
        <f t="shared" si="40"/>
        <v>0</v>
      </c>
      <c r="DS47">
        <v>17</v>
      </c>
      <c r="DT47">
        <v>3</v>
      </c>
      <c r="DU47">
        <f t="shared" ref="DU47" si="50">DS47+DT47</f>
        <v>20</v>
      </c>
      <c r="DV47">
        <f t="shared" si="26"/>
        <v>17</v>
      </c>
      <c r="DW47">
        <f t="shared" si="9"/>
        <v>3</v>
      </c>
      <c r="DX47">
        <f t="shared" si="10"/>
        <v>20</v>
      </c>
      <c r="ED47">
        <f t="shared" si="41"/>
        <v>0</v>
      </c>
      <c r="EG47">
        <f t="shared" si="42"/>
        <v>0</v>
      </c>
      <c r="EQ47">
        <f t="shared" si="27"/>
        <v>0</v>
      </c>
      <c r="ER47">
        <f t="shared" si="11"/>
        <v>0</v>
      </c>
      <c r="ES47">
        <f t="shared" si="18"/>
        <v>0</v>
      </c>
      <c r="EY47">
        <f t="shared" si="43"/>
        <v>0</v>
      </c>
      <c r="FB47">
        <f t="shared" si="44"/>
        <v>0</v>
      </c>
      <c r="FL47">
        <f t="shared" si="28"/>
        <v>0</v>
      </c>
      <c r="FM47">
        <f t="shared" si="12"/>
        <v>0</v>
      </c>
      <c r="FN47">
        <f t="shared" si="13"/>
        <v>0</v>
      </c>
    </row>
    <row r="48" spans="1:176">
      <c r="A48" s="94">
        <v>38</v>
      </c>
      <c r="B48" s="118" t="s">
        <v>385</v>
      </c>
      <c r="H48">
        <f t="shared" si="31"/>
        <v>0</v>
      </c>
      <c r="K48">
        <f t="shared" si="14"/>
        <v>0</v>
      </c>
      <c r="N48">
        <f t="shared" si="19"/>
        <v>0</v>
      </c>
      <c r="U48">
        <f t="shared" si="20"/>
        <v>0</v>
      </c>
      <c r="V48">
        <f t="shared" si="29"/>
        <v>0</v>
      </c>
      <c r="W48">
        <f t="shared" si="30"/>
        <v>0</v>
      </c>
      <c r="AC48">
        <f t="shared" si="45"/>
        <v>0</v>
      </c>
      <c r="AP48">
        <f t="shared" si="21"/>
        <v>0</v>
      </c>
      <c r="AQ48">
        <f t="shared" si="1"/>
        <v>0</v>
      </c>
      <c r="AR48">
        <f t="shared" si="2"/>
        <v>0</v>
      </c>
      <c r="AX48">
        <f t="shared" si="33"/>
        <v>0</v>
      </c>
      <c r="BA48">
        <f t="shared" si="34"/>
        <v>0</v>
      </c>
      <c r="BD48">
        <f t="shared" si="22"/>
        <v>0</v>
      </c>
      <c r="BK48">
        <f t="shared" si="23"/>
        <v>0</v>
      </c>
      <c r="BL48">
        <f t="shared" si="3"/>
        <v>0</v>
      </c>
      <c r="BM48">
        <f t="shared" si="4"/>
        <v>0</v>
      </c>
      <c r="BS48">
        <f t="shared" si="35"/>
        <v>0</v>
      </c>
      <c r="BV48">
        <f t="shared" si="36"/>
        <v>0</v>
      </c>
      <c r="CF48">
        <f t="shared" si="24"/>
        <v>0</v>
      </c>
      <c r="CG48">
        <f t="shared" si="5"/>
        <v>0</v>
      </c>
      <c r="CH48">
        <f t="shared" si="6"/>
        <v>0</v>
      </c>
      <c r="CN48">
        <f t="shared" si="37"/>
        <v>0</v>
      </c>
      <c r="CQ48">
        <f t="shared" si="38"/>
        <v>0</v>
      </c>
      <c r="DA48">
        <f t="shared" si="25"/>
        <v>0</v>
      </c>
      <c r="DB48">
        <f t="shared" si="7"/>
        <v>0</v>
      </c>
      <c r="DC48">
        <f t="shared" si="8"/>
        <v>0</v>
      </c>
      <c r="DI48">
        <f t="shared" si="39"/>
        <v>0</v>
      </c>
      <c r="DL48">
        <f t="shared" si="40"/>
        <v>0</v>
      </c>
      <c r="DV48">
        <f t="shared" si="26"/>
        <v>0</v>
      </c>
      <c r="DW48">
        <f t="shared" si="9"/>
        <v>0</v>
      </c>
      <c r="DX48">
        <f t="shared" si="10"/>
        <v>0</v>
      </c>
      <c r="ED48">
        <f t="shared" si="41"/>
        <v>0</v>
      </c>
      <c r="EG48">
        <f t="shared" si="42"/>
        <v>0</v>
      </c>
      <c r="EQ48">
        <f t="shared" si="27"/>
        <v>0</v>
      </c>
      <c r="ER48">
        <f t="shared" si="11"/>
        <v>0</v>
      </c>
      <c r="ES48">
        <f t="shared" si="18"/>
        <v>0</v>
      </c>
      <c r="EY48">
        <f t="shared" si="43"/>
        <v>0</v>
      </c>
      <c r="FB48">
        <f t="shared" si="44"/>
        <v>0</v>
      </c>
      <c r="FL48">
        <f t="shared" si="28"/>
        <v>0</v>
      </c>
      <c r="FM48">
        <f t="shared" si="12"/>
        <v>0</v>
      </c>
      <c r="FN48">
        <f t="shared" si="13"/>
        <v>0</v>
      </c>
    </row>
    <row r="49" spans="1:170">
      <c r="A49" s="94">
        <v>39</v>
      </c>
      <c r="B49" s="118" t="s">
        <v>166</v>
      </c>
      <c r="H49">
        <f t="shared" si="31"/>
        <v>0</v>
      </c>
      <c r="K49">
        <f t="shared" si="14"/>
        <v>0</v>
      </c>
      <c r="N49">
        <f t="shared" si="19"/>
        <v>0</v>
      </c>
      <c r="U49">
        <f t="shared" si="20"/>
        <v>0</v>
      </c>
      <c r="V49">
        <f t="shared" si="29"/>
        <v>0</v>
      </c>
      <c r="W49">
        <f t="shared" si="30"/>
        <v>0</v>
      </c>
      <c r="AC49">
        <f t="shared" si="45"/>
        <v>0</v>
      </c>
      <c r="AP49">
        <f t="shared" si="21"/>
        <v>0</v>
      </c>
      <c r="AQ49">
        <f t="shared" si="1"/>
        <v>0</v>
      </c>
      <c r="AR49">
        <f t="shared" si="2"/>
        <v>0</v>
      </c>
      <c r="AX49">
        <f t="shared" si="33"/>
        <v>0</v>
      </c>
      <c r="BA49">
        <f t="shared" si="34"/>
        <v>0</v>
      </c>
      <c r="BD49">
        <f t="shared" si="22"/>
        <v>0</v>
      </c>
      <c r="BK49">
        <f t="shared" si="23"/>
        <v>0</v>
      </c>
      <c r="BL49">
        <f t="shared" si="3"/>
        <v>0</v>
      </c>
      <c r="BM49">
        <f t="shared" si="4"/>
        <v>0</v>
      </c>
      <c r="BS49">
        <f t="shared" si="35"/>
        <v>0</v>
      </c>
      <c r="BV49">
        <f t="shared" si="36"/>
        <v>0</v>
      </c>
      <c r="CF49">
        <f t="shared" si="24"/>
        <v>0</v>
      </c>
      <c r="CG49">
        <f t="shared" si="5"/>
        <v>0</v>
      </c>
      <c r="CH49">
        <f t="shared" si="6"/>
        <v>0</v>
      </c>
      <c r="CN49">
        <f t="shared" si="37"/>
        <v>0</v>
      </c>
      <c r="CQ49">
        <f t="shared" si="38"/>
        <v>0</v>
      </c>
      <c r="DA49">
        <f t="shared" si="25"/>
        <v>0</v>
      </c>
      <c r="DB49">
        <f t="shared" si="7"/>
        <v>0</v>
      </c>
      <c r="DC49">
        <f t="shared" si="8"/>
        <v>0</v>
      </c>
      <c r="DI49">
        <f t="shared" si="39"/>
        <v>0</v>
      </c>
      <c r="DL49">
        <f t="shared" si="40"/>
        <v>0</v>
      </c>
      <c r="DV49">
        <f t="shared" si="26"/>
        <v>0</v>
      </c>
      <c r="DW49">
        <f t="shared" si="9"/>
        <v>0</v>
      </c>
      <c r="DX49">
        <f t="shared" si="10"/>
        <v>0</v>
      </c>
      <c r="ED49">
        <f t="shared" si="41"/>
        <v>0</v>
      </c>
      <c r="EG49">
        <f t="shared" si="42"/>
        <v>0</v>
      </c>
      <c r="EQ49">
        <f t="shared" si="27"/>
        <v>0</v>
      </c>
      <c r="ER49">
        <f t="shared" si="11"/>
        <v>0</v>
      </c>
      <c r="ES49">
        <f t="shared" si="18"/>
        <v>0</v>
      </c>
      <c r="EY49">
        <f t="shared" si="43"/>
        <v>0</v>
      </c>
      <c r="FB49">
        <f t="shared" si="44"/>
        <v>0</v>
      </c>
      <c r="FL49">
        <f t="shared" si="28"/>
        <v>0</v>
      </c>
      <c r="FM49">
        <f t="shared" si="12"/>
        <v>0</v>
      </c>
      <c r="FN49">
        <f t="shared" si="13"/>
        <v>0</v>
      </c>
    </row>
    <row r="50" spans="1:170" ht="28.5">
      <c r="A50" s="94">
        <v>40</v>
      </c>
      <c r="B50" s="118" t="s">
        <v>167</v>
      </c>
      <c r="H50">
        <f t="shared" si="31"/>
        <v>0</v>
      </c>
      <c r="K50">
        <f t="shared" si="14"/>
        <v>0</v>
      </c>
      <c r="N50">
        <f t="shared" si="19"/>
        <v>0</v>
      </c>
      <c r="U50">
        <f t="shared" si="20"/>
        <v>0</v>
      </c>
      <c r="V50">
        <f t="shared" si="29"/>
        <v>0</v>
      </c>
      <c r="W50">
        <f t="shared" si="30"/>
        <v>0</v>
      </c>
      <c r="AC50">
        <f t="shared" si="45"/>
        <v>0</v>
      </c>
      <c r="AP50">
        <f t="shared" si="21"/>
        <v>0</v>
      </c>
      <c r="AQ50">
        <f t="shared" si="1"/>
        <v>0</v>
      </c>
      <c r="AR50">
        <f t="shared" si="2"/>
        <v>0</v>
      </c>
      <c r="AX50">
        <f t="shared" si="33"/>
        <v>0</v>
      </c>
      <c r="BA50">
        <f t="shared" si="34"/>
        <v>0</v>
      </c>
      <c r="BD50">
        <f t="shared" si="22"/>
        <v>0</v>
      </c>
      <c r="BK50">
        <f t="shared" si="23"/>
        <v>0</v>
      </c>
      <c r="BL50">
        <f t="shared" si="3"/>
        <v>0</v>
      </c>
      <c r="BM50">
        <f t="shared" si="4"/>
        <v>0</v>
      </c>
      <c r="BS50">
        <f t="shared" si="35"/>
        <v>0</v>
      </c>
      <c r="BV50">
        <f t="shared" si="36"/>
        <v>0</v>
      </c>
      <c r="CF50">
        <f t="shared" si="24"/>
        <v>0</v>
      </c>
      <c r="CG50">
        <f t="shared" si="5"/>
        <v>0</v>
      </c>
      <c r="CH50">
        <f t="shared" si="6"/>
        <v>0</v>
      </c>
      <c r="CN50">
        <f t="shared" si="37"/>
        <v>0</v>
      </c>
      <c r="CQ50">
        <f t="shared" si="38"/>
        <v>0</v>
      </c>
      <c r="DA50">
        <f t="shared" si="25"/>
        <v>0</v>
      </c>
      <c r="DB50">
        <f t="shared" si="7"/>
        <v>0</v>
      </c>
      <c r="DC50">
        <f t="shared" si="8"/>
        <v>0</v>
      </c>
      <c r="DI50">
        <f t="shared" si="39"/>
        <v>0</v>
      </c>
      <c r="DL50">
        <f t="shared" si="40"/>
        <v>0</v>
      </c>
      <c r="DV50">
        <f t="shared" si="26"/>
        <v>0</v>
      </c>
      <c r="DW50">
        <f t="shared" si="9"/>
        <v>0</v>
      </c>
      <c r="DX50">
        <f t="shared" si="10"/>
        <v>0</v>
      </c>
      <c r="ED50">
        <f t="shared" si="41"/>
        <v>0</v>
      </c>
      <c r="EG50">
        <f t="shared" si="42"/>
        <v>0</v>
      </c>
      <c r="EQ50">
        <f t="shared" si="27"/>
        <v>0</v>
      </c>
      <c r="ER50">
        <f t="shared" si="11"/>
        <v>0</v>
      </c>
      <c r="ES50">
        <f t="shared" si="18"/>
        <v>0</v>
      </c>
      <c r="EY50">
        <f t="shared" si="43"/>
        <v>0</v>
      </c>
      <c r="FB50">
        <f t="shared" si="44"/>
        <v>0</v>
      </c>
      <c r="FL50">
        <f t="shared" si="28"/>
        <v>0</v>
      </c>
      <c r="FM50">
        <f t="shared" si="12"/>
        <v>0</v>
      </c>
      <c r="FN50">
        <f t="shared" si="13"/>
        <v>0</v>
      </c>
    </row>
    <row r="51" spans="1:170">
      <c r="A51" s="94">
        <v>41</v>
      </c>
      <c r="B51" s="118" t="s">
        <v>214</v>
      </c>
      <c r="H51">
        <f t="shared" si="31"/>
        <v>0</v>
      </c>
      <c r="K51">
        <f t="shared" si="14"/>
        <v>0</v>
      </c>
      <c r="N51">
        <f t="shared" si="19"/>
        <v>0</v>
      </c>
      <c r="U51">
        <f t="shared" si="20"/>
        <v>0</v>
      </c>
      <c r="V51">
        <f t="shared" si="29"/>
        <v>0</v>
      </c>
      <c r="W51">
        <f t="shared" si="30"/>
        <v>0</v>
      </c>
      <c r="AC51">
        <f t="shared" si="45"/>
        <v>0</v>
      </c>
      <c r="AP51">
        <f t="shared" si="21"/>
        <v>0</v>
      </c>
      <c r="AQ51">
        <f t="shared" si="1"/>
        <v>0</v>
      </c>
      <c r="AR51">
        <f t="shared" si="2"/>
        <v>0</v>
      </c>
      <c r="AX51">
        <f t="shared" si="33"/>
        <v>0</v>
      </c>
      <c r="BA51">
        <f t="shared" si="34"/>
        <v>0</v>
      </c>
      <c r="BD51">
        <f t="shared" si="22"/>
        <v>0</v>
      </c>
      <c r="BK51">
        <f t="shared" si="23"/>
        <v>0</v>
      </c>
      <c r="BL51">
        <f t="shared" si="3"/>
        <v>0</v>
      </c>
      <c r="BM51">
        <f t="shared" si="4"/>
        <v>0</v>
      </c>
      <c r="BS51">
        <f t="shared" si="35"/>
        <v>0</v>
      </c>
      <c r="BV51">
        <f t="shared" si="36"/>
        <v>0</v>
      </c>
      <c r="CF51">
        <f t="shared" si="24"/>
        <v>0</v>
      </c>
      <c r="CG51">
        <f t="shared" si="5"/>
        <v>0</v>
      </c>
      <c r="CH51">
        <f t="shared" si="6"/>
        <v>0</v>
      </c>
      <c r="CN51">
        <f t="shared" si="37"/>
        <v>0</v>
      </c>
      <c r="CQ51">
        <f t="shared" si="38"/>
        <v>0</v>
      </c>
      <c r="DA51">
        <f t="shared" si="25"/>
        <v>0</v>
      </c>
      <c r="DB51">
        <f t="shared" si="7"/>
        <v>0</v>
      </c>
      <c r="DC51">
        <f t="shared" si="8"/>
        <v>0</v>
      </c>
      <c r="DI51">
        <f t="shared" si="39"/>
        <v>0</v>
      </c>
      <c r="DL51">
        <f t="shared" si="40"/>
        <v>0</v>
      </c>
      <c r="DV51">
        <f t="shared" si="26"/>
        <v>0</v>
      </c>
      <c r="DW51">
        <f t="shared" si="9"/>
        <v>0</v>
      </c>
      <c r="DX51">
        <f t="shared" si="10"/>
        <v>0</v>
      </c>
      <c r="ED51">
        <f t="shared" si="41"/>
        <v>0</v>
      </c>
      <c r="EG51">
        <f t="shared" si="42"/>
        <v>0</v>
      </c>
      <c r="EQ51">
        <f t="shared" si="27"/>
        <v>0</v>
      </c>
      <c r="ER51">
        <f t="shared" si="11"/>
        <v>0</v>
      </c>
      <c r="ES51">
        <f t="shared" si="18"/>
        <v>0</v>
      </c>
      <c r="EY51">
        <f t="shared" si="43"/>
        <v>0</v>
      </c>
      <c r="FB51">
        <f t="shared" si="44"/>
        <v>0</v>
      </c>
      <c r="FL51">
        <f t="shared" si="28"/>
        <v>0</v>
      </c>
      <c r="FM51">
        <f t="shared" si="12"/>
        <v>0</v>
      </c>
      <c r="FN51">
        <f t="shared" si="13"/>
        <v>0</v>
      </c>
    </row>
    <row r="52" spans="1:170">
      <c r="A52" s="602" t="s">
        <v>3</v>
      </c>
      <c r="B52" s="602"/>
      <c r="C52">
        <f t="shared" ref="C52:N52" si="51">SUM(C22:C51)</f>
        <v>918616</v>
      </c>
      <c r="D52">
        <f t="shared" si="51"/>
        <v>756291</v>
      </c>
      <c r="E52">
        <f t="shared" si="51"/>
        <v>1674907</v>
      </c>
      <c r="F52">
        <f t="shared" si="51"/>
        <v>13115</v>
      </c>
      <c r="G52">
        <f t="shared" si="51"/>
        <v>10199</v>
      </c>
      <c r="H52">
        <f t="shared" si="51"/>
        <v>462660</v>
      </c>
      <c r="I52">
        <f t="shared" si="51"/>
        <v>272725</v>
      </c>
      <c r="J52">
        <f t="shared" si="51"/>
        <v>203461</v>
      </c>
      <c r="K52">
        <f t="shared" si="51"/>
        <v>476186</v>
      </c>
      <c r="L52">
        <f t="shared" si="51"/>
        <v>0</v>
      </c>
      <c r="M52">
        <f t="shared" si="51"/>
        <v>0</v>
      </c>
      <c r="N52">
        <f t="shared" si="51"/>
        <v>0</v>
      </c>
      <c r="O52">
        <f t="shared" ref="O52:R52" si="52">SUM(O22:O51)</f>
        <v>0</v>
      </c>
      <c r="P52">
        <f t="shared" si="52"/>
        <v>0</v>
      </c>
      <c r="Q52">
        <f t="shared" si="52"/>
        <v>0</v>
      </c>
      <c r="R52">
        <f t="shared" si="52"/>
        <v>1296</v>
      </c>
      <c r="S52">
        <f t="shared" ref="S52" si="53">SUM(S22:S51)</f>
        <v>376</v>
      </c>
      <c r="T52">
        <f t="shared" ref="T52" si="54">SUM(T22:T51)</f>
        <v>1672</v>
      </c>
      <c r="U52">
        <f t="shared" ref="U52" si="55">SUM(U22:U51)</f>
        <v>1205752</v>
      </c>
      <c r="V52">
        <f t="shared" ref="V52" si="56">SUM(V22:V51)</f>
        <v>970327</v>
      </c>
      <c r="W52">
        <f t="shared" ref="W52" si="57">SUM(W22:W51)</f>
        <v>2615425</v>
      </c>
      <c r="X52">
        <f t="shared" ref="X52" si="58">SUM(X22:X51)</f>
        <v>789791</v>
      </c>
      <c r="Y52">
        <f t="shared" ref="Y52" si="59">SUM(Y22:Y51)</f>
        <v>691055</v>
      </c>
      <c r="Z52">
        <f t="shared" ref="Z52" si="60">SUM(Z22:Z51)</f>
        <v>1480846</v>
      </c>
      <c r="AA52">
        <f t="shared" ref="AA52" si="61">SUM(AA22:AA51)</f>
        <v>9601</v>
      </c>
      <c r="AB52">
        <f t="shared" ref="AB52" si="62">SUM(AB22:AB51)</f>
        <v>7835</v>
      </c>
      <c r="AC52">
        <f t="shared" ref="AC52" si="63">SUM(AC22:AC51)</f>
        <v>448598</v>
      </c>
      <c r="AD52">
        <f t="shared" ref="AD52" si="64">SUM(AD22:AD51)</f>
        <v>149577</v>
      </c>
      <c r="AE52">
        <f t="shared" ref="AE52" si="65">SUM(AE22:AE51)</f>
        <v>139094</v>
      </c>
      <c r="AF52">
        <f t="shared" ref="AF52" si="66">SUM(AF22:AF51)</f>
        <v>288671</v>
      </c>
      <c r="AG52">
        <f t="shared" ref="AG52" si="67">SUM(AG22:AG51)</f>
        <v>0</v>
      </c>
      <c r="AH52">
        <f t="shared" ref="AH52" si="68">SUM(AH22:AH51)</f>
        <v>0</v>
      </c>
      <c r="AI52">
        <f t="shared" ref="AI52" si="69">SUM(AI22:AI51)</f>
        <v>0</v>
      </c>
      <c r="AJ52">
        <f t="shared" ref="AJ52" si="70">SUM(AJ22:AJ51)</f>
        <v>0</v>
      </c>
      <c r="AK52">
        <f t="shared" ref="AK52" si="71">SUM(AK22:AK51)</f>
        <v>0</v>
      </c>
      <c r="AL52">
        <f t="shared" ref="AL52" si="72">SUM(AL22:AL51)</f>
        <v>0</v>
      </c>
      <c r="AM52">
        <f t="shared" ref="AM52" si="73">SUM(AM22:AM51)</f>
        <v>529</v>
      </c>
      <c r="AN52">
        <f t="shared" ref="AN52" si="74">SUM(AN22:AN51)</f>
        <v>201</v>
      </c>
      <c r="AO52">
        <f t="shared" ref="AO52" si="75">SUM(AO22:AO51)</f>
        <v>730</v>
      </c>
      <c r="AP52">
        <f t="shared" ref="AP52" si="76">SUM(AP22:AP51)</f>
        <v>949498</v>
      </c>
      <c r="AQ52">
        <f t="shared" ref="AQ52" si="77">SUM(AQ22:AQ51)</f>
        <v>838185</v>
      </c>
      <c r="AR52">
        <f t="shared" ref="AR52" si="78">SUM(AR22:AR51)</f>
        <v>1787683</v>
      </c>
      <c r="AS52">
        <f t="shared" ref="AS52" si="79">SUM(AS22:AS51)</f>
        <v>129131</v>
      </c>
      <c r="AT52">
        <f t="shared" ref="AT52" si="80">SUM(AT22:AT51)</f>
        <v>108547</v>
      </c>
      <c r="AU52">
        <f t="shared" ref="AU52" si="81">SUM(AU22:AU51)</f>
        <v>237678</v>
      </c>
      <c r="AV52">
        <f t="shared" ref="AV52" si="82">SUM(AV22:AV51)</f>
        <v>7197</v>
      </c>
      <c r="AW52">
        <f t="shared" ref="AW52" si="83">SUM(AW22:AW51)</f>
        <v>5477</v>
      </c>
      <c r="AX52">
        <f t="shared" ref="AX52" si="84">SUM(AX22:AX51)</f>
        <v>12674</v>
      </c>
      <c r="AY52">
        <f t="shared" ref="AY52" si="85">SUM(AY22:AY51)</f>
        <v>109288</v>
      </c>
      <c r="AZ52">
        <f t="shared" ref="AZ52" si="86">SUM(AZ22:AZ51)</f>
        <v>88586</v>
      </c>
      <c r="BA52">
        <f t="shared" ref="BA52" si="87">SUM(BA22:BA51)</f>
        <v>197874</v>
      </c>
      <c r="BB52">
        <f t="shared" ref="BB52" si="88">SUM(BB22:BB51)</f>
        <v>0</v>
      </c>
      <c r="BC52">
        <f t="shared" ref="BC52" si="89">SUM(BC22:BC51)</f>
        <v>0</v>
      </c>
      <c r="BD52">
        <f t="shared" ref="BD52" si="90">SUM(BD22:BD51)</f>
        <v>0</v>
      </c>
      <c r="BE52">
        <f t="shared" ref="BE52" si="91">SUM(BE22:BE51)</f>
        <v>0</v>
      </c>
      <c r="BF52">
        <f t="shared" ref="BF52" si="92">SUM(BF22:BF51)</f>
        <v>0</v>
      </c>
      <c r="BG52">
        <f t="shared" ref="BG52" si="93">SUM(BG22:BG51)</f>
        <v>0</v>
      </c>
      <c r="BH52">
        <f t="shared" ref="BH52" si="94">SUM(BH22:BH51)</f>
        <v>95</v>
      </c>
      <c r="BI52">
        <f t="shared" ref="BI52" si="95">SUM(BI22:BI51)</f>
        <v>41</v>
      </c>
      <c r="BJ52">
        <f t="shared" ref="BJ52" si="96">SUM(BJ22:BJ51)</f>
        <v>136</v>
      </c>
      <c r="BK52">
        <f t="shared" ref="BK52" si="97">SUM(BK22:BK51)</f>
        <v>245711</v>
      </c>
      <c r="BL52">
        <f t="shared" ref="BL52" si="98">SUM(BL22:BL51)</f>
        <v>202651</v>
      </c>
      <c r="BM52">
        <f t="shared" ref="BM52" si="99">SUM(BM22:BM51)</f>
        <v>448362</v>
      </c>
      <c r="BN52">
        <f t="shared" ref="BN52" si="100">SUM(BN22:BN51)</f>
        <v>105006</v>
      </c>
      <c r="BO52">
        <f t="shared" ref="BO52" si="101">SUM(BO22:BO51)</f>
        <v>94724</v>
      </c>
      <c r="BP52">
        <f t="shared" ref="BP52" si="102">SUM(BP22:BP51)</f>
        <v>199730</v>
      </c>
      <c r="BQ52">
        <f t="shared" ref="BQ52" si="103">SUM(BQ22:BQ51)</f>
        <v>2095</v>
      </c>
      <c r="BR52">
        <f t="shared" ref="BR52" si="104">SUM(BR22:BR51)</f>
        <v>1560</v>
      </c>
      <c r="BS52">
        <f t="shared" ref="BS52" si="105">SUM(BS22:BS51)</f>
        <v>3655</v>
      </c>
      <c r="BT52">
        <f t="shared" ref="BT52" si="106">SUM(BT22:BT51)</f>
        <v>52589</v>
      </c>
      <c r="BU52">
        <f t="shared" ref="BU52" si="107">SUM(BU22:BU51)</f>
        <v>55277</v>
      </c>
      <c r="BV52">
        <f t="shared" ref="BV52" si="108">SUM(BV22:BV51)</f>
        <v>107866</v>
      </c>
      <c r="BW52">
        <f t="shared" ref="BW52" si="109">SUM(BW22:BW51)</f>
        <v>0</v>
      </c>
      <c r="BX52">
        <f t="shared" ref="BX52" si="110">SUM(BX22:BX51)</f>
        <v>0</v>
      </c>
      <c r="BY52">
        <f t="shared" ref="BY52" si="111">SUM(BY22:BY51)</f>
        <v>0</v>
      </c>
      <c r="BZ52">
        <f t="shared" ref="BZ52" si="112">SUM(BZ22:BZ51)</f>
        <v>0</v>
      </c>
      <c r="CA52">
        <f t="shared" ref="CA52" si="113">SUM(CA22:CA51)</f>
        <v>0</v>
      </c>
      <c r="CB52">
        <f t="shared" ref="CB52" si="114">SUM(CB22:CB51)</f>
        <v>0</v>
      </c>
      <c r="CC52">
        <f t="shared" ref="CC52" si="115">SUM(CC22:CC51)</f>
        <v>30</v>
      </c>
      <c r="CD52">
        <f t="shared" ref="CD52" si="116">SUM(CD22:CD51)</f>
        <v>12</v>
      </c>
      <c r="CE52">
        <f t="shared" ref="CE52" si="117">SUM(CE22:CE51)</f>
        <v>42</v>
      </c>
      <c r="CF52">
        <f t="shared" ref="CF52" si="118">SUM(CF22:CF51)</f>
        <v>159720</v>
      </c>
      <c r="CG52">
        <f t="shared" ref="CG52" si="119">SUM(CG22:CG51)</f>
        <v>151551</v>
      </c>
      <c r="CH52">
        <f t="shared" ref="CH52" si="120">SUM(CH22:CH51)</f>
        <v>311293</v>
      </c>
      <c r="CI52">
        <f t="shared" ref="CI52" si="121">SUM(CI22:CI51)</f>
        <v>81282</v>
      </c>
      <c r="CJ52">
        <f t="shared" ref="CJ52" si="122">SUM(CJ22:CJ51)</f>
        <v>66955</v>
      </c>
      <c r="CK52">
        <f t="shared" ref="CK52" si="123">SUM(CK22:CK51)</f>
        <v>148237</v>
      </c>
      <c r="CL52">
        <f t="shared" ref="CL52" si="124">SUM(CL22:CL51)</f>
        <v>3879</v>
      </c>
      <c r="CM52">
        <f t="shared" ref="CM52" si="125">SUM(CM22:CM51)</f>
        <v>3591</v>
      </c>
      <c r="CN52">
        <f t="shared" ref="CN52" si="126">SUM(CN22:CN51)</f>
        <v>7470</v>
      </c>
      <c r="CO52">
        <f t="shared" ref="CO52" si="127">SUM(CO22:CO51)</f>
        <v>1580</v>
      </c>
      <c r="CP52">
        <f t="shared" ref="CP52" si="128">SUM(CP22:CP51)</f>
        <v>1290</v>
      </c>
      <c r="CQ52">
        <f t="shared" ref="CQ52" si="129">SUM(CQ22:CQ51)</f>
        <v>2870</v>
      </c>
      <c r="CR52">
        <f t="shared" ref="CR52" si="130">SUM(CR22:CR51)</f>
        <v>0</v>
      </c>
      <c r="CS52">
        <f t="shared" ref="CS52" si="131">SUM(CS22:CS51)</f>
        <v>0</v>
      </c>
      <c r="CT52">
        <f t="shared" ref="CT52" si="132">SUM(CT22:CT51)</f>
        <v>0</v>
      </c>
      <c r="CU52">
        <f t="shared" ref="CU52" si="133">SUM(CU22:CU51)</f>
        <v>0</v>
      </c>
      <c r="CV52">
        <f t="shared" ref="CV52" si="134">SUM(CV22:CV51)</f>
        <v>0</v>
      </c>
      <c r="CW52">
        <f t="shared" ref="CW52" si="135">SUM(CW22:CW51)</f>
        <v>0</v>
      </c>
      <c r="CX52">
        <f t="shared" ref="CX52" si="136">SUM(CX22:CX51)</f>
        <v>58</v>
      </c>
      <c r="CY52">
        <f t="shared" ref="CY52" si="137">SUM(CY22:CY51)</f>
        <v>15</v>
      </c>
      <c r="CZ52">
        <f t="shared" ref="CZ52" si="138">SUM(CZ22:CZ51)</f>
        <v>73</v>
      </c>
      <c r="DA52">
        <f t="shared" ref="DA52" si="139">SUM(DA22:DA51)</f>
        <v>86799</v>
      </c>
      <c r="DB52">
        <f t="shared" ref="DB52" si="140">SUM(DB22:DB51)</f>
        <v>71851</v>
      </c>
      <c r="DC52">
        <f t="shared" ref="DC52" si="141">SUM(DC22:DC51)</f>
        <v>158650</v>
      </c>
      <c r="DD52">
        <f t="shared" ref="DD52" si="142">SUM(DD22:DD51)</f>
        <v>63833</v>
      </c>
      <c r="DE52">
        <f t="shared" ref="DE52" si="143">SUM(DE22:DE51)</f>
        <v>55871</v>
      </c>
      <c r="DF52">
        <f t="shared" ref="DF52" si="144">SUM(DF22:DF51)</f>
        <v>119704</v>
      </c>
      <c r="DG52">
        <f t="shared" ref="DG52" si="145">SUM(DG22:DG51)</f>
        <v>2774</v>
      </c>
      <c r="DH52">
        <f t="shared" ref="DH52" si="146">SUM(DH22:DH51)</f>
        <v>2687</v>
      </c>
      <c r="DI52">
        <f t="shared" ref="DI52" si="147">SUM(DI22:DI51)</f>
        <v>5461</v>
      </c>
      <c r="DJ52">
        <f t="shared" ref="DJ52" si="148">SUM(DJ22:DJ51)</f>
        <v>1211</v>
      </c>
      <c r="DK52">
        <f t="shared" ref="DK52" si="149">SUM(DK22:DK51)</f>
        <v>1053</v>
      </c>
      <c r="DL52">
        <f t="shared" ref="DL52" si="150">SUM(DL22:DL51)</f>
        <v>2264</v>
      </c>
      <c r="DM52">
        <f t="shared" ref="DM52" si="151">SUM(DM22:DM51)</f>
        <v>0</v>
      </c>
      <c r="DN52">
        <f t="shared" ref="DN52" si="152">SUM(DN22:DN51)</f>
        <v>0</v>
      </c>
      <c r="DO52">
        <f t="shared" ref="DO52" si="153">SUM(DO22:DO51)</f>
        <v>0</v>
      </c>
      <c r="DP52">
        <f t="shared" ref="DP52" si="154">SUM(DP22:DP51)</f>
        <v>0</v>
      </c>
      <c r="DQ52">
        <f t="shared" ref="DQ52" si="155">SUM(DQ22:DQ51)</f>
        <v>0</v>
      </c>
      <c r="DR52">
        <f t="shared" ref="DR52" si="156">SUM(DR22:DR51)</f>
        <v>0</v>
      </c>
      <c r="DS52">
        <f t="shared" ref="DS52" si="157">SUM(DS22:DS51)</f>
        <v>17</v>
      </c>
      <c r="DT52">
        <f t="shared" ref="DT52" si="158">SUM(DT22:DT51)</f>
        <v>3</v>
      </c>
      <c r="DU52">
        <f t="shared" ref="DU52" si="159">SUM(DU22:DU51)</f>
        <v>20</v>
      </c>
      <c r="DV52">
        <f t="shared" ref="DV52" si="160">SUM(DV22:DV51)</f>
        <v>67835</v>
      </c>
      <c r="DW52">
        <f t="shared" ref="DW52" si="161">SUM(DW22:DW51)</f>
        <v>59614</v>
      </c>
      <c r="DX52">
        <f t="shared" ref="DX52" si="162">SUM(DX22:DX51)</f>
        <v>127449</v>
      </c>
      <c r="DY52">
        <f t="shared" ref="DY52" si="163">SUM(DY22:DY51)</f>
        <v>334285</v>
      </c>
      <c r="DZ52">
        <f t="shared" ref="DZ52" si="164">SUM(DZ22:DZ51)</f>
        <v>273143</v>
      </c>
      <c r="EA52">
        <f t="shared" ref="EA52" si="165">SUM(EA22:EA51)</f>
        <v>607428</v>
      </c>
      <c r="EB52">
        <f t="shared" ref="EB52" si="166">SUM(EB22:EB51)</f>
        <v>3167</v>
      </c>
      <c r="EC52">
        <f t="shared" ref="EC52" si="167">SUM(EC22:EC51)</f>
        <v>1911</v>
      </c>
      <c r="ED52">
        <f t="shared" ref="ED52" si="168">SUM(ED22:ED51)</f>
        <v>5078</v>
      </c>
      <c r="EE52">
        <f t="shared" ref="EE52" si="169">SUM(EE22:EE51)</f>
        <v>13985</v>
      </c>
      <c r="EF52">
        <f t="shared" ref="EF52" si="170">SUM(EF22:EF51)</f>
        <v>10865</v>
      </c>
      <c r="EG52">
        <f t="shared" ref="EG52" si="171">SUM(EG22:EG51)</f>
        <v>24850</v>
      </c>
      <c r="EH52">
        <f t="shared" ref="EH52" si="172">SUM(EH22:EH51)</f>
        <v>0</v>
      </c>
      <c r="EI52">
        <f t="shared" ref="EI52" si="173">SUM(EI22:EI51)</f>
        <v>0</v>
      </c>
      <c r="EJ52">
        <f t="shared" ref="EJ52" si="174">SUM(EJ22:EJ51)</f>
        <v>0</v>
      </c>
      <c r="EK52">
        <f t="shared" ref="EK52" si="175">SUM(EK22:EK51)</f>
        <v>0</v>
      </c>
      <c r="EL52">
        <f t="shared" ref="EL52" si="176">SUM(EL22:EL51)</f>
        <v>0</v>
      </c>
      <c r="EM52">
        <f t="shared" ref="EM52" si="177">SUM(EM22:EM51)</f>
        <v>0</v>
      </c>
      <c r="EN52">
        <f t="shared" ref="EN52" si="178">SUM(EN22:EN51)</f>
        <v>0</v>
      </c>
      <c r="EO52">
        <f t="shared" ref="EO52" si="179">SUM(EO22:EO51)</f>
        <v>0</v>
      </c>
      <c r="EP52">
        <f t="shared" ref="EP52" si="180">SUM(EP22:EP51)</f>
        <v>0</v>
      </c>
      <c r="EQ52">
        <f t="shared" ref="EQ52" si="181">SUM(EQ22:EQ51)</f>
        <v>351437</v>
      </c>
      <c r="ER52">
        <f t="shared" ref="ER52" si="182">SUM(ER22:ER51)</f>
        <v>285919</v>
      </c>
      <c r="ES52">
        <f t="shared" ref="ES52" si="183">SUM(ES22:ES51)</f>
        <v>637356</v>
      </c>
      <c r="ET52">
        <f t="shared" ref="ET52" si="184">SUM(ET22:ET51)</f>
        <v>291649</v>
      </c>
      <c r="EU52">
        <f t="shared" ref="EU52" si="185">SUM(EU22:EU51)</f>
        <v>252146</v>
      </c>
      <c r="EV52">
        <f t="shared" ref="EV52" si="186">SUM(EV22:EV51)</f>
        <v>543795</v>
      </c>
      <c r="EW52">
        <f t="shared" ref="EW52" si="187">SUM(EW22:EW51)</f>
        <v>2621</v>
      </c>
      <c r="EX52">
        <f t="shared" ref="EX52" si="188">SUM(EX22:EX51)</f>
        <v>1671</v>
      </c>
      <c r="EY52">
        <f t="shared" ref="EY52" si="189">SUM(EY22:EY51)</f>
        <v>4292</v>
      </c>
      <c r="EZ52">
        <f t="shared" ref="EZ52" si="190">SUM(EZ22:EZ51)</f>
        <v>8727</v>
      </c>
      <c r="FA52">
        <f t="shared" ref="FA52" si="191">SUM(FA22:FA51)</f>
        <v>8126</v>
      </c>
      <c r="FB52">
        <f t="shared" ref="FB52" si="192">SUM(FB22:FB51)</f>
        <v>16853</v>
      </c>
      <c r="FC52">
        <f t="shared" ref="FC52" si="193">SUM(FC22:FC51)</f>
        <v>0</v>
      </c>
      <c r="FD52">
        <f t="shared" ref="FD52" si="194">SUM(FD22:FD51)</f>
        <v>0</v>
      </c>
      <c r="FE52">
        <f t="shared" ref="FE52" si="195">SUM(FE22:FE51)</f>
        <v>0</v>
      </c>
      <c r="FF52">
        <f t="shared" ref="FF52" si="196">SUM(FF22:FF51)</f>
        <v>0</v>
      </c>
      <c r="FG52">
        <f t="shared" ref="FG52" si="197">SUM(FG22:FG51)</f>
        <v>0</v>
      </c>
      <c r="FH52">
        <f t="shared" ref="FH52" si="198">SUM(FH22:FH51)</f>
        <v>0</v>
      </c>
      <c r="FI52">
        <f t="shared" ref="FI52" si="199">SUM(FI22:FI51)</f>
        <v>0</v>
      </c>
      <c r="FJ52">
        <f t="shared" ref="FJ52" si="200">SUM(FJ22:FJ51)</f>
        <v>0</v>
      </c>
      <c r="FK52">
        <f t="shared" ref="FK52" si="201">SUM(FK22:FK51)</f>
        <v>0</v>
      </c>
      <c r="FL52">
        <f t="shared" ref="FL52" si="202">SUM(FL22:FL51)</f>
        <v>302997</v>
      </c>
      <c r="FM52">
        <f t="shared" ref="FM52" si="203">SUM(FM22:FM51)</f>
        <v>261943</v>
      </c>
      <c r="FN52">
        <f t="shared" ref="FN52" si="204">SUM(FN22:FN51)</f>
        <v>564940</v>
      </c>
    </row>
  </sheetData>
  <mergeCells count="77">
    <mergeCell ref="A3:A6"/>
    <mergeCell ref="B3:B6"/>
    <mergeCell ref="A8:B8"/>
    <mergeCell ref="A11:B11"/>
    <mergeCell ref="A52:B52"/>
    <mergeCell ref="L5:N5"/>
    <mergeCell ref="C3:T3"/>
    <mergeCell ref="C4:W4"/>
    <mergeCell ref="C5:E5"/>
    <mergeCell ref="O5:Q5"/>
    <mergeCell ref="R5:T5"/>
    <mergeCell ref="U5:W5"/>
    <mergeCell ref="F5:H5"/>
    <mergeCell ref="I5:K5"/>
    <mergeCell ref="X3:AO3"/>
    <mergeCell ref="X4:AR4"/>
    <mergeCell ref="X5:Z5"/>
    <mergeCell ref="AA5:AC5"/>
    <mergeCell ref="AD5:AF5"/>
    <mergeCell ref="AG5:AI5"/>
    <mergeCell ref="AJ5:AL5"/>
    <mergeCell ref="AM5:AO5"/>
    <mergeCell ref="AP5:AR5"/>
    <mergeCell ref="BZ5:CB5"/>
    <mergeCell ref="AS3:BJ3"/>
    <mergeCell ref="BN3:CE3"/>
    <mergeCell ref="AS4:BM4"/>
    <mergeCell ref="BN4:CH4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DJ5:DL5"/>
    <mergeCell ref="CC5:CE5"/>
    <mergeCell ref="CF5:CH5"/>
    <mergeCell ref="CI3:CZ3"/>
    <mergeCell ref="DD3:DU3"/>
    <mergeCell ref="CI4:DC4"/>
    <mergeCell ref="DD4:DX4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ET3:FK3"/>
    <mergeCell ref="DY4:ES4"/>
    <mergeCell ref="ET4:FN4"/>
    <mergeCell ref="DY5:EA5"/>
    <mergeCell ref="EB5:ED5"/>
    <mergeCell ref="FL5:FN5"/>
    <mergeCell ref="EQ5:ES5"/>
    <mergeCell ref="ET5:EV5"/>
    <mergeCell ref="EW5:EY5"/>
    <mergeCell ref="EZ5:FB5"/>
    <mergeCell ref="FC5:FE5"/>
    <mergeCell ref="FF5:FH5"/>
    <mergeCell ref="FI5:FK5"/>
    <mergeCell ref="DM5:DO5"/>
    <mergeCell ref="DP5:DR5"/>
    <mergeCell ref="DS5:DU5"/>
    <mergeCell ref="DV5:DX5"/>
    <mergeCell ref="DY3:EP3"/>
    <mergeCell ref="EE5:EG5"/>
    <mergeCell ref="EH5:EJ5"/>
    <mergeCell ref="EK5:EM5"/>
    <mergeCell ref="EN5:EP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P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V13" sqref="V13"/>
    </sheetView>
  </sheetViews>
  <sheetFormatPr defaultRowHeight="15"/>
  <cols>
    <col min="2" max="2" width="38.5703125" customWidth="1"/>
  </cols>
  <sheetData>
    <row r="1" spans="1:146">
      <c r="A1" s="121"/>
      <c r="B1" s="125"/>
    </row>
    <row r="2" spans="1:146">
      <c r="A2" s="121"/>
      <c r="B2" s="125"/>
    </row>
    <row r="3" spans="1:146">
      <c r="A3" s="604" t="s">
        <v>192</v>
      </c>
      <c r="B3" s="605" t="s">
        <v>42</v>
      </c>
      <c r="C3" s="560" t="s">
        <v>351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382"/>
      <c r="AE3" s="382"/>
      <c r="AF3" s="382"/>
      <c r="AG3" s="560" t="s">
        <v>351</v>
      </c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382"/>
      <c r="BI3" s="382"/>
      <c r="BJ3" s="382"/>
      <c r="BK3" s="600" t="s">
        <v>352</v>
      </c>
      <c r="BL3" s="600"/>
      <c r="BM3" s="600"/>
      <c r="BN3" s="600"/>
      <c r="BO3" s="600"/>
      <c r="BP3" s="600"/>
      <c r="BQ3" s="600"/>
      <c r="BR3" s="600"/>
      <c r="BS3" s="600"/>
      <c r="BT3" s="600"/>
      <c r="BU3" s="600"/>
      <c r="BV3" s="600"/>
      <c r="BW3" s="600"/>
      <c r="BX3" s="600"/>
      <c r="BY3" s="600"/>
      <c r="BZ3" s="600"/>
      <c r="CA3" s="600"/>
      <c r="CB3" s="600"/>
      <c r="CC3" s="600"/>
      <c r="CD3" s="600"/>
      <c r="CE3" s="600"/>
      <c r="CF3" s="600" t="s">
        <v>352</v>
      </c>
      <c r="CG3" s="600"/>
      <c r="CH3" s="600"/>
      <c r="CI3" s="600"/>
      <c r="CJ3" s="600"/>
      <c r="CK3" s="600"/>
      <c r="CL3" s="600"/>
      <c r="CM3" s="600"/>
      <c r="CN3" s="600"/>
      <c r="CO3" s="600"/>
      <c r="CP3" s="600"/>
      <c r="CQ3" s="600"/>
      <c r="CR3" s="600"/>
      <c r="CS3" s="600"/>
      <c r="CT3" s="600"/>
      <c r="CU3" s="600"/>
      <c r="CV3" s="600"/>
      <c r="CW3" s="600"/>
      <c r="CX3" s="600"/>
      <c r="CY3" s="600"/>
      <c r="CZ3" s="600"/>
      <c r="DA3" s="560" t="s">
        <v>353</v>
      </c>
      <c r="DB3" s="561"/>
      <c r="DC3" s="561"/>
      <c r="DD3" s="561"/>
      <c r="DE3" s="561"/>
      <c r="DF3" s="561"/>
      <c r="DG3" s="561"/>
      <c r="DH3" s="561"/>
      <c r="DI3" s="561"/>
      <c r="DJ3" s="561"/>
      <c r="DK3" s="561"/>
      <c r="DL3" s="561"/>
      <c r="DM3" s="561"/>
      <c r="DN3" s="561"/>
      <c r="DO3" s="561"/>
      <c r="DP3" s="561"/>
      <c r="DQ3" s="561"/>
      <c r="DR3" s="561"/>
      <c r="DS3" s="561"/>
      <c r="DT3" s="561"/>
      <c r="DU3" s="562"/>
      <c r="DV3" s="560" t="s">
        <v>353</v>
      </c>
      <c r="DW3" s="561"/>
      <c r="DX3" s="561"/>
      <c r="DY3" s="561"/>
      <c r="DZ3" s="561"/>
      <c r="EA3" s="561"/>
      <c r="EB3" s="561"/>
      <c r="EC3" s="561"/>
      <c r="ED3" s="561"/>
      <c r="EE3" s="561"/>
      <c r="EF3" s="561"/>
      <c r="EG3" s="561"/>
      <c r="EH3" s="561"/>
      <c r="EI3" s="561"/>
      <c r="EJ3" s="561"/>
      <c r="EK3" s="561"/>
      <c r="EL3" s="561"/>
      <c r="EM3" s="561"/>
      <c r="EN3" s="561"/>
      <c r="EO3" s="561"/>
      <c r="EP3" s="562"/>
    </row>
    <row r="4" spans="1:146">
      <c r="A4" s="604"/>
      <c r="B4" s="605"/>
      <c r="C4" s="560" t="s">
        <v>5</v>
      </c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2"/>
      <c r="AG4" s="560" t="s">
        <v>6</v>
      </c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2"/>
      <c r="BK4" s="600" t="s">
        <v>5</v>
      </c>
      <c r="BL4" s="600"/>
      <c r="BM4" s="600"/>
      <c r="BN4" s="600"/>
      <c r="BO4" s="600"/>
      <c r="BP4" s="600"/>
      <c r="BQ4" s="600"/>
      <c r="BR4" s="600"/>
      <c r="BS4" s="600"/>
      <c r="BT4" s="600"/>
      <c r="BU4" s="600"/>
      <c r="BV4" s="600"/>
      <c r="BW4" s="600"/>
      <c r="BX4" s="600"/>
      <c r="BY4" s="600"/>
      <c r="BZ4" s="600"/>
      <c r="CA4" s="600"/>
      <c r="CB4" s="600"/>
      <c r="CC4" s="600"/>
      <c r="CD4" s="600"/>
      <c r="CE4" s="600"/>
      <c r="CF4" s="600" t="s">
        <v>6</v>
      </c>
      <c r="CG4" s="600"/>
      <c r="CH4" s="600"/>
      <c r="CI4" s="600"/>
      <c r="CJ4" s="600"/>
      <c r="CK4" s="600"/>
      <c r="CL4" s="600"/>
      <c r="CM4" s="600"/>
      <c r="CN4" s="600"/>
      <c r="CO4" s="600"/>
      <c r="CP4" s="600"/>
      <c r="CQ4" s="600"/>
      <c r="CR4" s="600"/>
      <c r="CS4" s="600"/>
      <c r="CT4" s="600"/>
      <c r="CU4" s="600"/>
      <c r="CV4" s="600"/>
      <c r="CW4" s="600"/>
      <c r="CX4" s="600"/>
      <c r="CY4" s="600"/>
      <c r="CZ4" s="600"/>
      <c r="DA4" s="560" t="s">
        <v>5</v>
      </c>
      <c r="DB4" s="561"/>
      <c r="DC4" s="561"/>
      <c r="DD4" s="561"/>
      <c r="DE4" s="561"/>
      <c r="DF4" s="561"/>
      <c r="DG4" s="561"/>
      <c r="DH4" s="561"/>
      <c r="DI4" s="561"/>
      <c r="DJ4" s="561"/>
      <c r="DK4" s="561"/>
      <c r="DL4" s="561"/>
      <c r="DM4" s="561"/>
      <c r="DN4" s="561"/>
      <c r="DO4" s="561"/>
      <c r="DP4" s="561"/>
      <c r="DQ4" s="561"/>
      <c r="DR4" s="561"/>
      <c r="DS4" s="561"/>
      <c r="DT4" s="561"/>
      <c r="DU4" s="562"/>
      <c r="DV4" s="560" t="s">
        <v>6</v>
      </c>
      <c r="DW4" s="561"/>
      <c r="DX4" s="561"/>
      <c r="DY4" s="561"/>
      <c r="DZ4" s="561"/>
      <c r="EA4" s="561"/>
      <c r="EB4" s="561"/>
      <c r="EC4" s="561"/>
      <c r="ED4" s="561"/>
      <c r="EE4" s="561"/>
      <c r="EF4" s="561"/>
      <c r="EG4" s="561"/>
      <c r="EH4" s="561"/>
      <c r="EI4" s="561"/>
      <c r="EJ4" s="561"/>
      <c r="EK4" s="561"/>
      <c r="EL4" s="561"/>
      <c r="EM4" s="561"/>
      <c r="EN4" s="561"/>
      <c r="EO4" s="561"/>
      <c r="EP4" s="562"/>
    </row>
    <row r="5" spans="1:146">
      <c r="A5" s="604"/>
      <c r="B5" s="605"/>
      <c r="C5" s="600" t="s">
        <v>345</v>
      </c>
      <c r="D5" s="600"/>
      <c r="E5" s="600"/>
      <c r="F5" s="600" t="s">
        <v>346</v>
      </c>
      <c r="G5" s="600"/>
      <c r="H5" s="600"/>
      <c r="I5" s="560" t="s">
        <v>347</v>
      </c>
      <c r="J5" s="561"/>
      <c r="K5" s="562"/>
      <c r="L5" s="560" t="s">
        <v>348</v>
      </c>
      <c r="M5" s="561"/>
      <c r="N5" s="562"/>
      <c r="O5" s="560" t="s">
        <v>349</v>
      </c>
      <c r="P5" s="561"/>
      <c r="Q5" s="562"/>
      <c r="R5" s="600" t="s">
        <v>359</v>
      </c>
      <c r="S5" s="600"/>
      <c r="T5" s="600"/>
      <c r="U5" s="600" t="s">
        <v>371</v>
      </c>
      <c r="V5" s="600"/>
      <c r="W5" s="600"/>
      <c r="X5" s="560" t="s">
        <v>375</v>
      </c>
      <c r="Y5" s="561"/>
      <c r="Z5" s="562"/>
      <c r="AA5" s="600" t="s">
        <v>372</v>
      </c>
      <c r="AB5" s="600"/>
      <c r="AC5" s="600"/>
      <c r="AD5" s="560" t="s">
        <v>3</v>
      </c>
      <c r="AE5" s="561"/>
      <c r="AF5" s="562"/>
      <c r="AG5" s="600" t="s">
        <v>345</v>
      </c>
      <c r="AH5" s="600"/>
      <c r="AI5" s="600"/>
      <c r="AJ5" s="600" t="s">
        <v>346</v>
      </c>
      <c r="AK5" s="600"/>
      <c r="AL5" s="600"/>
      <c r="AM5" s="560" t="s">
        <v>347</v>
      </c>
      <c r="AN5" s="561"/>
      <c r="AO5" s="562"/>
      <c r="AP5" s="560" t="s">
        <v>348</v>
      </c>
      <c r="AQ5" s="561"/>
      <c r="AR5" s="562"/>
      <c r="AS5" s="560" t="s">
        <v>349</v>
      </c>
      <c r="AT5" s="561"/>
      <c r="AU5" s="562"/>
      <c r="AV5" s="600" t="s">
        <v>369</v>
      </c>
      <c r="AW5" s="600"/>
      <c r="AX5" s="600"/>
      <c r="AY5" s="600" t="s">
        <v>370</v>
      </c>
      <c r="AZ5" s="600"/>
      <c r="BA5" s="600"/>
      <c r="BB5" s="560" t="s">
        <v>375</v>
      </c>
      <c r="BC5" s="561"/>
      <c r="BD5" s="562"/>
      <c r="BE5" s="600" t="s">
        <v>350</v>
      </c>
      <c r="BF5" s="600"/>
      <c r="BG5" s="600"/>
      <c r="BH5" s="560" t="s">
        <v>3</v>
      </c>
      <c r="BI5" s="561"/>
      <c r="BJ5" s="562"/>
      <c r="BK5" s="600" t="s">
        <v>345</v>
      </c>
      <c r="BL5" s="600"/>
      <c r="BM5" s="600"/>
      <c r="BN5" s="600" t="s">
        <v>346</v>
      </c>
      <c r="BO5" s="600"/>
      <c r="BP5" s="600"/>
      <c r="BQ5" s="600" t="s">
        <v>347</v>
      </c>
      <c r="BR5" s="600"/>
      <c r="BS5" s="600"/>
      <c r="BT5" s="600" t="s">
        <v>348</v>
      </c>
      <c r="BU5" s="600"/>
      <c r="BV5" s="600"/>
      <c r="BW5" s="600" t="s">
        <v>349</v>
      </c>
      <c r="BX5" s="600"/>
      <c r="BY5" s="600"/>
      <c r="BZ5" s="600" t="s">
        <v>350</v>
      </c>
      <c r="CA5" s="600"/>
      <c r="CB5" s="600"/>
      <c r="CC5" s="600" t="s">
        <v>3</v>
      </c>
      <c r="CD5" s="600"/>
      <c r="CE5" s="600"/>
      <c r="CF5" s="600" t="s">
        <v>345</v>
      </c>
      <c r="CG5" s="600"/>
      <c r="CH5" s="600"/>
      <c r="CI5" s="600" t="s">
        <v>346</v>
      </c>
      <c r="CJ5" s="600"/>
      <c r="CK5" s="600"/>
      <c r="CL5" s="600" t="s">
        <v>347</v>
      </c>
      <c r="CM5" s="600"/>
      <c r="CN5" s="600"/>
      <c r="CO5" s="600" t="s">
        <v>348</v>
      </c>
      <c r="CP5" s="600"/>
      <c r="CQ5" s="600"/>
      <c r="CR5" s="600" t="s">
        <v>349</v>
      </c>
      <c r="CS5" s="600"/>
      <c r="CT5" s="600"/>
      <c r="CU5" s="600" t="s">
        <v>350</v>
      </c>
      <c r="CV5" s="600"/>
      <c r="CW5" s="600"/>
      <c r="CX5" s="600" t="s">
        <v>3</v>
      </c>
      <c r="CY5" s="600"/>
      <c r="CZ5" s="600"/>
      <c r="DA5" s="600" t="s">
        <v>345</v>
      </c>
      <c r="DB5" s="600"/>
      <c r="DC5" s="600"/>
      <c r="DD5" s="600" t="s">
        <v>346</v>
      </c>
      <c r="DE5" s="600"/>
      <c r="DF5" s="600"/>
      <c r="DG5" s="560" t="s">
        <v>347</v>
      </c>
      <c r="DH5" s="561"/>
      <c r="DI5" s="562"/>
      <c r="DJ5" s="560" t="s">
        <v>348</v>
      </c>
      <c r="DK5" s="561"/>
      <c r="DL5" s="562"/>
      <c r="DM5" s="560" t="s">
        <v>349</v>
      </c>
      <c r="DN5" s="561"/>
      <c r="DO5" s="562"/>
      <c r="DP5" s="600" t="s">
        <v>350</v>
      </c>
      <c r="DQ5" s="600"/>
      <c r="DR5" s="600"/>
      <c r="DS5" s="560" t="s">
        <v>3</v>
      </c>
      <c r="DT5" s="561"/>
      <c r="DU5" s="562"/>
      <c r="DV5" s="600" t="s">
        <v>345</v>
      </c>
      <c r="DW5" s="600"/>
      <c r="DX5" s="600"/>
      <c r="DY5" s="600" t="s">
        <v>346</v>
      </c>
      <c r="DZ5" s="600"/>
      <c r="EA5" s="600"/>
      <c r="EB5" s="560" t="s">
        <v>347</v>
      </c>
      <c r="EC5" s="561"/>
      <c r="ED5" s="562"/>
      <c r="EE5" s="560" t="s">
        <v>348</v>
      </c>
      <c r="EF5" s="561"/>
      <c r="EG5" s="562"/>
      <c r="EH5" s="560" t="s">
        <v>349</v>
      </c>
      <c r="EI5" s="561"/>
      <c r="EJ5" s="562"/>
      <c r="EK5" s="600" t="s">
        <v>350</v>
      </c>
      <c r="EL5" s="600"/>
      <c r="EM5" s="600"/>
      <c r="EN5" s="560" t="s">
        <v>3</v>
      </c>
      <c r="EO5" s="561"/>
      <c r="EP5" s="562"/>
    </row>
    <row r="6" spans="1:146">
      <c r="A6" s="604"/>
      <c r="B6" s="605"/>
      <c r="C6" s="374" t="s">
        <v>43</v>
      </c>
      <c r="D6" s="374" t="s">
        <v>44</v>
      </c>
      <c r="E6" s="374" t="s">
        <v>3</v>
      </c>
      <c r="F6" s="374" t="s">
        <v>43</v>
      </c>
      <c r="G6" s="374" t="s">
        <v>44</v>
      </c>
      <c r="H6" s="374" t="s">
        <v>3</v>
      </c>
      <c r="I6" s="374" t="s">
        <v>43</v>
      </c>
      <c r="J6" s="374" t="s">
        <v>44</v>
      </c>
      <c r="K6" s="374" t="s">
        <v>3</v>
      </c>
      <c r="L6" s="374" t="s">
        <v>43</v>
      </c>
      <c r="M6" s="374" t="s">
        <v>44</v>
      </c>
      <c r="N6" s="374" t="s">
        <v>3</v>
      </c>
      <c r="O6" s="374" t="s">
        <v>43</v>
      </c>
      <c r="P6" s="374" t="s">
        <v>44</v>
      </c>
      <c r="Q6" s="374" t="s">
        <v>3</v>
      </c>
      <c r="R6" s="390" t="s">
        <v>43</v>
      </c>
      <c r="S6" s="390" t="s">
        <v>44</v>
      </c>
      <c r="T6" s="390" t="s">
        <v>3</v>
      </c>
      <c r="U6" s="390" t="s">
        <v>43</v>
      </c>
      <c r="V6" s="390" t="s">
        <v>44</v>
      </c>
      <c r="W6" s="390" t="s">
        <v>3</v>
      </c>
      <c r="X6" s="395" t="s">
        <v>43</v>
      </c>
      <c r="Y6" s="395" t="s">
        <v>44</v>
      </c>
      <c r="Z6" s="395" t="s">
        <v>3</v>
      </c>
      <c r="AA6" s="374" t="s">
        <v>43</v>
      </c>
      <c r="AB6" s="374" t="s">
        <v>44</v>
      </c>
      <c r="AC6" s="374" t="s">
        <v>3</v>
      </c>
      <c r="AD6" s="389" t="s">
        <v>43</v>
      </c>
      <c r="AE6" s="374" t="s">
        <v>44</v>
      </c>
      <c r="AF6" s="374" t="s">
        <v>3</v>
      </c>
      <c r="AG6" s="374" t="s">
        <v>43</v>
      </c>
      <c r="AH6" s="374" t="s">
        <v>44</v>
      </c>
      <c r="AI6" s="374" t="s">
        <v>3</v>
      </c>
      <c r="AJ6" s="374" t="s">
        <v>43</v>
      </c>
      <c r="AK6" s="374" t="s">
        <v>44</v>
      </c>
      <c r="AL6" s="374" t="s">
        <v>3</v>
      </c>
      <c r="AM6" s="374" t="s">
        <v>43</v>
      </c>
      <c r="AN6" s="374" t="s">
        <v>44</v>
      </c>
      <c r="AO6" s="374" t="s">
        <v>3</v>
      </c>
      <c r="AP6" s="374" t="s">
        <v>43</v>
      </c>
      <c r="AQ6" s="374" t="s">
        <v>44</v>
      </c>
      <c r="AR6" s="374" t="s">
        <v>3</v>
      </c>
      <c r="AS6" s="374" t="s">
        <v>43</v>
      </c>
      <c r="AT6" s="374" t="s">
        <v>44</v>
      </c>
      <c r="AU6" s="374" t="s">
        <v>3</v>
      </c>
      <c r="AV6" s="390" t="s">
        <v>43</v>
      </c>
      <c r="AW6" s="390" t="s">
        <v>44</v>
      </c>
      <c r="AX6" s="390" t="s">
        <v>3</v>
      </c>
      <c r="AY6" s="390" t="s">
        <v>43</v>
      </c>
      <c r="AZ6" s="390" t="s">
        <v>44</v>
      </c>
      <c r="BA6" s="390" t="s">
        <v>3</v>
      </c>
      <c r="BB6" s="395" t="s">
        <v>43</v>
      </c>
      <c r="BC6" s="395" t="s">
        <v>44</v>
      </c>
      <c r="BD6" s="395" t="s">
        <v>3</v>
      </c>
      <c r="BE6" s="374" t="s">
        <v>43</v>
      </c>
      <c r="BF6" s="374" t="s">
        <v>44</v>
      </c>
      <c r="BG6" s="374" t="s">
        <v>3</v>
      </c>
      <c r="BH6" s="374" t="s">
        <v>43</v>
      </c>
      <c r="BI6" s="374" t="s">
        <v>44</v>
      </c>
      <c r="BJ6" s="374" t="s">
        <v>3</v>
      </c>
      <c r="BK6" s="374" t="s">
        <v>43</v>
      </c>
      <c r="BL6" s="374" t="s">
        <v>44</v>
      </c>
      <c r="BM6" s="374" t="s">
        <v>3</v>
      </c>
      <c r="BN6" s="374" t="s">
        <v>43</v>
      </c>
      <c r="BO6" s="374" t="s">
        <v>44</v>
      </c>
      <c r="BP6" s="374" t="s">
        <v>3</v>
      </c>
      <c r="BQ6" s="374" t="s">
        <v>43</v>
      </c>
      <c r="BR6" s="374" t="s">
        <v>44</v>
      </c>
      <c r="BS6" s="374" t="s">
        <v>3</v>
      </c>
      <c r="BT6" s="374" t="s">
        <v>43</v>
      </c>
      <c r="BU6" s="374" t="s">
        <v>44</v>
      </c>
      <c r="BV6" s="384" t="s">
        <v>3</v>
      </c>
      <c r="BW6" s="374" t="s">
        <v>43</v>
      </c>
      <c r="BX6" s="374" t="s">
        <v>44</v>
      </c>
      <c r="BY6" s="374" t="s">
        <v>3</v>
      </c>
      <c r="BZ6" s="374" t="s">
        <v>43</v>
      </c>
      <c r="CA6" s="374" t="s">
        <v>44</v>
      </c>
      <c r="CB6" s="374" t="s">
        <v>3</v>
      </c>
      <c r="CC6" s="374" t="s">
        <v>43</v>
      </c>
      <c r="CD6" s="374" t="s">
        <v>44</v>
      </c>
      <c r="CE6" s="374" t="s">
        <v>3</v>
      </c>
      <c r="CF6" s="374" t="s">
        <v>43</v>
      </c>
      <c r="CG6" s="374" t="s">
        <v>44</v>
      </c>
      <c r="CH6" s="374" t="s">
        <v>3</v>
      </c>
      <c r="CI6" s="374" t="s">
        <v>43</v>
      </c>
      <c r="CJ6" s="374" t="s">
        <v>44</v>
      </c>
      <c r="CK6" s="374" t="s">
        <v>3</v>
      </c>
      <c r="CL6" s="374" t="s">
        <v>43</v>
      </c>
      <c r="CM6" s="374" t="s">
        <v>44</v>
      </c>
      <c r="CN6" s="374" t="s">
        <v>3</v>
      </c>
      <c r="CO6" s="374" t="s">
        <v>43</v>
      </c>
      <c r="CP6" s="374" t="s">
        <v>44</v>
      </c>
      <c r="CQ6" s="374" t="s">
        <v>3</v>
      </c>
      <c r="CR6" s="374" t="s">
        <v>43</v>
      </c>
      <c r="CS6" s="374" t="s">
        <v>44</v>
      </c>
      <c r="CT6" s="374" t="s">
        <v>3</v>
      </c>
      <c r="CU6" s="374" t="s">
        <v>43</v>
      </c>
      <c r="CV6" s="374" t="s">
        <v>44</v>
      </c>
      <c r="CW6" s="374" t="s">
        <v>3</v>
      </c>
      <c r="CX6" s="374" t="s">
        <v>43</v>
      </c>
      <c r="CY6" s="374" t="s">
        <v>44</v>
      </c>
      <c r="CZ6" s="374" t="s">
        <v>3</v>
      </c>
      <c r="DA6" s="374" t="s">
        <v>43</v>
      </c>
      <c r="DB6" s="374" t="s">
        <v>44</v>
      </c>
      <c r="DC6" s="374" t="s">
        <v>3</v>
      </c>
      <c r="DD6" s="374" t="s">
        <v>43</v>
      </c>
      <c r="DE6" s="374" t="s">
        <v>44</v>
      </c>
      <c r="DF6" s="374" t="s">
        <v>3</v>
      </c>
      <c r="DG6" s="374" t="s">
        <v>43</v>
      </c>
      <c r="DH6" s="374" t="s">
        <v>44</v>
      </c>
      <c r="DI6" s="374" t="s">
        <v>3</v>
      </c>
      <c r="DJ6" s="374" t="s">
        <v>43</v>
      </c>
      <c r="DK6" s="374" t="s">
        <v>44</v>
      </c>
      <c r="DL6" s="374" t="s">
        <v>3</v>
      </c>
      <c r="DM6" s="374" t="s">
        <v>43</v>
      </c>
      <c r="DN6" s="374" t="s">
        <v>44</v>
      </c>
      <c r="DO6" s="374" t="s">
        <v>3</v>
      </c>
      <c r="DP6" s="374" t="s">
        <v>43</v>
      </c>
      <c r="DQ6" s="374" t="s">
        <v>44</v>
      </c>
      <c r="DR6" s="374" t="s">
        <v>3</v>
      </c>
      <c r="DS6" s="374" t="s">
        <v>43</v>
      </c>
      <c r="DT6" s="374" t="s">
        <v>44</v>
      </c>
      <c r="DU6" s="374" t="s">
        <v>3</v>
      </c>
      <c r="DV6" s="374" t="s">
        <v>43</v>
      </c>
      <c r="DW6" s="374" t="s">
        <v>44</v>
      </c>
      <c r="DX6" s="374" t="s">
        <v>3</v>
      </c>
      <c r="DY6" s="374" t="s">
        <v>43</v>
      </c>
      <c r="DZ6" s="374" t="s">
        <v>44</v>
      </c>
      <c r="EA6" s="374" t="s">
        <v>3</v>
      </c>
      <c r="EB6" s="374" t="s">
        <v>43</v>
      </c>
      <c r="EC6" s="374" t="s">
        <v>44</v>
      </c>
      <c r="ED6" s="374" t="s">
        <v>3</v>
      </c>
      <c r="EE6" s="374" t="s">
        <v>43</v>
      </c>
      <c r="EF6" s="374" t="s">
        <v>44</v>
      </c>
      <c r="EG6" s="374" t="s">
        <v>3</v>
      </c>
      <c r="EH6" s="374" t="s">
        <v>43</v>
      </c>
      <c r="EI6" s="374" t="s">
        <v>44</v>
      </c>
      <c r="EJ6" s="374" t="s">
        <v>3</v>
      </c>
      <c r="EK6" s="374" t="s">
        <v>43</v>
      </c>
      <c r="EL6" s="374" t="s">
        <v>44</v>
      </c>
      <c r="EM6" s="374" t="s">
        <v>3</v>
      </c>
      <c r="EN6" s="374" t="s">
        <v>43</v>
      </c>
      <c r="EO6" s="374" t="s">
        <v>44</v>
      </c>
      <c r="EP6" s="374" t="s">
        <v>3</v>
      </c>
    </row>
    <row r="7" spans="1:146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3</v>
      </c>
      <c r="J7" s="77">
        <v>4</v>
      </c>
      <c r="K7" s="77">
        <v>5</v>
      </c>
      <c r="L7" s="77">
        <v>6</v>
      </c>
      <c r="M7" s="77">
        <v>7</v>
      </c>
      <c r="N7" s="77">
        <v>8</v>
      </c>
      <c r="O7" s="77">
        <v>3</v>
      </c>
      <c r="P7" s="77">
        <v>4</v>
      </c>
      <c r="Q7" s="77">
        <v>5</v>
      </c>
      <c r="R7" s="77"/>
      <c r="S7" s="77"/>
      <c r="T7" s="77"/>
      <c r="U7" s="77"/>
      <c r="V7" s="77"/>
      <c r="W7" s="77"/>
      <c r="X7" s="77"/>
      <c r="Y7" s="77"/>
      <c r="Z7" s="77"/>
      <c r="AA7" s="77">
        <v>6</v>
      </c>
      <c r="AB7" s="77">
        <v>7</v>
      </c>
      <c r="AC7" s="77">
        <v>8</v>
      </c>
      <c r="AD7" s="77">
        <v>6</v>
      </c>
      <c r="AE7" s="77">
        <v>7</v>
      </c>
      <c r="AF7" s="77">
        <v>8</v>
      </c>
      <c r="AG7" s="77">
        <v>3</v>
      </c>
      <c r="AH7" s="77">
        <v>4</v>
      </c>
      <c r="AI7" s="77">
        <v>5</v>
      </c>
      <c r="AJ7" s="77">
        <v>6</v>
      </c>
      <c r="AK7" s="77">
        <v>7</v>
      </c>
      <c r="AL7" s="77">
        <v>8</v>
      </c>
      <c r="AM7" s="77">
        <v>3</v>
      </c>
      <c r="AN7" s="77">
        <v>4</v>
      </c>
      <c r="AO7" s="77">
        <v>5</v>
      </c>
      <c r="AP7" s="77">
        <v>6</v>
      </c>
      <c r="AQ7" s="77">
        <v>7</v>
      </c>
      <c r="AR7" s="77">
        <v>8</v>
      </c>
      <c r="AS7" s="77">
        <v>3</v>
      </c>
      <c r="AT7" s="77">
        <v>4</v>
      </c>
      <c r="AU7" s="77">
        <v>5</v>
      </c>
      <c r="AV7" s="77"/>
      <c r="AW7" s="77"/>
      <c r="AX7" s="77"/>
      <c r="AY7" s="77"/>
      <c r="AZ7" s="77"/>
      <c r="BA7" s="77"/>
      <c r="BB7" s="77"/>
      <c r="BC7" s="77"/>
      <c r="BD7" s="77"/>
      <c r="BE7" s="77">
        <v>6</v>
      </c>
      <c r="BF7" s="77">
        <v>7</v>
      </c>
      <c r="BG7" s="77">
        <v>8</v>
      </c>
      <c r="BH7" s="77">
        <v>6</v>
      </c>
      <c r="BI7" s="77">
        <v>7</v>
      </c>
      <c r="BJ7" s="77">
        <v>8</v>
      </c>
      <c r="BK7" s="77">
        <v>3</v>
      </c>
      <c r="BL7" s="77">
        <v>4</v>
      </c>
      <c r="BM7" s="77">
        <v>5</v>
      </c>
      <c r="BN7" s="77">
        <v>6</v>
      </c>
      <c r="BO7" s="77">
        <v>7</v>
      </c>
      <c r="BP7" s="77">
        <v>8</v>
      </c>
      <c r="BQ7" s="77">
        <v>3</v>
      </c>
      <c r="BR7" s="77">
        <v>4</v>
      </c>
      <c r="BS7" s="77">
        <v>5</v>
      </c>
      <c r="BT7" s="77">
        <v>6</v>
      </c>
      <c r="BU7" s="77">
        <v>7</v>
      </c>
      <c r="BV7" s="77">
        <v>8</v>
      </c>
      <c r="BW7" s="77">
        <v>3</v>
      </c>
      <c r="BX7" s="77">
        <v>4</v>
      </c>
      <c r="BY7" s="77">
        <v>5</v>
      </c>
      <c r="BZ7" s="77">
        <v>6</v>
      </c>
      <c r="CA7" s="77">
        <v>7</v>
      </c>
      <c r="CB7" s="77">
        <v>8</v>
      </c>
      <c r="CC7" s="77">
        <v>6</v>
      </c>
      <c r="CD7" s="77">
        <v>7</v>
      </c>
      <c r="CE7" s="77">
        <v>8</v>
      </c>
      <c r="CF7" s="77">
        <v>3</v>
      </c>
      <c r="CG7" s="77">
        <v>4</v>
      </c>
      <c r="CH7" s="77">
        <v>5</v>
      </c>
      <c r="CI7" s="77">
        <v>6</v>
      </c>
      <c r="CJ7" s="77">
        <v>7</v>
      </c>
      <c r="CK7" s="77">
        <v>8</v>
      </c>
      <c r="CL7" s="77">
        <v>3</v>
      </c>
      <c r="CM7" s="77">
        <v>4</v>
      </c>
      <c r="CN7" s="77">
        <v>5</v>
      </c>
      <c r="CO7" s="77">
        <v>6</v>
      </c>
      <c r="CP7" s="77">
        <v>7</v>
      </c>
      <c r="CQ7" s="77">
        <v>8</v>
      </c>
      <c r="CR7" s="77">
        <v>3</v>
      </c>
      <c r="CS7" s="77">
        <v>4</v>
      </c>
      <c r="CT7" s="77">
        <v>5</v>
      </c>
      <c r="CU7" s="77">
        <v>6</v>
      </c>
      <c r="CV7" s="77">
        <v>7</v>
      </c>
      <c r="CW7" s="77">
        <v>8</v>
      </c>
      <c r="CX7" s="77">
        <v>6</v>
      </c>
      <c r="CY7" s="77">
        <v>7</v>
      </c>
      <c r="CZ7" s="77">
        <v>8</v>
      </c>
      <c r="DA7" s="77">
        <v>3</v>
      </c>
      <c r="DB7" s="77">
        <v>4</v>
      </c>
      <c r="DC7" s="77">
        <v>5</v>
      </c>
      <c r="DD7" s="77">
        <v>6</v>
      </c>
      <c r="DE7" s="77">
        <v>7</v>
      </c>
      <c r="DF7" s="77">
        <v>8</v>
      </c>
      <c r="DG7" s="77">
        <v>3</v>
      </c>
      <c r="DH7" s="77">
        <v>4</v>
      </c>
      <c r="DI7" s="77">
        <v>5</v>
      </c>
      <c r="DJ7" s="77">
        <v>6</v>
      </c>
      <c r="DK7" s="77">
        <v>7</v>
      </c>
      <c r="DL7" s="77">
        <v>8</v>
      </c>
      <c r="DM7" s="77">
        <v>3</v>
      </c>
      <c r="DN7" s="77">
        <v>4</v>
      </c>
      <c r="DO7" s="77">
        <v>5</v>
      </c>
      <c r="DP7" s="77">
        <v>6</v>
      </c>
      <c r="DQ7" s="77">
        <v>7</v>
      </c>
      <c r="DR7" s="77">
        <v>8</v>
      </c>
      <c r="DS7" s="77">
        <v>6</v>
      </c>
      <c r="DT7" s="77">
        <v>7</v>
      </c>
      <c r="DU7" s="77">
        <v>8</v>
      </c>
      <c r="DV7" s="77">
        <v>3</v>
      </c>
      <c r="DW7" s="77">
        <v>4</v>
      </c>
      <c r="DX7" s="77">
        <v>5</v>
      </c>
      <c r="DY7" s="77">
        <v>6</v>
      </c>
      <c r="DZ7" s="77">
        <v>7</v>
      </c>
      <c r="EA7" s="77">
        <v>8</v>
      </c>
      <c r="EB7" s="77">
        <v>3</v>
      </c>
      <c r="EC7" s="77">
        <v>4</v>
      </c>
      <c r="ED7" s="77">
        <v>5</v>
      </c>
      <c r="EE7" s="77">
        <v>6</v>
      </c>
      <c r="EF7" s="77">
        <v>7</v>
      </c>
      <c r="EG7" s="77">
        <v>8</v>
      </c>
      <c r="EH7" s="77">
        <v>3</v>
      </c>
      <c r="EI7" s="77">
        <v>4</v>
      </c>
      <c r="EJ7" s="77">
        <v>5</v>
      </c>
      <c r="EK7" s="77">
        <v>6</v>
      </c>
      <c r="EL7" s="77">
        <v>7</v>
      </c>
      <c r="EM7" s="77">
        <v>8</v>
      </c>
      <c r="EN7" s="77">
        <v>6</v>
      </c>
      <c r="EO7" s="77">
        <v>7</v>
      </c>
      <c r="EP7" s="77">
        <v>8</v>
      </c>
    </row>
    <row r="8" spans="1:146">
      <c r="A8" s="603" t="s">
        <v>216</v>
      </c>
      <c r="B8" s="603"/>
      <c r="C8" s="610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2"/>
      <c r="AG8" s="610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611"/>
      <c r="AW8" s="611"/>
      <c r="AX8" s="611"/>
      <c r="AY8" s="611"/>
      <c r="AZ8" s="611"/>
      <c r="BA8" s="611"/>
      <c r="BB8" s="611"/>
      <c r="BC8" s="611"/>
      <c r="BD8" s="611"/>
      <c r="BE8" s="611"/>
      <c r="BF8" s="611"/>
      <c r="BG8" s="611"/>
      <c r="BH8" s="611"/>
      <c r="BI8" s="611"/>
      <c r="BJ8" s="612"/>
      <c r="BK8" s="610"/>
      <c r="BL8" s="611"/>
      <c r="BM8" s="611"/>
      <c r="BN8" s="611"/>
      <c r="BO8" s="611"/>
      <c r="BP8" s="611"/>
      <c r="BQ8" s="611"/>
      <c r="BR8" s="611"/>
      <c r="BS8" s="611"/>
      <c r="BT8" s="611"/>
      <c r="BU8" s="611"/>
      <c r="BV8" s="611"/>
      <c r="BW8" s="611"/>
      <c r="BX8" s="611"/>
      <c r="BY8" s="611"/>
      <c r="BZ8" s="611"/>
      <c r="CA8" s="611"/>
      <c r="CB8" s="611"/>
      <c r="CC8" s="611"/>
      <c r="CD8" s="611"/>
      <c r="CE8" s="612"/>
      <c r="CF8" s="610"/>
      <c r="CG8" s="611"/>
      <c r="CH8" s="611"/>
      <c r="CI8" s="611"/>
      <c r="CJ8" s="611"/>
      <c r="CK8" s="611"/>
      <c r="CL8" s="611"/>
      <c r="CM8" s="611"/>
      <c r="CN8" s="611"/>
      <c r="CO8" s="611"/>
      <c r="CP8" s="611"/>
      <c r="CQ8" s="611"/>
      <c r="CR8" s="611"/>
      <c r="CS8" s="611"/>
      <c r="CT8" s="611"/>
      <c r="CU8" s="611"/>
      <c r="CV8" s="611"/>
      <c r="CW8" s="611"/>
      <c r="CX8" s="611"/>
      <c r="CY8" s="611"/>
      <c r="CZ8" s="612"/>
      <c r="DA8" s="610"/>
      <c r="DB8" s="611"/>
      <c r="DC8" s="611"/>
      <c r="DD8" s="611"/>
      <c r="DE8" s="611"/>
      <c r="DF8" s="611"/>
      <c r="DG8" s="611"/>
      <c r="DH8" s="611"/>
      <c r="DI8" s="611"/>
      <c r="DJ8" s="611"/>
      <c r="DK8" s="611"/>
      <c r="DL8" s="611"/>
      <c r="DM8" s="611"/>
      <c r="DN8" s="611"/>
      <c r="DO8" s="611"/>
      <c r="DP8" s="611"/>
      <c r="DQ8" s="611"/>
      <c r="DR8" s="611"/>
      <c r="DS8" s="611"/>
      <c r="DT8" s="611"/>
      <c r="DU8" s="612"/>
      <c r="DV8" s="610"/>
      <c r="DW8" s="611"/>
      <c r="DX8" s="611"/>
      <c r="DY8" s="611"/>
      <c r="DZ8" s="611"/>
      <c r="EA8" s="611"/>
      <c r="EB8" s="611"/>
      <c r="EC8" s="611"/>
      <c r="ED8" s="611"/>
      <c r="EE8" s="611"/>
      <c r="EF8" s="611"/>
      <c r="EG8" s="611"/>
      <c r="EH8" s="611"/>
      <c r="EI8" s="611"/>
      <c r="EJ8" s="611"/>
      <c r="EK8" s="611"/>
      <c r="EL8" s="611"/>
      <c r="EM8" s="611"/>
      <c r="EN8" s="611"/>
      <c r="EO8" s="611"/>
      <c r="EP8" s="612"/>
    </row>
    <row r="9" spans="1:146" ht="28.5">
      <c r="A9" s="94">
        <v>1</v>
      </c>
      <c r="B9" s="118" t="s">
        <v>143</v>
      </c>
      <c r="AD9">
        <f>+C9+F9+I9+L9+O9+AA9</f>
        <v>0</v>
      </c>
      <c r="AE9">
        <f t="shared" ref="AE9" si="0">+D9+G9+J9+M9+P9+AB9</f>
        <v>0</v>
      </c>
      <c r="AF9">
        <f t="shared" ref="AF9" si="1">+E9+H9+K9+N9+Q9+AC9</f>
        <v>0</v>
      </c>
      <c r="BH9">
        <f>+AG9+AJ9+AM9+AP9+AS9+BE9</f>
        <v>0</v>
      </c>
      <c r="BI9">
        <f t="shared" ref="BI9:BI10" si="2">+AH9+AK9+AN9+AQ9+AT9+BF9</f>
        <v>0</v>
      </c>
      <c r="BJ9">
        <f t="shared" ref="BJ9:BJ10" si="3">+AI9+AL9+AO9+AR9+AU9+BG9</f>
        <v>0</v>
      </c>
      <c r="CC9">
        <f>+BK9+BN9+BQ9+BT9+BW9+BZ9</f>
        <v>0</v>
      </c>
      <c r="CD9">
        <f t="shared" ref="CD9:CD10" si="4">+BL9+BO9+BR9+BU9+BX9+CA9</f>
        <v>0</v>
      </c>
      <c r="CE9">
        <f t="shared" ref="CE9:CE10" si="5">+BM9+BP9+BS9+BV9+BY9+CB9</f>
        <v>0</v>
      </c>
      <c r="CX9">
        <f>+CF9+CI9+CL9+CO9+CR9+CU9</f>
        <v>0</v>
      </c>
      <c r="CY9">
        <f t="shared" ref="CY9:CY10" si="6">+CG9+CJ9+CM9+CP9+CS9+CV9</f>
        <v>0</v>
      </c>
      <c r="CZ9">
        <f t="shared" ref="CZ9:CZ10" si="7">+CH9+CK9+CN9+CQ9+CT9+CW9</f>
        <v>0</v>
      </c>
      <c r="DA9">
        <f t="shared" ref="DA9:DA40" si="8">+C9+BK9</f>
        <v>0</v>
      </c>
      <c r="DB9">
        <f t="shared" ref="DB9:DB40" si="9">+D9+BL9</f>
        <v>0</v>
      </c>
      <c r="DC9">
        <f t="shared" ref="DC9:DC40" si="10">+E9+BM9</f>
        <v>0</v>
      </c>
      <c r="DD9">
        <f t="shared" ref="DD9:DD40" si="11">+F9+BN9</f>
        <v>0</v>
      </c>
      <c r="DE9">
        <f t="shared" ref="DE9:DE40" si="12">+G9+BO9</f>
        <v>0</v>
      </c>
      <c r="DF9">
        <f t="shared" ref="DF9:DF40" si="13">+H9+BP9</f>
        <v>0</v>
      </c>
      <c r="DG9">
        <f t="shared" ref="DG9:DG40" si="14">+I9+BQ9</f>
        <v>0</v>
      </c>
      <c r="DH9">
        <f t="shared" ref="DH9:DH40" si="15">+J9+BR9</f>
        <v>0</v>
      </c>
      <c r="DI9">
        <f t="shared" ref="DI9:DI40" si="16">+K9+BS9</f>
        <v>0</v>
      </c>
      <c r="DJ9">
        <f t="shared" ref="DJ9:DJ40" si="17">+L9+BT9</f>
        <v>0</v>
      </c>
      <c r="DK9">
        <f t="shared" ref="DK9:DK40" si="18">+M9+BU9</f>
        <v>0</v>
      </c>
      <c r="DL9">
        <f t="shared" ref="DL9:DL40" si="19">+N9+BV9</f>
        <v>0</v>
      </c>
      <c r="DM9">
        <f t="shared" ref="DM9:DM40" si="20">+O9+BW9</f>
        <v>0</v>
      </c>
      <c r="DN9">
        <f t="shared" ref="DN9:DN40" si="21">+P9+BX9</f>
        <v>0</v>
      </c>
      <c r="DO9">
        <f t="shared" ref="DO9:DO40" si="22">+Q9+BY9</f>
        <v>0</v>
      </c>
      <c r="DP9">
        <f t="shared" ref="DP9:DP40" si="23">+AA9+BZ9</f>
        <v>0</v>
      </c>
      <c r="DQ9">
        <f t="shared" ref="DQ9:DQ40" si="24">+AB9+CA9</f>
        <v>0</v>
      </c>
      <c r="DR9">
        <f t="shared" ref="DR9:DR40" si="25">+AC9+CB9</f>
        <v>0</v>
      </c>
      <c r="DS9">
        <f t="shared" ref="DS9:DS40" si="26">+AD9+CC9</f>
        <v>0</v>
      </c>
      <c r="DT9">
        <f t="shared" ref="DT9:DT40" si="27">+AE9+CD9</f>
        <v>0</v>
      </c>
      <c r="DU9">
        <f t="shared" ref="DU9:DU40" si="28">+AF9+CE9</f>
        <v>0</v>
      </c>
      <c r="DV9">
        <f t="shared" ref="DV9:DV40" si="29">+AG9+CF9</f>
        <v>0</v>
      </c>
      <c r="DW9">
        <f t="shared" ref="DW9:DW40" si="30">+AH9+CG9</f>
        <v>0</v>
      </c>
      <c r="DX9">
        <f t="shared" ref="DX9:DX40" si="31">+AI9+CH9</f>
        <v>0</v>
      </c>
      <c r="DY9">
        <f t="shared" ref="DY9:DY40" si="32">+AJ9+CI9</f>
        <v>0</v>
      </c>
      <c r="DZ9">
        <f t="shared" ref="DZ9:DZ40" si="33">+AK9+CJ9</f>
        <v>0</v>
      </c>
      <c r="EA9">
        <f t="shared" ref="EA9:EA40" si="34">+AL9+CK9</f>
        <v>0</v>
      </c>
      <c r="EB9">
        <f t="shared" ref="EB9:EB40" si="35">+AM9+CL9</f>
        <v>0</v>
      </c>
      <c r="EC9">
        <f t="shared" ref="EC9:EC40" si="36">+AN9+CM9</f>
        <v>0</v>
      </c>
      <c r="ED9">
        <f t="shared" ref="ED9:ED40" si="37">+AO9+CN9</f>
        <v>0</v>
      </c>
      <c r="EE9">
        <f t="shared" ref="EE9:EE40" si="38">+AP9+CO9</f>
        <v>0</v>
      </c>
      <c r="EF9">
        <f t="shared" ref="EF9:EF40" si="39">+AQ9+CP9</f>
        <v>0</v>
      </c>
      <c r="EG9">
        <f t="shared" ref="EG9:EG40" si="40">+AR9+CQ9</f>
        <v>0</v>
      </c>
      <c r="EH9">
        <f t="shared" ref="EH9:EH40" si="41">+AS9+CR9</f>
        <v>0</v>
      </c>
      <c r="EI9">
        <f t="shared" ref="EI9:EI40" si="42">+AT9+CS9</f>
        <v>0</v>
      </c>
      <c r="EJ9">
        <f t="shared" ref="EJ9:EJ40" si="43">+AU9+CT9</f>
        <v>0</v>
      </c>
      <c r="EK9">
        <f t="shared" ref="EK9:EK40" si="44">+BE9+CU9</f>
        <v>0</v>
      </c>
      <c r="EL9">
        <f t="shared" ref="EL9:EL40" si="45">+BF9+CV9</f>
        <v>0</v>
      </c>
      <c r="EM9">
        <f t="shared" ref="EM9:EM40" si="46">+BG9+CW9</f>
        <v>0</v>
      </c>
      <c r="EN9">
        <f t="shared" ref="EN9:EN40" si="47">+BH9+CX9</f>
        <v>0</v>
      </c>
      <c r="EO9">
        <f t="shared" ref="EO9:EO40" si="48">+BI9+CY9</f>
        <v>0</v>
      </c>
      <c r="EP9">
        <f t="shared" ref="EP9:EP40" si="49">+BJ9+CZ9</f>
        <v>0</v>
      </c>
    </row>
    <row r="10" spans="1:146" ht="28.5">
      <c r="A10" s="94">
        <v>2</v>
      </c>
      <c r="B10" s="118" t="s">
        <v>215</v>
      </c>
      <c r="C10">
        <v>10634</v>
      </c>
      <c r="D10">
        <v>8686</v>
      </c>
      <c r="E10">
        <f>+C10+D10</f>
        <v>19320</v>
      </c>
      <c r="F10">
        <v>4320</v>
      </c>
      <c r="G10">
        <v>3582</v>
      </c>
      <c r="H10">
        <f>+F10+G10</f>
        <v>7902</v>
      </c>
      <c r="I10">
        <v>5958</v>
      </c>
      <c r="J10">
        <v>6262</v>
      </c>
      <c r="K10">
        <f>+I10+J10</f>
        <v>12220</v>
      </c>
      <c r="L10">
        <v>724</v>
      </c>
      <c r="M10">
        <v>741</v>
      </c>
      <c r="N10">
        <f>+L10+M10</f>
        <v>1465</v>
      </c>
      <c r="O10">
        <v>73</v>
      </c>
      <c r="P10">
        <v>68</v>
      </c>
      <c r="Q10">
        <f>+O10+P10</f>
        <v>141</v>
      </c>
      <c r="AA10">
        <v>2023</v>
      </c>
      <c r="AB10">
        <v>1821</v>
      </c>
      <c r="AC10">
        <f>+AA10+AB10</f>
        <v>3844</v>
      </c>
      <c r="AD10">
        <f>+C10+F10+I10+L10+O10+AA10</f>
        <v>23732</v>
      </c>
      <c r="AE10">
        <f>+D10+G10+J10+M10+P10+AB10</f>
        <v>21160</v>
      </c>
      <c r="AF10">
        <f>+E10+H10+K10+N10+Q10+AC10</f>
        <v>44892</v>
      </c>
      <c r="AG10">
        <v>10149</v>
      </c>
      <c r="AH10">
        <v>8483</v>
      </c>
      <c r="AI10">
        <f>+AG10+AH10</f>
        <v>18632</v>
      </c>
      <c r="AJ10">
        <v>4250</v>
      </c>
      <c r="AK10">
        <v>3561</v>
      </c>
      <c r="AL10">
        <f>+AJ10+AK10</f>
        <v>7811</v>
      </c>
      <c r="AM10">
        <v>5874</v>
      </c>
      <c r="AN10">
        <v>6197</v>
      </c>
      <c r="AO10">
        <f>+AM10+AN10</f>
        <v>12071</v>
      </c>
      <c r="AP10">
        <v>711</v>
      </c>
      <c r="AQ10">
        <v>731</v>
      </c>
      <c r="AR10">
        <f>+AP10+AQ10</f>
        <v>1442</v>
      </c>
      <c r="AS10">
        <v>73</v>
      </c>
      <c r="AT10">
        <v>68</v>
      </c>
      <c r="AU10">
        <f>+AS10+AT10</f>
        <v>141</v>
      </c>
      <c r="BE10">
        <v>2019</v>
      </c>
      <c r="BF10">
        <v>1820</v>
      </c>
      <c r="BG10">
        <f>+BE10+BF10</f>
        <v>3839</v>
      </c>
      <c r="BH10">
        <f>+AG10+AJ10+AM10+AP10+AS10+BE10</f>
        <v>23076</v>
      </c>
      <c r="BI10">
        <f t="shared" si="2"/>
        <v>20860</v>
      </c>
      <c r="BJ10">
        <f t="shared" si="3"/>
        <v>43936</v>
      </c>
      <c r="BK10">
        <v>77</v>
      </c>
      <c r="BL10">
        <v>29</v>
      </c>
      <c r="BM10">
        <f>+BK10+BL10</f>
        <v>106</v>
      </c>
      <c r="BN10">
        <v>7</v>
      </c>
      <c r="BO10">
        <v>1</v>
      </c>
      <c r="BP10">
        <f>+BN10+BO10</f>
        <v>8</v>
      </c>
      <c r="BQ10">
        <v>14</v>
      </c>
      <c r="BR10">
        <v>15</v>
      </c>
      <c r="BS10">
        <f>+BQ10+BR10</f>
        <v>29</v>
      </c>
      <c r="BT10">
        <v>1</v>
      </c>
      <c r="BU10">
        <v>2</v>
      </c>
      <c r="BV10">
        <f>+BT10+BU10</f>
        <v>3</v>
      </c>
      <c r="BY10">
        <f>+BW10+BX10</f>
        <v>0</v>
      </c>
      <c r="CB10">
        <f>+BZ10+CA10</f>
        <v>0</v>
      </c>
      <c r="CC10">
        <f>+BK10+BN10+BQ10+BT10+BW10+BZ10</f>
        <v>99</v>
      </c>
      <c r="CD10">
        <f t="shared" si="4"/>
        <v>47</v>
      </c>
      <c r="CE10">
        <f t="shared" si="5"/>
        <v>146</v>
      </c>
      <c r="CF10">
        <v>42</v>
      </c>
      <c r="CG10">
        <v>18</v>
      </c>
      <c r="CH10">
        <f>+CF10+CG10</f>
        <v>60</v>
      </c>
      <c r="CI10">
        <v>3</v>
      </c>
      <c r="CJ10">
        <v>0</v>
      </c>
      <c r="CK10">
        <f>+CI10+CJ10</f>
        <v>3</v>
      </c>
      <c r="CL10">
        <v>11</v>
      </c>
      <c r="CM10">
        <v>10</v>
      </c>
      <c r="CN10">
        <f>+CL10+CM10</f>
        <v>21</v>
      </c>
      <c r="CO10">
        <v>1</v>
      </c>
      <c r="CP10">
        <v>1</v>
      </c>
      <c r="CQ10">
        <f>+CO10+CP10</f>
        <v>2</v>
      </c>
      <c r="CT10">
        <f>+CR10+CS10</f>
        <v>0</v>
      </c>
      <c r="CW10">
        <f>+CU10+CV10</f>
        <v>0</v>
      </c>
      <c r="CX10">
        <f>+CF10+CI10+CL10+CO10+CR10+CU10</f>
        <v>57</v>
      </c>
      <c r="CY10">
        <f t="shared" si="6"/>
        <v>29</v>
      </c>
      <c r="CZ10">
        <f t="shared" si="7"/>
        <v>86</v>
      </c>
      <c r="DA10">
        <f t="shared" si="8"/>
        <v>10711</v>
      </c>
      <c r="DB10">
        <f t="shared" si="9"/>
        <v>8715</v>
      </c>
      <c r="DC10">
        <f t="shared" si="10"/>
        <v>19426</v>
      </c>
      <c r="DD10">
        <f t="shared" si="11"/>
        <v>4327</v>
      </c>
      <c r="DE10">
        <f t="shared" si="12"/>
        <v>3583</v>
      </c>
      <c r="DF10">
        <f t="shared" si="13"/>
        <v>7910</v>
      </c>
      <c r="DG10">
        <f t="shared" si="14"/>
        <v>5972</v>
      </c>
      <c r="DH10">
        <f t="shared" si="15"/>
        <v>6277</v>
      </c>
      <c r="DI10">
        <f t="shared" si="16"/>
        <v>12249</v>
      </c>
      <c r="DJ10">
        <f t="shared" si="17"/>
        <v>725</v>
      </c>
      <c r="DK10">
        <f t="shared" si="18"/>
        <v>743</v>
      </c>
      <c r="DL10">
        <f t="shared" si="19"/>
        <v>1468</v>
      </c>
      <c r="DM10">
        <f t="shared" si="20"/>
        <v>73</v>
      </c>
      <c r="DN10">
        <f t="shared" si="21"/>
        <v>68</v>
      </c>
      <c r="DO10">
        <f t="shared" si="22"/>
        <v>141</v>
      </c>
      <c r="DP10">
        <f t="shared" si="23"/>
        <v>2023</v>
      </c>
      <c r="DQ10">
        <f t="shared" si="24"/>
        <v>1821</v>
      </c>
      <c r="DR10">
        <f t="shared" si="25"/>
        <v>3844</v>
      </c>
      <c r="DS10">
        <f t="shared" si="26"/>
        <v>23831</v>
      </c>
      <c r="DT10">
        <f t="shared" si="27"/>
        <v>21207</v>
      </c>
      <c r="DU10">
        <f t="shared" si="28"/>
        <v>45038</v>
      </c>
      <c r="DV10">
        <f t="shared" si="29"/>
        <v>10191</v>
      </c>
      <c r="DW10">
        <f t="shared" si="30"/>
        <v>8501</v>
      </c>
      <c r="DX10">
        <f t="shared" si="31"/>
        <v>18692</v>
      </c>
      <c r="DY10">
        <f t="shared" si="32"/>
        <v>4253</v>
      </c>
      <c r="DZ10">
        <f t="shared" si="33"/>
        <v>3561</v>
      </c>
      <c r="EA10">
        <f t="shared" si="34"/>
        <v>7814</v>
      </c>
      <c r="EB10">
        <f t="shared" si="35"/>
        <v>5885</v>
      </c>
      <c r="EC10">
        <f t="shared" si="36"/>
        <v>6207</v>
      </c>
      <c r="ED10">
        <f t="shared" si="37"/>
        <v>12092</v>
      </c>
      <c r="EE10">
        <f t="shared" si="38"/>
        <v>712</v>
      </c>
      <c r="EF10">
        <f t="shared" si="39"/>
        <v>732</v>
      </c>
      <c r="EG10">
        <f t="shared" si="40"/>
        <v>1444</v>
      </c>
      <c r="EH10">
        <f t="shared" si="41"/>
        <v>73</v>
      </c>
      <c r="EI10">
        <f t="shared" si="42"/>
        <v>68</v>
      </c>
      <c r="EJ10">
        <f t="shared" si="43"/>
        <v>141</v>
      </c>
      <c r="EK10">
        <f t="shared" si="44"/>
        <v>2019</v>
      </c>
      <c r="EL10">
        <f t="shared" si="45"/>
        <v>1820</v>
      </c>
      <c r="EM10">
        <f t="shared" si="46"/>
        <v>3839</v>
      </c>
      <c r="EN10">
        <f t="shared" si="47"/>
        <v>23133</v>
      </c>
      <c r="EO10">
        <f t="shared" si="48"/>
        <v>20889</v>
      </c>
      <c r="EP10">
        <f t="shared" si="49"/>
        <v>44022</v>
      </c>
    </row>
    <row r="11" spans="1:146">
      <c r="A11" s="377" t="s">
        <v>217</v>
      </c>
      <c r="B11" s="377"/>
      <c r="C11" s="317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83"/>
      <c r="AG11" s="317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83"/>
      <c r="BK11" s="317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83"/>
      <c r="CF11" s="317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83"/>
      <c r="DA11" s="317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83"/>
      <c r="DV11" s="610"/>
      <c r="DW11" s="611"/>
      <c r="DX11" s="611"/>
      <c r="DY11" s="611"/>
      <c r="DZ11" s="611"/>
      <c r="EA11" s="611"/>
      <c r="EB11" s="611"/>
      <c r="EC11" s="611"/>
      <c r="ED11" s="611"/>
      <c r="EE11" s="611"/>
      <c r="EF11" s="611"/>
      <c r="EG11" s="611"/>
      <c r="EH11" s="611"/>
      <c r="EI11" s="611"/>
      <c r="EJ11" s="611"/>
      <c r="EK11" s="611"/>
      <c r="EL11" s="611"/>
      <c r="EM11" s="611"/>
      <c r="EN11" s="611"/>
      <c r="EO11" s="611"/>
      <c r="EP11" s="612"/>
    </row>
    <row r="12" spans="1:146" ht="28.5">
      <c r="A12" s="94">
        <v>3</v>
      </c>
      <c r="B12" s="386" t="s">
        <v>133</v>
      </c>
      <c r="C12">
        <v>22242</v>
      </c>
      <c r="D12">
        <v>21064</v>
      </c>
      <c r="E12">
        <f>+C12+D12</f>
        <v>43306</v>
      </c>
      <c r="F12">
        <v>8</v>
      </c>
      <c r="G12">
        <v>12</v>
      </c>
      <c r="H12">
        <f>+F12+G12</f>
        <v>20</v>
      </c>
      <c r="I12">
        <v>1842</v>
      </c>
      <c r="J12">
        <v>1770</v>
      </c>
      <c r="K12">
        <f>I12+J12</f>
        <v>3612</v>
      </c>
      <c r="L12">
        <v>2</v>
      </c>
      <c r="M12">
        <v>4</v>
      </c>
      <c r="N12">
        <f>+L12+M12</f>
        <v>6</v>
      </c>
      <c r="AA12">
        <v>46</v>
      </c>
      <c r="AB12">
        <v>55</v>
      </c>
      <c r="AC12">
        <f>+AA12+AB12</f>
        <v>101</v>
      </c>
      <c r="AD12">
        <f>+C12+F12+I12+L12+O12+AA12</f>
        <v>24140</v>
      </c>
      <c r="AE12">
        <f t="shared" ref="AE12" si="50">+D12+G12+J12+M12+P12+AB12</f>
        <v>22905</v>
      </c>
      <c r="AF12">
        <f t="shared" ref="AF12" si="51">+E12+H12+K12+N12+Q12+AC12</f>
        <v>47045</v>
      </c>
      <c r="AG12">
        <v>21033</v>
      </c>
      <c r="AH12">
        <v>20062</v>
      </c>
      <c r="AI12">
        <f>+AG12+AH12</f>
        <v>41095</v>
      </c>
      <c r="AJ12">
        <v>7</v>
      </c>
      <c r="AK12">
        <v>12</v>
      </c>
      <c r="AL12">
        <f>+AJ12+AK12</f>
        <v>19</v>
      </c>
      <c r="AM12">
        <v>1771</v>
      </c>
      <c r="AN12">
        <v>1695</v>
      </c>
      <c r="AO12">
        <f>+AM12+AN12</f>
        <v>3466</v>
      </c>
      <c r="AP12">
        <v>2</v>
      </c>
      <c r="AQ12">
        <v>4</v>
      </c>
      <c r="AR12">
        <f>+AP12+AQ12</f>
        <v>6</v>
      </c>
      <c r="BE12">
        <v>45</v>
      </c>
      <c r="BF12">
        <v>51</v>
      </c>
      <c r="BG12">
        <f>+BE12+BF12</f>
        <v>96</v>
      </c>
      <c r="BH12">
        <f>+AG12+AJ12+AM12+AP12+AS12+BE12</f>
        <v>22858</v>
      </c>
      <c r="BI12">
        <f t="shared" ref="BI12:BI52" si="52">+AH12+AK12+AN12+AQ12+AT12+BF12</f>
        <v>21824</v>
      </c>
      <c r="BJ12">
        <f t="shared" ref="BJ12:BJ52" si="53">+AI12+AL12+AO12+AR12+AU12+BG12</f>
        <v>44682</v>
      </c>
      <c r="BK12">
        <v>378</v>
      </c>
      <c r="BL12">
        <v>201</v>
      </c>
      <c r="BM12">
        <f>+BK12+BL12</f>
        <v>579</v>
      </c>
      <c r="BN12">
        <v>1</v>
      </c>
      <c r="BO12">
        <v>0</v>
      </c>
      <c r="BP12">
        <f>+BN12+BO12</f>
        <v>1</v>
      </c>
      <c r="BQ12">
        <v>39</v>
      </c>
      <c r="BR12">
        <v>14</v>
      </c>
      <c r="BS12">
        <f>+BQ12+BR12</f>
        <v>53</v>
      </c>
      <c r="CC12">
        <f>+BK12+BN12+BQ12+BT12+BW12+BZ12</f>
        <v>418</v>
      </c>
      <c r="CD12">
        <f t="shared" ref="CD12:CD52" si="54">+BL12+BO12+BR12+BU12+BX12+CA12</f>
        <v>215</v>
      </c>
      <c r="CE12">
        <f t="shared" ref="CE12:CE52" si="55">+BM12+BP12+BS12+BV12+BY12+CB12</f>
        <v>633</v>
      </c>
      <c r="CF12">
        <v>285</v>
      </c>
      <c r="CG12">
        <v>151</v>
      </c>
      <c r="CH12">
        <f>+CF12+CG12</f>
        <v>436</v>
      </c>
      <c r="CI12">
        <v>1</v>
      </c>
      <c r="CJ12">
        <v>0</v>
      </c>
      <c r="CK12">
        <f>+CI12+CJ12</f>
        <v>1</v>
      </c>
      <c r="CL12">
        <v>22</v>
      </c>
      <c r="CM12">
        <v>9</v>
      </c>
      <c r="CN12">
        <f>+CL12+CM12</f>
        <v>31</v>
      </c>
      <c r="CX12">
        <f>+CF12+CI12+CL12+CO12+CR12+CU12</f>
        <v>308</v>
      </c>
      <c r="CY12">
        <f t="shared" ref="CY12:CY52" si="56">+CG12+CJ12+CM12+CP12+CS12+CV12</f>
        <v>160</v>
      </c>
      <c r="CZ12">
        <f t="shared" ref="CZ12:CZ52" si="57">+CH12+CK12+CN12+CQ12+CT12+CW12</f>
        <v>468</v>
      </c>
      <c r="DA12">
        <f t="shared" ref="DA12" si="58">+C12+BK12</f>
        <v>22620</v>
      </c>
      <c r="DB12">
        <f t="shared" ref="DB12" si="59">+D12+BL12</f>
        <v>21265</v>
      </c>
      <c r="DC12">
        <f t="shared" ref="DC12" si="60">+E12+BM12</f>
        <v>43885</v>
      </c>
      <c r="DD12">
        <f t="shared" ref="DD12" si="61">+F12+BN12</f>
        <v>9</v>
      </c>
      <c r="DE12">
        <f t="shared" ref="DE12" si="62">+G12+BO12</f>
        <v>12</v>
      </c>
      <c r="DF12">
        <f t="shared" ref="DF12" si="63">+H12+BP12</f>
        <v>21</v>
      </c>
      <c r="DG12">
        <f t="shared" ref="DG12" si="64">+I12+BQ12</f>
        <v>1881</v>
      </c>
      <c r="DH12">
        <f t="shared" ref="DH12" si="65">+J12+BR12</f>
        <v>1784</v>
      </c>
      <c r="DI12">
        <f t="shared" ref="DI12" si="66">+K12+BS12</f>
        <v>3665</v>
      </c>
      <c r="DJ12">
        <f t="shared" ref="DJ12" si="67">+L12+BT12</f>
        <v>2</v>
      </c>
      <c r="DK12">
        <f t="shared" ref="DK12" si="68">+M12+BU12</f>
        <v>4</v>
      </c>
      <c r="DL12">
        <f t="shared" ref="DL12" si="69">+N12+BV12</f>
        <v>6</v>
      </c>
      <c r="DM12">
        <f t="shared" ref="DM12" si="70">+O12+BW12</f>
        <v>0</v>
      </c>
      <c r="DN12">
        <f t="shared" ref="DN12" si="71">+P12+BX12</f>
        <v>0</v>
      </c>
      <c r="DO12">
        <f t="shared" ref="DO12" si="72">+Q12+BY12</f>
        <v>0</v>
      </c>
      <c r="DP12">
        <f t="shared" ref="DP12" si="73">+AA12+BZ12</f>
        <v>46</v>
      </c>
      <c r="DQ12">
        <f t="shared" ref="DQ12" si="74">+AB12+CA12</f>
        <v>55</v>
      </c>
      <c r="DR12">
        <f t="shared" ref="DR12" si="75">+AC12+CB12</f>
        <v>101</v>
      </c>
      <c r="DS12">
        <f t="shared" ref="DS12" si="76">+AD12+CC12</f>
        <v>24558</v>
      </c>
      <c r="DT12">
        <f t="shared" ref="DT12" si="77">+AE12+CD12</f>
        <v>23120</v>
      </c>
      <c r="DU12">
        <f t="shared" ref="DU12" si="78">+AF12+CE12</f>
        <v>47678</v>
      </c>
      <c r="DV12">
        <f t="shared" ref="DV12" si="79">+AG12+CF12</f>
        <v>21318</v>
      </c>
      <c r="DW12">
        <f t="shared" ref="DW12" si="80">+AH12+CG12</f>
        <v>20213</v>
      </c>
      <c r="DX12">
        <f t="shared" ref="DX12" si="81">+AI12+CH12</f>
        <v>41531</v>
      </c>
      <c r="DY12">
        <f t="shared" ref="DY12" si="82">+AJ12+CI12</f>
        <v>8</v>
      </c>
      <c r="DZ12">
        <f t="shared" ref="DZ12" si="83">+AK12+CJ12</f>
        <v>12</v>
      </c>
      <c r="EA12">
        <f t="shared" ref="EA12" si="84">+AL12+CK12</f>
        <v>20</v>
      </c>
      <c r="EB12">
        <f t="shared" ref="EB12" si="85">+AM12+CL12</f>
        <v>1793</v>
      </c>
      <c r="EC12">
        <f t="shared" ref="EC12" si="86">+AN12+CM12</f>
        <v>1704</v>
      </c>
      <c r="ED12">
        <f t="shared" ref="ED12" si="87">+AO12+CN12</f>
        <v>3497</v>
      </c>
      <c r="EE12">
        <f t="shared" ref="EE12" si="88">+AP12+CO12</f>
        <v>2</v>
      </c>
      <c r="EF12">
        <f t="shared" ref="EF12" si="89">+AQ12+CP12</f>
        <v>4</v>
      </c>
      <c r="EG12">
        <f t="shared" ref="EG12" si="90">+AR12+CQ12</f>
        <v>6</v>
      </c>
      <c r="EH12">
        <f t="shared" ref="EH12" si="91">+AS12+CR12</f>
        <v>0</v>
      </c>
      <c r="EI12">
        <f t="shared" ref="EI12" si="92">+AT12+CS12</f>
        <v>0</v>
      </c>
      <c r="EJ12">
        <f t="shared" ref="EJ12" si="93">+AU12+CT12</f>
        <v>0</v>
      </c>
      <c r="EK12">
        <f t="shared" ref="EK12" si="94">+BE12+CU12</f>
        <v>45</v>
      </c>
      <c r="EL12">
        <f t="shared" ref="EL12" si="95">+BF12+CV12</f>
        <v>51</v>
      </c>
      <c r="EM12">
        <f t="shared" ref="EM12" si="96">+BG12+CW12</f>
        <v>96</v>
      </c>
      <c r="EN12">
        <f t="shared" ref="EN12" si="97">+BH12+CX12</f>
        <v>23166</v>
      </c>
      <c r="EO12">
        <f t="shared" ref="EO12" si="98">+BI12+CY12</f>
        <v>21984</v>
      </c>
      <c r="EP12">
        <f t="shared" ref="EP12" si="99">+BJ12+CZ12</f>
        <v>45150</v>
      </c>
    </row>
    <row r="13" spans="1:146" ht="28.5">
      <c r="A13" s="94">
        <v>4</v>
      </c>
      <c r="B13" s="385" t="s">
        <v>213</v>
      </c>
      <c r="C13">
        <v>36411</v>
      </c>
      <c r="D13">
        <v>37932</v>
      </c>
      <c r="E13">
        <f>+C13+D13</f>
        <v>74343</v>
      </c>
      <c r="F13">
        <v>98</v>
      </c>
      <c r="G13">
        <v>82</v>
      </c>
      <c r="H13">
        <f>+F13+G13</f>
        <v>180</v>
      </c>
      <c r="I13">
        <v>1993</v>
      </c>
      <c r="J13">
        <v>1908</v>
      </c>
      <c r="K13">
        <f>I13+J13</f>
        <v>3901</v>
      </c>
      <c r="L13">
        <v>22</v>
      </c>
      <c r="M13">
        <v>21</v>
      </c>
      <c r="N13">
        <f>+L13+M13</f>
        <v>43</v>
      </c>
      <c r="O13">
        <v>0</v>
      </c>
      <c r="P13">
        <v>0</v>
      </c>
      <c r="AA13">
        <v>88</v>
      </c>
      <c r="AB13">
        <v>75</v>
      </c>
      <c r="AC13">
        <f>+AA13+AB13</f>
        <v>163</v>
      </c>
      <c r="AD13">
        <f>+C13+F13+I13+L13+O13+AA13</f>
        <v>38612</v>
      </c>
      <c r="AE13">
        <f t="shared" ref="AE13" si="100">+D13+G13+J13+M13+P13+AB13</f>
        <v>40018</v>
      </c>
      <c r="AF13">
        <f t="shared" ref="AF13" si="101">+E13+H13+K13+N13+Q13+AC13</f>
        <v>78630</v>
      </c>
      <c r="AG13">
        <v>26590</v>
      </c>
      <c r="AH13">
        <v>30151</v>
      </c>
      <c r="AI13">
        <f>+AG13+AH13</f>
        <v>56741</v>
      </c>
      <c r="AJ13">
        <v>79</v>
      </c>
      <c r="AK13">
        <v>68</v>
      </c>
      <c r="AL13">
        <f>+AJ13+AK13</f>
        <v>147</v>
      </c>
      <c r="AM13">
        <v>1754</v>
      </c>
      <c r="AN13">
        <v>1736</v>
      </c>
      <c r="AO13">
        <f>+AM13+AN13</f>
        <v>3490</v>
      </c>
      <c r="AP13">
        <v>15</v>
      </c>
      <c r="AQ13">
        <v>19</v>
      </c>
      <c r="AR13">
        <f>+AP13+AQ13</f>
        <v>34</v>
      </c>
      <c r="AS13">
        <v>0</v>
      </c>
      <c r="AT13">
        <v>0</v>
      </c>
      <c r="AU13">
        <f>+AS13+AT13</f>
        <v>0</v>
      </c>
      <c r="BE13">
        <v>45</v>
      </c>
      <c r="BF13">
        <v>51</v>
      </c>
      <c r="BG13">
        <f>+BE13+BF13</f>
        <v>96</v>
      </c>
      <c r="BH13">
        <f>+AG13+AJ13+AM13+AP13+AS13+BE13</f>
        <v>28483</v>
      </c>
      <c r="BI13">
        <f t="shared" si="52"/>
        <v>32025</v>
      </c>
      <c r="BJ13">
        <f t="shared" si="53"/>
        <v>60508</v>
      </c>
      <c r="BK13">
        <v>6177</v>
      </c>
      <c r="BL13">
        <v>3841</v>
      </c>
      <c r="BM13">
        <f>+BK13+BL13</f>
        <v>10018</v>
      </c>
      <c r="BN13">
        <v>5</v>
      </c>
      <c r="BO13">
        <v>5</v>
      </c>
      <c r="BP13">
        <f>+BN13+BO13</f>
        <v>10</v>
      </c>
      <c r="BQ13">
        <v>79</v>
      </c>
      <c r="BR13">
        <v>55</v>
      </c>
      <c r="BS13">
        <f>+BQ13+BR13</f>
        <v>134</v>
      </c>
      <c r="BT13">
        <v>2</v>
      </c>
      <c r="BU13">
        <v>0</v>
      </c>
      <c r="BV13">
        <f>+BT13+BU13</f>
        <v>2</v>
      </c>
      <c r="BW13">
        <v>0</v>
      </c>
      <c r="BX13">
        <v>0</v>
      </c>
      <c r="BY13">
        <f>+BW13+BX13</f>
        <v>0</v>
      </c>
      <c r="BZ13">
        <v>0</v>
      </c>
      <c r="CA13">
        <v>1</v>
      </c>
      <c r="CB13">
        <f>+BZ13+CA13</f>
        <v>1</v>
      </c>
      <c r="CC13">
        <f>+BK13+BN13+BQ13+BT13+BW13+BZ13</f>
        <v>6263</v>
      </c>
      <c r="CD13">
        <f t="shared" si="54"/>
        <v>3902</v>
      </c>
      <c r="CE13">
        <f t="shared" si="55"/>
        <v>10165</v>
      </c>
      <c r="CF13">
        <v>1826</v>
      </c>
      <c r="CG13">
        <v>1227</v>
      </c>
      <c r="CH13">
        <f>+CF13+CG13</f>
        <v>3053</v>
      </c>
      <c r="CI13">
        <v>2</v>
      </c>
      <c r="CJ13">
        <v>4</v>
      </c>
      <c r="CK13">
        <f>+CI13+CJ13</f>
        <v>6</v>
      </c>
      <c r="CL13">
        <v>22</v>
      </c>
      <c r="CM13">
        <v>25</v>
      </c>
      <c r="CN13">
        <f>+CL13+CM13</f>
        <v>47</v>
      </c>
      <c r="CO13">
        <v>0</v>
      </c>
      <c r="CP13">
        <v>0</v>
      </c>
      <c r="CQ13">
        <f>+CO13+CP13</f>
        <v>0</v>
      </c>
      <c r="CR13">
        <v>0</v>
      </c>
      <c r="CS13">
        <v>0</v>
      </c>
      <c r="CT13">
        <f>+CR13+CS13</f>
        <v>0</v>
      </c>
      <c r="CU13">
        <v>0</v>
      </c>
      <c r="CV13">
        <v>0</v>
      </c>
      <c r="CW13">
        <f>+CU13+CV13</f>
        <v>0</v>
      </c>
      <c r="CX13">
        <f>+CF13+CI13+CL13+CO13+CR13+CU13</f>
        <v>1850</v>
      </c>
      <c r="CY13">
        <f t="shared" ref="CY13" si="102">+CG13+CJ13+CM13+CP13+CS13+CV13</f>
        <v>1256</v>
      </c>
      <c r="CZ13">
        <f t="shared" ref="CZ13" si="103">+CH13+CK13+CN13+CQ13+CT13+CW13</f>
        <v>3106</v>
      </c>
      <c r="DA13">
        <f t="shared" ref="DA13" si="104">+C13+BK13</f>
        <v>42588</v>
      </c>
      <c r="DB13">
        <f t="shared" ref="DB13" si="105">+D13+BL13</f>
        <v>41773</v>
      </c>
      <c r="DC13">
        <f t="shared" ref="DC13" si="106">+E13+BM13</f>
        <v>84361</v>
      </c>
      <c r="DD13">
        <f t="shared" ref="DD13" si="107">+F13+BN13</f>
        <v>103</v>
      </c>
      <c r="DE13">
        <f t="shared" ref="DE13" si="108">+G13+BO13</f>
        <v>87</v>
      </c>
      <c r="DF13">
        <f t="shared" ref="DF13" si="109">+H13+BP13</f>
        <v>190</v>
      </c>
      <c r="DG13">
        <f t="shared" ref="DG13" si="110">+I13+BQ13</f>
        <v>2072</v>
      </c>
      <c r="DH13">
        <f t="shared" ref="DH13" si="111">+J13+BR13</f>
        <v>1963</v>
      </c>
      <c r="DI13">
        <f t="shared" ref="DI13" si="112">+K13+BS13</f>
        <v>4035</v>
      </c>
      <c r="DJ13">
        <f t="shared" ref="DJ13" si="113">+L13+BT13</f>
        <v>24</v>
      </c>
      <c r="DK13">
        <f t="shared" ref="DK13" si="114">+M13+BU13</f>
        <v>21</v>
      </c>
      <c r="DL13">
        <f t="shared" ref="DL13" si="115">+N13+BV13</f>
        <v>45</v>
      </c>
      <c r="DM13">
        <f t="shared" ref="DM13" si="116">+O13+BW13</f>
        <v>0</v>
      </c>
      <c r="DN13">
        <f t="shared" ref="DN13" si="117">+P13+BX13</f>
        <v>0</v>
      </c>
      <c r="DO13">
        <f t="shared" ref="DO13" si="118">+Q13+BY13</f>
        <v>0</v>
      </c>
      <c r="DP13">
        <f t="shared" ref="DP13" si="119">+AA13+BZ13</f>
        <v>88</v>
      </c>
      <c r="DQ13">
        <f t="shared" ref="DQ13" si="120">+AB13+CA13</f>
        <v>76</v>
      </c>
      <c r="DR13">
        <f t="shared" ref="DR13" si="121">+AC13+CB13</f>
        <v>164</v>
      </c>
      <c r="DS13">
        <f t="shared" ref="DS13" si="122">+AD13+CC13</f>
        <v>44875</v>
      </c>
      <c r="DT13">
        <f t="shared" ref="DT13" si="123">+AE13+CD13</f>
        <v>43920</v>
      </c>
      <c r="DU13">
        <f t="shared" ref="DU13" si="124">+AF13+CE13</f>
        <v>88795</v>
      </c>
      <c r="DV13">
        <f t="shared" ref="DV13" si="125">+AG13+CF13</f>
        <v>28416</v>
      </c>
      <c r="DW13">
        <f t="shared" ref="DW13" si="126">+AH13+CG13</f>
        <v>31378</v>
      </c>
      <c r="DX13">
        <f t="shared" ref="DX13" si="127">+AI13+CH13</f>
        <v>59794</v>
      </c>
      <c r="DY13">
        <f t="shared" ref="DY13" si="128">+AJ13+CI13</f>
        <v>81</v>
      </c>
      <c r="DZ13">
        <f t="shared" ref="DZ13" si="129">+AK13+CJ13</f>
        <v>72</v>
      </c>
      <c r="EA13">
        <f t="shared" ref="EA13" si="130">+AL13+CK13</f>
        <v>153</v>
      </c>
      <c r="EB13">
        <f t="shared" ref="EB13" si="131">+AM13+CL13</f>
        <v>1776</v>
      </c>
      <c r="EC13">
        <f t="shared" ref="EC13" si="132">+AN13+CM13</f>
        <v>1761</v>
      </c>
      <c r="ED13">
        <f t="shared" ref="ED13" si="133">+AO13+CN13</f>
        <v>3537</v>
      </c>
      <c r="EE13">
        <f t="shared" ref="EE13" si="134">+AP13+CO13</f>
        <v>15</v>
      </c>
      <c r="EF13">
        <f t="shared" ref="EF13" si="135">+AQ13+CP13</f>
        <v>19</v>
      </c>
      <c r="EG13">
        <f t="shared" ref="EG13" si="136">+AR13+CQ13</f>
        <v>34</v>
      </c>
      <c r="EH13">
        <f t="shared" ref="EH13" si="137">+AS13+CR13</f>
        <v>0</v>
      </c>
      <c r="EI13">
        <f t="shared" ref="EI13" si="138">+AT13+CS13</f>
        <v>0</v>
      </c>
      <c r="EJ13">
        <f t="shared" ref="EJ13" si="139">+AU13+CT13</f>
        <v>0</v>
      </c>
      <c r="EK13">
        <f t="shared" ref="EK13" si="140">+BE13+CU13</f>
        <v>45</v>
      </c>
      <c r="EL13">
        <f t="shared" ref="EL13" si="141">+BF13+CV13</f>
        <v>51</v>
      </c>
      <c r="EM13">
        <f t="shared" ref="EM13" si="142">+BG13+CW13</f>
        <v>96</v>
      </c>
      <c r="EN13">
        <f t="shared" ref="EN13" si="143">+BH13+CX13</f>
        <v>30333</v>
      </c>
      <c r="EO13">
        <f t="shared" ref="EO13" si="144">+BI13+CY13</f>
        <v>33281</v>
      </c>
      <c r="EP13">
        <f t="shared" ref="EP13" si="145">+BJ13+CZ13</f>
        <v>63614</v>
      </c>
    </row>
    <row r="14" spans="1:146">
      <c r="A14" s="94">
        <v>5</v>
      </c>
      <c r="B14" s="118" t="s">
        <v>134</v>
      </c>
      <c r="E14">
        <f t="shared" ref="E14:E52" si="146">+C14+D14</f>
        <v>0</v>
      </c>
      <c r="H14">
        <f t="shared" ref="H14:H52" si="147">+F14+G14</f>
        <v>0</v>
      </c>
      <c r="K14">
        <f t="shared" ref="K14:K52" si="148">I14+J14</f>
        <v>0</v>
      </c>
      <c r="N14">
        <f t="shared" ref="N14:N52" si="149">+L14+M14</f>
        <v>0</v>
      </c>
      <c r="Q14">
        <f t="shared" ref="Q14:Q52" si="150">+O14+P14</f>
        <v>0</v>
      </c>
      <c r="AC14">
        <f t="shared" ref="AC14:AC29" si="151">+AA14+AB14</f>
        <v>0</v>
      </c>
      <c r="AD14">
        <f t="shared" ref="AD14:AD52" si="152">+C14+F14+I14+L14+O14+AA14</f>
        <v>0</v>
      </c>
      <c r="AE14">
        <f t="shared" ref="AE14:AE52" si="153">+D14+G14+J14+M14+P14+AB14</f>
        <v>0</v>
      </c>
      <c r="AF14">
        <f t="shared" ref="AF14:AF52" si="154">+E14+H14+K14+N14+Q14+AC14</f>
        <v>0</v>
      </c>
      <c r="AI14">
        <f t="shared" ref="AI14:AI52" si="155">+AG14+AH14</f>
        <v>0</v>
      </c>
      <c r="AL14">
        <f t="shared" ref="AL14:AL52" si="156">+AJ14+AK14</f>
        <v>0</v>
      </c>
      <c r="AO14">
        <f t="shared" ref="AO14:AO52" si="157">+AM14+AN14</f>
        <v>0</v>
      </c>
      <c r="AR14">
        <f t="shared" ref="AR14:AR52" si="158">+AP14+AQ14</f>
        <v>0</v>
      </c>
      <c r="AU14">
        <f t="shared" ref="AU14:AU52" si="159">+AS14+AT14</f>
        <v>0</v>
      </c>
      <c r="BG14">
        <f t="shared" ref="BG14:BG29" si="160">+BE14+BF14</f>
        <v>0</v>
      </c>
      <c r="BH14">
        <f t="shared" ref="BH14:BH52" si="161">+AG14+AJ14+AM14+AP14+AS14+BE14</f>
        <v>0</v>
      </c>
      <c r="BI14">
        <f t="shared" si="52"/>
        <v>0</v>
      </c>
      <c r="BJ14">
        <f t="shared" si="53"/>
        <v>0</v>
      </c>
      <c r="BM14">
        <f t="shared" ref="BM14:BM52" si="162">+BK14+BL14</f>
        <v>0</v>
      </c>
      <c r="BP14">
        <f t="shared" ref="BP14:BP52" si="163">+BN14+BO14</f>
        <v>0</v>
      </c>
      <c r="BS14">
        <f t="shared" ref="BS14:BS52" si="164">+BQ14+BR14</f>
        <v>0</v>
      </c>
      <c r="BV14">
        <f t="shared" ref="BV14:BV52" si="165">+BT14+BU14</f>
        <v>0</v>
      </c>
      <c r="BY14">
        <f t="shared" ref="BY14:BY52" si="166">+BW14+BX14</f>
        <v>0</v>
      </c>
      <c r="CB14">
        <f t="shared" ref="CB14:CB52" si="167">+BZ14+CA14</f>
        <v>0</v>
      </c>
      <c r="CC14">
        <f t="shared" ref="CC14:CC52" si="168">+BK14+BN14+BQ14+BT14+BW14+BZ14</f>
        <v>0</v>
      </c>
      <c r="CD14">
        <f t="shared" si="54"/>
        <v>0</v>
      </c>
      <c r="CE14">
        <f t="shared" si="55"/>
        <v>0</v>
      </c>
      <c r="CH14">
        <f t="shared" ref="CH14:CH51" si="169">+CF14+CG14</f>
        <v>0</v>
      </c>
      <c r="CK14">
        <f t="shared" ref="CK14:CK52" si="170">+CI14+CJ14</f>
        <v>0</v>
      </c>
      <c r="CN14">
        <f t="shared" ref="CN14:CN52" si="171">+CL14+CM14</f>
        <v>0</v>
      </c>
      <c r="CQ14">
        <f t="shared" ref="CQ14:CQ52" si="172">+CO14+CP14</f>
        <v>0</v>
      </c>
      <c r="CT14">
        <f t="shared" ref="CT14:CT52" si="173">+CR14+CS14</f>
        <v>0</v>
      </c>
      <c r="CW14">
        <f t="shared" ref="CW14:CW30" si="174">+CU14+CV14</f>
        <v>0</v>
      </c>
      <c r="CX14">
        <f t="shared" ref="CX14:CX52" si="175">+CF14+CI14+CL14+CO14+CR14+CU14</f>
        <v>0</v>
      </c>
      <c r="CY14">
        <f t="shared" si="56"/>
        <v>0</v>
      </c>
      <c r="CZ14">
        <f t="shared" si="57"/>
        <v>0</v>
      </c>
      <c r="DA14">
        <f t="shared" si="8"/>
        <v>0</v>
      </c>
      <c r="DB14">
        <f t="shared" si="9"/>
        <v>0</v>
      </c>
      <c r="DC14">
        <f t="shared" si="10"/>
        <v>0</v>
      </c>
      <c r="DD14">
        <f t="shared" si="11"/>
        <v>0</v>
      </c>
      <c r="DE14">
        <f t="shared" si="12"/>
        <v>0</v>
      </c>
      <c r="DF14">
        <f t="shared" si="13"/>
        <v>0</v>
      </c>
      <c r="DG14">
        <f t="shared" si="14"/>
        <v>0</v>
      </c>
      <c r="DH14">
        <f t="shared" si="15"/>
        <v>0</v>
      </c>
      <c r="DI14">
        <f t="shared" si="16"/>
        <v>0</v>
      </c>
      <c r="DJ14">
        <f t="shared" si="17"/>
        <v>0</v>
      </c>
      <c r="DK14">
        <f t="shared" si="18"/>
        <v>0</v>
      </c>
      <c r="DL14">
        <f t="shared" si="19"/>
        <v>0</v>
      </c>
      <c r="DM14">
        <f t="shared" si="20"/>
        <v>0</v>
      </c>
      <c r="DN14">
        <f t="shared" si="21"/>
        <v>0</v>
      </c>
      <c r="DO14">
        <f t="shared" si="22"/>
        <v>0</v>
      </c>
      <c r="DP14">
        <f t="shared" si="23"/>
        <v>0</v>
      </c>
      <c r="DQ14">
        <f t="shared" si="24"/>
        <v>0</v>
      </c>
      <c r="DR14">
        <f t="shared" si="25"/>
        <v>0</v>
      </c>
      <c r="DS14">
        <f t="shared" si="26"/>
        <v>0</v>
      </c>
      <c r="DT14">
        <f t="shared" si="27"/>
        <v>0</v>
      </c>
      <c r="DU14">
        <f t="shared" si="28"/>
        <v>0</v>
      </c>
      <c r="DV14">
        <f t="shared" si="29"/>
        <v>0</v>
      </c>
      <c r="DW14">
        <f t="shared" si="30"/>
        <v>0</v>
      </c>
      <c r="DX14">
        <f t="shared" si="31"/>
        <v>0</v>
      </c>
      <c r="DY14">
        <f t="shared" si="32"/>
        <v>0</v>
      </c>
      <c r="DZ14">
        <f t="shared" si="33"/>
        <v>0</v>
      </c>
      <c r="EA14">
        <f t="shared" si="34"/>
        <v>0</v>
      </c>
      <c r="EB14">
        <f t="shared" si="35"/>
        <v>0</v>
      </c>
      <c r="EC14">
        <f t="shared" si="36"/>
        <v>0</v>
      </c>
      <c r="ED14">
        <f t="shared" si="37"/>
        <v>0</v>
      </c>
      <c r="EE14">
        <f t="shared" si="38"/>
        <v>0</v>
      </c>
      <c r="EF14">
        <f t="shared" si="39"/>
        <v>0</v>
      </c>
      <c r="EG14">
        <f t="shared" si="40"/>
        <v>0</v>
      </c>
      <c r="EH14">
        <f t="shared" si="41"/>
        <v>0</v>
      </c>
      <c r="EI14">
        <f t="shared" si="42"/>
        <v>0</v>
      </c>
      <c r="EJ14">
        <f t="shared" si="43"/>
        <v>0</v>
      </c>
      <c r="EK14">
        <f t="shared" si="44"/>
        <v>0</v>
      </c>
      <c r="EL14">
        <f t="shared" si="45"/>
        <v>0</v>
      </c>
      <c r="EM14">
        <f t="shared" si="46"/>
        <v>0</v>
      </c>
      <c r="EN14">
        <f t="shared" si="47"/>
        <v>0</v>
      </c>
      <c r="EO14">
        <f t="shared" si="48"/>
        <v>0</v>
      </c>
      <c r="EP14">
        <f t="shared" si="49"/>
        <v>0</v>
      </c>
    </row>
    <row r="15" spans="1:146">
      <c r="A15" s="94">
        <v>6</v>
      </c>
      <c r="B15" s="118" t="s">
        <v>136</v>
      </c>
      <c r="C15">
        <v>0</v>
      </c>
      <c r="D15">
        <v>0</v>
      </c>
      <c r="E15">
        <f t="shared" si="146"/>
        <v>0</v>
      </c>
      <c r="F15">
        <v>0</v>
      </c>
      <c r="G15">
        <v>3</v>
      </c>
      <c r="H15">
        <f t="shared" si="147"/>
        <v>3</v>
      </c>
      <c r="I15">
        <v>0</v>
      </c>
      <c r="J15">
        <v>5</v>
      </c>
      <c r="K15">
        <f t="shared" si="148"/>
        <v>5</v>
      </c>
      <c r="L15">
        <v>0</v>
      </c>
      <c r="M15">
        <v>1</v>
      </c>
      <c r="N15">
        <f t="shared" si="149"/>
        <v>1</v>
      </c>
      <c r="Q15">
        <f t="shared" si="150"/>
        <v>0</v>
      </c>
      <c r="AA15">
        <v>1</v>
      </c>
      <c r="AB15">
        <v>3</v>
      </c>
      <c r="AC15">
        <f t="shared" si="151"/>
        <v>4</v>
      </c>
      <c r="AD15">
        <f t="shared" si="152"/>
        <v>1</v>
      </c>
      <c r="AE15">
        <f t="shared" si="153"/>
        <v>12</v>
      </c>
      <c r="AF15">
        <f>+E15+H19+K15+N15+Q15+AC15</f>
        <v>10</v>
      </c>
      <c r="AG15">
        <v>0</v>
      </c>
      <c r="AH15">
        <v>0</v>
      </c>
      <c r="AI15">
        <f t="shared" si="155"/>
        <v>0</v>
      </c>
      <c r="AJ15">
        <v>0</v>
      </c>
      <c r="AK15">
        <v>3</v>
      </c>
      <c r="AL15">
        <f t="shared" si="156"/>
        <v>3</v>
      </c>
      <c r="AM15">
        <v>0</v>
      </c>
      <c r="AN15">
        <v>5</v>
      </c>
      <c r="AO15">
        <f t="shared" si="157"/>
        <v>5</v>
      </c>
      <c r="AP15">
        <v>0</v>
      </c>
      <c r="AQ15">
        <v>1</v>
      </c>
      <c r="AR15">
        <f t="shared" si="158"/>
        <v>1</v>
      </c>
      <c r="AU15">
        <f t="shared" si="159"/>
        <v>0</v>
      </c>
      <c r="BE15">
        <v>1</v>
      </c>
      <c r="BF15">
        <v>3</v>
      </c>
      <c r="BG15">
        <f t="shared" si="160"/>
        <v>4</v>
      </c>
      <c r="BH15">
        <f t="shared" si="161"/>
        <v>1</v>
      </c>
      <c r="BI15">
        <f t="shared" si="52"/>
        <v>12</v>
      </c>
      <c r="BJ15">
        <f t="shared" si="53"/>
        <v>13</v>
      </c>
      <c r="BM15">
        <f t="shared" si="162"/>
        <v>0</v>
      </c>
      <c r="BP15">
        <f t="shared" si="163"/>
        <v>0</v>
      </c>
      <c r="BS15">
        <f t="shared" si="164"/>
        <v>0</v>
      </c>
      <c r="BV15">
        <f t="shared" si="165"/>
        <v>0</v>
      </c>
      <c r="BY15">
        <f t="shared" si="166"/>
        <v>0</v>
      </c>
      <c r="CB15">
        <f t="shared" si="167"/>
        <v>0</v>
      </c>
      <c r="CC15">
        <f t="shared" si="168"/>
        <v>0</v>
      </c>
      <c r="CD15">
        <f t="shared" si="54"/>
        <v>0</v>
      </c>
      <c r="CE15">
        <f t="shared" si="55"/>
        <v>0</v>
      </c>
      <c r="CH15">
        <f t="shared" si="169"/>
        <v>0</v>
      </c>
      <c r="CK15">
        <f t="shared" si="170"/>
        <v>0</v>
      </c>
      <c r="CN15">
        <f t="shared" si="171"/>
        <v>0</v>
      </c>
      <c r="CQ15">
        <f t="shared" si="172"/>
        <v>0</v>
      </c>
      <c r="CT15">
        <f t="shared" si="173"/>
        <v>0</v>
      </c>
      <c r="CW15">
        <f t="shared" si="174"/>
        <v>0</v>
      </c>
      <c r="CX15">
        <f t="shared" si="175"/>
        <v>0</v>
      </c>
      <c r="CY15">
        <f t="shared" si="56"/>
        <v>0</v>
      </c>
      <c r="CZ15">
        <f t="shared" si="57"/>
        <v>0</v>
      </c>
      <c r="DA15">
        <f t="shared" si="8"/>
        <v>0</v>
      </c>
      <c r="DB15">
        <f t="shared" si="9"/>
        <v>0</v>
      </c>
      <c r="DC15">
        <f t="shared" si="10"/>
        <v>0</v>
      </c>
      <c r="DD15">
        <f t="shared" si="11"/>
        <v>0</v>
      </c>
      <c r="DE15">
        <f t="shared" si="12"/>
        <v>3</v>
      </c>
      <c r="DF15">
        <f>+H19+BP15</f>
        <v>0</v>
      </c>
      <c r="DG15">
        <f t="shared" si="14"/>
        <v>0</v>
      </c>
      <c r="DH15">
        <f t="shared" si="15"/>
        <v>5</v>
      </c>
      <c r="DI15">
        <f t="shared" si="16"/>
        <v>5</v>
      </c>
      <c r="DJ15">
        <f t="shared" si="17"/>
        <v>0</v>
      </c>
      <c r="DK15">
        <f t="shared" si="18"/>
        <v>1</v>
      </c>
      <c r="DL15">
        <f t="shared" si="19"/>
        <v>1</v>
      </c>
      <c r="DM15">
        <f t="shared" si="20"/>
        <v>0</v>
      </c>
      <c r="DN15">
        <f t="shared" si="21"/>
        <v>0</v>
      </c>
      <c r="DO15">
        <f t="shared" si="22"/>
        <v>0</v>
      </c>
      <c r="DP15">
        <f t="shared" si="23"/>
        <v>1</v>
      </c>
      <c r="DQ15">
        <f t="shared" si="24"/>
        <v>3</v>
      </c>
      <c r="DR15">
        <f t="shared" si="25"/>
        <v>4</v>
      </c>
      <c r="DS15">
        <f t="shared" si="26"/>
        <v>1</v>
      </c>
      <c r="DT15">
        <f t="shared" si="27"/>
        <v>12</v>
      </c>
      <c r="DU15">
        <f t="shared" si="28"/>
        <v>10</v>
      </c>
      <c r="DV15">
        <f t="shared" si="29"/>
        <v>0</v>
      </c>
      <c r="DW15">
        <f t="shared" si="30"/>
        <v>0</v>
      </c>
      <c r="DX15">
        <f t="shared" si="31"/>
        <v>0</v>
      </c>
      <c r="DY15">
        <f t="shared" si="32"/>
        <v>0</v>
      </c>
      <c r="DZ15">
        <f t="shared" si="33"/>
        <v>3</v>
      </c>
      <c r="EA15">
        <f t="shared" si="34"/>
        <v>3</v>
      </c>
      <c r="EB15">
        <f t="shared" si="35"/>
        <v>0</v>
      </c>
      <c r="EC15">
        <f t="shared" si="36"/>
        <v>5</v>
      </c>
      <c r="ED15">
        <f t="shared" si="37"/>
        <v>5</v>
      </c>
      <c r="EE15">
        <f t="shared" si="38"/>
        <v>0</v>
      </c>
      <c r="EF15">
        <f t="shared" si="39"/>
        <v>1</v>
      </c>
      <c r="EG15">
        <f t="shared" si="40"/>
        <v>1</v>
      </c>
      <c r="EH15">
        <f t="shared" si="41"/>
        <v>0</v>
      </c>
      <c r="EI15">
        <f t="shared" si="42"/>
        <v>0</v>
      </c>
      <c r="EJ15">
        <f t="shared" si="43"/>
        <v>0</v>
      </c>
      <c r="EK15">
        <f t="shared" si="44"/>
        <v>1</v>
      </c>
      <c r="EL15">
        <f t="shared" si="45"/>
        <v>3</v>
      </c>
      <c r="EM15">
        <f t="shared" si="46"/>
        <v>4</v>
      </c>
      <c r="EN15">
        <f t="shared" si="47"/>
        <v>1</v>
      </c>
      <c r="EO15">
        <f t="shared" si="48"/>
        <v>12</v>
      </c>
      <c r="EP15">
        <f t="shared" si="49"/>
        <v>13</v>
      </c>
    </row>
    <row r="16" spans="1:146">
      <c r="A16" s="94">
        <v>7</v>
      </c>
      <c r="B16" s="118" t="s">
        <v>376</v>
      </c>
      <c r="C16">
        <v>78984</v>
      </c>
      <c r="D16">
        <v>85735</v>
      </c>
      <c r="E16">
        <f t="shared" si="146"/>
        <v>164719</v>
      </c>
      <c r="F16">
        <v>59</v>
      </c>
      <c r="G16">
        <v>44</v>
      </c>
      <c r="H16">
        <f t="shared" si="147"/>
        <v>103</v>
      </c>
      <c r="I16">
        <v>151</v>
      </c>
      <c r="J16">
        <v>233</v>
      </c>
      <c r="K16">
        <f t="shared" si="148"/>
        <v>384</v>
      </c>
      <c r="L16">
        <v>78</v>
      </c>
      <c r="M16">
        <v>60</v>
      </c>
      <c r="N16">
        <f t="shared" si="149"/>
        <v>138</v>
      </c>
      <c r="O16">
        <v>0</v>
      </c>
      <c r="P16">
        <v>0</v>
      </c>
      <c r="Q16">
        <f t="shared" si="150"/>
        <v>0</v>
      </c>
      <c r="AA16">
        <v>35</v>
      </c>
      <c r="AB16">
        <v>54</v>
      </c>
      <c r="AC16">
        <f t="shared" si="151"/>
        <v>89</v>
      </c>
      <c r="AD16">
        <f t="shared" si="152"/>
        <v>79307</v>
      </c>
      <c r="AE16">
        <f t="shared" si="153"/>
        <v>86126</v>
      </c>
      <c r="AF16">
        <f t="shared" si="154"/>
        <v>165433</v>
      </c>
      <c r="AG16">
        <v>59330</v>
      </c>
      <c r="AH16">
        <v>54328</v>
      </c>
      <c r="AI16">
        <f t="shared" si="155"/>
        <v>113658</v>
      </c>
      <c r="AJ16">
        <v>45</v>
      </c>
      <c r="AK16">
        <v>34</v>
      </c>
      <c r="AL16">
        <f t="shared" si="156"/>
        <v>79</v>
      </c>
      <c r="AM16">
        <v>120</v>
      </c>
      <c r="AN16">
        <v>169</v>
      </c>
      <c r="AO16">
        <f t="shared" si="157"/>
        <v>289</v>
      </c>
      <c r="AP16">
        <v>66</v>
      </c>
      <c r="AQ16">
        <v>41</v>
      </c>
      <c r="AR16">
        <f t="shared" si="158"/>
        <v>107</v>
      </c>
      <c r="AS16">
        <v>0</v>
      </c>
      <c r="AT16">
        <v>0</v>
      </c>
      <c r="AU16">
        <f t="shared" si="159"/>
        <v>0</v>
      </c>
      <c r="BE16">
        <v>28</v>
      </c>
      <c r="BF16">
        <v>37</v>
      </c>
      <c r="BG16">
        <f t="shared" si="160"/>
        <v>65</v>
      </c>
      <c r="BH16">
        <f t="shared" si="161"/>
        <v>59589</v>
      </c>
      <c r="BI16">
        <f t="shared" si="52"/>
        <v>54609</v>
      </c>
      <c r="BJ16">
        <f t="shared" si="53"/>
        <v>114198</v>
      </c>
      <c r="BK16">
        <v>897</v>
      </c>
      <c r="BL16">
        <v>280</v>
      </c>
      <c r="BM16">
        <f t="shared" si="162"/>
        <v>1177</v>
      </c>
      <c r="BN16">
        <v>1</v>
      </c>
      <c r="BO16">
        <v>0</v>
      </c>
      <c r="BP16">
        <f t="shared" si="163"/>
        <v>1</v>
      </c>
      <c r="BQ16">
        <v>0</v>
      </c>
      <c r="BR16">
        <v>3</v>
      </c>
      <c r="BS16">
        <f t="shared" si="164"/>
        <v>3</v>
      </c>
      <c r="BT16">
        <v>0</v>
      </c>
      <c r="BU16">
        <v>0</v>
      </c>
      <c r="BV16">
        <f t="shared" si="165"/>
        <v>0</v>
      </c>
      <c r="BW16">
        <v>0</v>
      </c>
      <c r="BX16">
        <v>0</v>
      </c>
      <c r="BY16">
        <f t="shared" si="166"/>
        <v>0</v>
      </c>
      <c r="BZ16">
        <v>0</v>
      </c>
      <c r="CA16">
        <v>2</v>
      </c>
      <c r="CB16">
        <f t="shared" si="167"/>
        <v>2</v>
      </c>
      <c r="CC16">
        <f t="shared" si="168"/>
        <v>898</v>
      </c>
      <c r="CD16">
        <f t="shared" si="54"/>
        <v>285</v>
      </c>
      <c r="CE16">
        <f t="shared" si="55"/>
        <v>1183</v>
      </c>
      <c r="CF16">
        <v>610</v>
      </c>
      <c r="CG16">
        <v>182</v>
      </c>
      <c r="CH16">
        <f t="shared" si="169"/>
        <v>792</v>
      </c>
      <c r="CI16">
        <v>1</v>
      </c>
      <c r="CJ16">
        <v>0</v>
      </c>
      <c r="CK16">
        <f t="shared" si="170"/>
        <v>1</v>
      </c>
      <c r="CL16">
        <v>0</v>
      </c>
      <c r="CM16">
        <v>2</v>
      </c>
      <c r="CN16">
        <f t="shared" si="171"/>
        <v>2</v>
      </c>
      <c r="CO16">
        <v>0</v>
      </c>
      <c r="CP16">
        <v>0</v>
      </c>
      <c r="CQ16">
        <f t="shared" si="172"/>
        <v>0</v>
      </c>
      <c r="CR16">
        <v>0</v>
      </c>
      <c r="CS16">
        <v>0</v>
      </c>
      <c r="CT16">
        <f t="shared" si="173"/>
        <v>0</v>
      </c>
      <c r="CU16">
        <v>0</v>
      </c>
      <c r="CV16">
        <v>2</v>
      </c>
      <c r="CW16">
        <f t="shared" si="174"/>
        <v>2</v>
      </c>
      <c r="CX16">
        <f t="shared" si="175"/>
        <v>611</v>
      </c>
      <c r="CY16">
        <f t="shared" si="56"/>
        <v>186</v>
      </c>
      <c r="CZ16">
        <f t="shared" si="57"/>
        <v>797</v>
      </c>
      <c r="DA16">
        <f t="shared" si="8"/>
        <v>79881</v>
      </c>
      <c r="DB16">
        <f t="shared" si="9"/>
        <v>86015</v>
      </c>
      <c r="DC16">
        <f t="shared" si="10"/>
        <v>165896</v>
      </c>
      <c r="DD16">
        <f t="shared" si="11"/>
        <v>60</v>
      </c>
      <c r="DE16">
        <f t="shared" si="12"/>
        <v>44</v>
      </c>
      <c r="DF16">
        <f t="shared" si="13"/>
        <v>104</v>
      </c>
      <c r="DG16">
        <f t="shared" si="14"/>
        <v>151</v>
      </c>
      <c r="DH16">
        <f t="shared" si="15"/>
        <v>236</v>
      </c>
      <c r="DI16">
        <f t="shared" si="16"/>
        <v>387</v>
      </c>
      <c r="DJ16">
        <f t="shared" si="17"/>
        <v>78</v>
      </c>
      <c r="DK16">
        <f t="shared" si="18"/>
        <v>60</v>
      </c>
      <c r="DL16">
        <f t="shared" si="19"/>
        <v>138</v>
      </c>
      <c r="DM16">
        <f t="shared" si="20"/>
        <v>0</v>
      </c>
      <c r="DN16">
        <f t="shared" si="21"/>
        <v>0</v>
      </c>
      <c r="DO16">
        <f t="shared" si="22"/>
        <v>0</v>
      </c>
      <c r="DP16">
        <f t="shared" si="23"/>
        <v>35</v>
      </c>
      <c r="DQ16">
        <f t="shared" si="24"/>
        <v>56</v>
      </c>
      <c r="DR16">
        <f t="shared" si="25"/>
        <v>91</v>
      </c>
      <c r="DS16">
        <f t="shared" si="26"/>
        <v>80205</v>
      </c>
      <c r="DT16">
        <f t="shared" si="27"/>
        <v>86411</v>
      </c>
      <c r="DU16">
        <f t="shared" si="28"/>
        <v>166616</v>
      </c>
      <c r="DV16">
        <f t="shared" si="29"/>
        <v>59940</v>
      </c>
      <c r="DW16">
        <f t="shared" si="30"/>
        <v>54510</v>
      </c>
      <c r="DX16">
        <f t="shared" si="31"/>
        <v>114450</v>
      </c>
      <c r="DY16">
        <f t="shared" si="32"/>
        <v>46</v>
      </c>
      <c r="DZ16">
        <f t="shared" si="33"/>
        <v>34</v>
      </c>
      <c r="EA16">
        <f t="shared" si="34"/>
        <v>80</v>
      </c>
      <c r="EB16">
        <f t="shared" si="35"/>
        <v>120</v>
      </c>
      <c r="EC16">
        <f t="shared" si="36"/>
        <v>171</v>
      </c>
      <c r="ED16">
        <f t="shared" si="37"/>
        <v>291</v>
      </c>
      <c r="EE16">
        <f t="shared" si="38"/>
        <v>66</v>
      </c>
      <c r="EF16">
        <f t="shared" si="39"/>
        <v>41</v>
      </c>
      <c r="EG16">
        <f t="shared" si="40"/>
        <v>107</v>
      </c>
      <c r="EH16">
        <f t="shared" si="41"/>
        <v>0</v>
      </c>
      <c r="EI16">
        <f t="shared" si="42"/>
        <v>0</v>
      </c>
      <c r="EJ16">
        <f t="shared" si="43"/>
        <v>0</v>
      </c>
      <c r="EK16">
        <f t="shared" si="44"/>
        <v>28</v>
      </c>
      <c r="EL16">
        <f t="shared" si="45"/>
        <v>39</v>
      </c>
      <c r="EM16">
        <f t="shared" si="46"/>
        <v>67</v>
      </c>
      <c r="EN16">
        <f t="shared" si="47"/>
        <v>60200</v>
      </c>
      <c r="EO16">
        <f t="shared" si="48"/>
        <v>54795</v>
      </c>
      <c r="EP16">
        <f t="shared" si="49"/>
        <v>114995</v>
      </c>
    </row>
    <row r="17" spans="1:146" ht="28.5">
      <c r="A17" s="94">
        <v>8</v>
      </c>
      <c r="B17" s="118" t="s">
        <v>139</v>
      </c>
      <c r="E17">
        <f t="shared" si="146"/>
        <v>0</v>
      </c>
      <c r="H17">
        <f t="shared" si="147"/>
        <v>0</v>
      </c>
      <c r="K17">
        <f t="shared" si="148"/>
        <v>0</v>
      </c>
      <c r="N17">
        <f t="shared" si="149"/>
        <v>0</v>
      </c>
      <c r="Q17">
        <f t="shared" si="150"/>
        <v>0</v>
      </c>
      <c r="AC17">
        <f t="shared" si="151"/>
        <v>0</v>
      </c>
      <c r="AD17">
        <f t="shared" si="152"/>
        <v>0</v>
      </c>
      <c r="AE17">
        <f t="shared" si="153"/>
        <v>0</v>
      </c>
      <c r="AF17">
        <f t="shared" si="154"/>
        <v>0</v>
      </c>
      <c r="AI17">
        <f t="shared" si="155"/>
        <v>0</v>
      </c>
      <c r="AL17">
        <f t="shared" si="156"/>
        <v>0</v>
      </c>
      <c r="AO17">
        <f t="shared" si="157"/>
        <v>0</v>
      </c>
      <c r="AR17">
        <f t="shared" si="158"/>
        <v>0</v>
      </c>
      <c r="AU17">
        <f t="shared" si="159"/>
        <v>0</v>
      </c>
      <c r="BG17">
        <f t="shared" si="160"/>
        <v>0</v>
      </c>
      <c r="BH17">
        <f t="shared" si="161"/>
        <v>0</v>
      </c>
      <c r="BI17">
        <f t="shared" si="52"/>
        <v>0</v>
      </c>
      <c r="BJ17">
        <f t="shared" si="53"/>
        <v>0</v>
      </c>
      <c r="BM17">
        <f t="shared" si="162"/>
        <v>0</v>
      </c>
      <c r="BP17">
        <f t="shared" si="163"/>
        <v>0</v>
      </c>
      <c r="BS17">
        <f t="shared" si="164"/>
        <v>0</v>
      </c>
      <c r="BV17">
        <f t="shared" si="165"/>
        <v>0</v>
      </c>
      <c r="BY17">
        <f t="shared" si="166"/>
        <v>0</v>
      </c>
      <c r="CB17">
        <f t="shared" si="167"/>
        <v>0</v>
      </c>
      <c r="CC17">
        <f t="shared" si="168"/>
        <v>0</v>
      </c>
      <c r="CD17">
        <f t="shared" si="54"/>
        <v>0</v>
      </c>
      <c r="CE17">
        <f t="shared" si="55"/>
        <v>0</v>
      </c>
      <c r="CH17">
        <f t="shared" si="169"/>
        <v>0</v>
      </c>
      <c r="CK17">
        <f t="shared" si="170"/>
        <v>0</v>
      </c>
      <c r="CN17">
        <f t="shared" si="171"/>
        <v>0</v>
      </c>
      <c r="CQ17">
        <f t="shared" si="172"/>
        <v>0</v>
      </c>
      <c r="CT17">
        <f t="shared" si="173"/>
        <v>0</v>
      </c>
      <c r="CW17">
        <f t="shared" si="174"/>
        <v>0</v>
      </c>
      <c r="CX17">
        <f t="shared" si="175"/>
        <v>0</v>
      </c>
      <c r="CY17">
        <f t="shared" si="56"/>
        <v>0</v>
      </c>
      <c r="CZ17">
        <f t="shared" si="57"/>
        <v>0</v>
      </c>
      <c r="DA17">
        <f t="shared" si="8"/>
        <v>0</v>
      </c>
      <c r="DB17">
        <f t="shared" si="9"/>
        <v>0</v>
      </c>
      <c r="DC17">
        <f t="shared" si="10"/>
        <v>0</v>
      </c>
      <c r="DD17">
        <f t="shared" si="11"/>
        <v>0</v>
      </c>
      <c r="DE17">
        <f t="shared" si="12"/>
        <v>0</v>
      </c>
      <c r="DF17">
        <f t="shared" si="13"/>
        <v>0</v>
      </c>
      <c r="DG17">
        <f t="shared" si="14"/>
        <v>0</v>
      </c>
      <c r="DH17">
        <f t="shared" si="15"/>
        <v>0</v>
      </c>
      <c r="DI17">
        <f t="shared" si="16"/>
        <v>0</v>
      </c>
      <c r="DJ17">
        <f t="shared" si="17"/>
        <v>0</v>
      </c>
      <c r="DK17">
        <f t="shared" si="18"/>
        <v>0</v>
      </c>
      <c r="DL17">
        <f t="shared" si="19"/>
        <v>0</v>
      </c>
      <c r="DM17">
        <f t="shared" si="20"/>
        <v>0</v>
      </c>
      <c r="DN17">
        <f t="shared" si="21"/>
        <v>0</v>
      </c>
      <c r="DO17">
        <f t="shared" si="22"/>
        <v>0</v>
      </c>
      <c r="DP17">
        <f t="shared" si="23"/>
        <v>0</v>
      </c>
      <c r="DQ17">
        <f t="shared" si="24"/>
        <v>0</v>
      </c>
      <c r="DR17">
        <f t="shared" si="25"/>
        <v>0</v>
      </c>
      <c r="DS17">
        <f t="shared" si="26"/>
        <v>0</v>
      </c>
      <c r="DT17">
        <f t="shared" si="27"/>
        <v>0</v>
      </c>
      <c r="DU17">
        <f t="shared" si="28"/>
        <v>0</v>
      </c>
      <c r="DV17">
        <f t="shared" si="29"/>
        <v>0</v>
      </c>
      <c r="DW17">
        <f t="shared" si="30"/>
        <v>0</v>
      </c>
      <c r="DX17">
        <f t="shared" si="31"/>
        <v>0</v>
      </c>
      <c r="DY17">
        <f t="shared" si="32"/>
        <v>0</v>
      </c>
      <c r="DZ17">
        <f t="shared" si="33"/>
        <v>0</v>
      </c>
      <c r="EA17">
        <f t="shared" si="34"/>
        <v>0</v>
      </c>
      <c r="EB17">
        <f t="shared" si="35"/>
        <v>0</v>
      </c>
      <c r="EC17">
        <f t="shared" si="36"/>
        <v>0</v>
      </c>
      <c r="ED17">
        <f t="shared" si="37"/>
        <v>0</v>
      </c>
      <c r="EE17">
        <f t="shared" si="38"/>
        <v>0</v>
      </c>
      <c r="EF17">
        <f t="shared" si="39"/>
        <v>0</v>
      </c>
      <c r="EG17">
        <f t="shared" si="40"/>
        <v>0</v>
      </c>
      <c r="EH17">
        <f t="shared" si="41"/>
        <v>0</v>
      </c>
      <c r="EI17">
        <f t="shared" si="42"/>
        <v>0</v>
      </c>
      <c r="EJ17">
        <f t="shared" si="43"/>
        <v>0</v>
      </c>
      <c r="EK17">
        <f t="shared" si="44"/>
        <v>0</v>
      </c>
      <c r="EL17">
        <f t="shared" si="45"/>
        <v>0</v>
      </c>
      <c r="EM17">
        <f t="shared" si="46"/>
        <v>0</v>
      </c>
      <c r="EN17">
        <f t="shared" si="47"/>
        <v>0</v>
      </c>
      <c r="EO17">
        <f t="shared" si="48"/>
        <v>0</v>
      </c>
      <c r="EP17">
        <f t="shared" si="49"/>
        <v>0</v>
      </c>
    </row>
    <row r="18" spans="1:146">
      <c r="A18" s="400">
        <v>9</v>
      </c>
      <c r="B18" s="396" t="s">
        <v>384</v>
      </c>
    </row>
    <row r="19" spans="1:146" ht="28.5">
      <c r="A19" s="94">
        <v>9</v>
      </c>
      <c r="B19" s="118" t="s">
        <v>145</v>
      </c>
      <c r="E19">
        <f t="shared" si="146"/>
        <v>0</v>
      </c>
      <c r="H19">
        <f t="shared" si="147"/>
        <v>0</v>
      </c>
      <c r="K19">
        <f t="shared" si="148"/>
        <v>0</v>
      </c>
      <c r="N19">
        <f t="shared" si="149"/>
        <v>0</v>
      </c>
      <c r="Q19">
        <f t="shared" si="150"/>
        <v>0</v>
      </c>
      <c r="AC19">
        <f t="shared" si="151"/>
        <v>0</v>
      </c>
      <c r="AD19">
        <f t="shared" si="152"/>
        <v>0</v>
      </c>
      <c r="AE19">
        <f t="shared" si="153"/>
        <v>0</v>
      </c>
      <c r="AF19" t="e">
        <f>+E19+#REF!+K19+N19+Q19+AC19</f>
        <v>#REF!</v>
      </c>
      <c r="AI19">
        <f t="shared" si="155"/>
        <v>0</v>
      </c>
      <c r="AL19">
        <f t="shared" si="156"/>
        <v>0</v>
      </c>
      <c r="AO19">
        <f t="shared" si="157"/>
        <v>0</v>
      </c>
      <c r="AR19">
        <f t="shared" si="158"/>
        <v>0</v>
      </c>
      <c r="AU19">
        <f t="shared" si="159"/>
        <v>0</v>
      </c>
      <c r="BG19">
        <f t="shared" si="160"/>
        <v>0</v>
      </c>
      <c r="BH19">
        <f t="shared" si="161"/>
        <v>0</v>
      </c>
      <c r="BI19">
        <f t="shared" si="52"/>
        <v>0</v>
      </c>
      <c r="BJ19">
        <f t="shared" si="53"/>
        <v>0</v>
      </c>
      <c r="BM19">
        <f t="shared" si="162"/>
        <v>0</v>
      </c>
      <c r="BP19">
        <f t="shared" si="163"/>
        <v>0</v>
      </c>
      <c r="BS19">
        <f t="shared" si="164"/>
        <v>0</v>
      </c>
      <c r="BV19">
        <f t="shared" si="165"/>
        <v>0</v>
      </c>
      <c r="BY19">
        <f t="shared" si="166"/>
        <v>0</v>
      </c>
      <c r="CB19">
        <f t="shared" si="167"/>
        <v>0</v>
      </c>
      <c r="CC19">
        <f t="shared" si="168"/>
        <v>0</v>
      </c>
      <c r="CD19">
        <f t="shared" si="54"/>
        <v>0</v>
      </c>
      <c r="CE19">
        <f t="shared" si="55"/>
        <v>0</v>
      </c>
      <c r="CH19">
        <f t="shared" si="169"/>
        <v>0</v>
      </c>
      <c r="CK19">
        <f t="shared" si="170"/>
        <v>0</v>
      </c>
      <c r="CN19">
        <f t="shared" si="171"/>
        <v>0</v>
      </c>
      <c r="CQ19">
        <f t="shared" si="172"/>
        <v>0</v>
      </c>
      <c r="CT19">
        <f t="shared" si="173"/>
        <v>0</v>
      </c>
      <c r="CW19">
        <f t="shared" si="174"/>
        <v>0</v>
      </c>
      <c r="CX19">
        <f t="shared" si="175"/>
        <v>0</v>
      </c>
      <c r="CY19">
        <f t="shared" si="56"/>
        <v>0</v>
      </c>
      <c r="CZ19">
        <f t="shared" si="57"/>
        <v>0</v>
      </c>
      <c r="DA19">
        <f t="shared" si="8"/>
        <v>0</v>
      </c>
      <c r="DB19">
        <f t="shared" si="9"/>
        <v>0</v>
      </c>
      <c r="DC19">
        <f t="shared" si="10"/>
        <v>0</v>
      </c>
      <c r="DD19">
        <f t="shared" si="11"/>
        <v>0</v>
      </c>
      <c r="DE19">
        <f t="shared" si="12"/>
        <v>0</v>
      </c>
      <c r="DF19" t="e">
        <f>+#REF!+BP19</f>
        <v>#REF!</v>
      </c>
      <c r="DG19">
        <f t="shared" si="14"/>
        <v>0</v>
      </c>
      <c r="DH19">
        <f t="shared" si="15"/>
        <v>0</v>
      </c>
      <c r="DI19">
        <f t="shared" si="16"/>
        <v>0</v>
      </c>
      <c r="DJ19">
        <f t="shared" si="17"/>
        <v>0</v>
      </c>
      <c r="DK19">
        <f t="shared" si="18"/>
        <v>0</v>
      </c>
      <c r="DL19">
        <f t="shared" si="19"/>
        <v>0</v>
      </c>
      <c r="DM19">
        <f t="shared" si="20"/>
        <v>0</v>
      </c>
      <c r="DN19">
        <f t="shared" si="21"/>
        <v>0</v>
      </c>
      <c r="DO19">
        <f t="shared" si="22"/>
        <v>0</v>
      </c>
      <c r="DP19">
        <f t="shared" si="23"/>
        <v>0</v>
      </c>
      <c r="DQ19">
        <f t="shared" si="24"/>
        <v>0</v>
      </c>
      <c r="DR19">
        <f t="shared" si="25"/>
        <v>0</v>
      </c>
      <c r="DS19">
        <f t="shared" si="26"/>
        <v>0</v>
      </c>
      <c r="DT19">
        <f t="shared" si="27"/>
        <v>0</v>
      </c>
      <c r="DU19" t="e">
        <f t="shared" si="28"/>
        <v>#REF!</v>
      </c>
      <c r="DV19">
        <f t="shared" si="29"/>
        <v>0</v>
      </c>
      <c r="DW19">
        <f t="shared" si="30"/>
        <v>0</v>
      </c>
      <c r="DX19">
        <f t="shared" si="31"/>
        <v>0</v>
      </c>
      <c r="DY19">
        <f t="shared" si="32"/>
        <v>0</v>
      </c>
      <c r="DZ19">
        <f t="shared" si="33"/>
        <v>0</v>
      </c>
      <c r="EA19">
        <f t="shared" si="34"/>
        <v>0</v>
      </c>
      <c r="EB19">
        <f t="shared" si="35"/>
        <v>0</v>
      </c>
      <c r="EC19">
        <f t="shared" si="36"/>
        <v>0</v>
      </c>
      <c r="ED19">
        <f t="shared" si="37"/>
        <v>0</v>
      </c>
      <c r="EE19">
        <f t="shared" si="38"/>
        <v>0</v>
      </c>
      <c r="EF19">
        <f t="shared" si="39"/>
        <v>0</v>
      </c>
      <c r="EG19">
        <f t="shared" si="40"/>
        <v>0</v>
      </c>
      <c r="EH19">
        <f t="shared" si="41"/>
        <v>0</v>
      </c>
      <c r="EI19">
        <f t="shared" si="42"/>
        <v>0</v>
      </c>
      <c r="EJ19">
        <f t="shared" si="43"/>
        <v>0</v>
      </c>
      <c r="EK19">
        <f t="shared" si="44"/>
        <v>0</v>
      </c>
      <c r="EL19">
        <f t="shared" si="45"/>
        <v>0</v>
      </c>
      <c r="EM19">
        <f t="shared" si="46"/>
        <v>0</v>
      </c>
      <c r="EN19">
        <f t="shared" si="47"/>
        <v>0</v>
      </c>
      <c r="EO19">
        <f t="shared" si="48"/>
        <v>0</v>
      </c>
      <c r="EP19">
        <f t="shared" si="49"/>
        <v>0</v>
      </c>
    </row>
    <row r="20" spans="1:146">
      <c r="A20" s="94">
        <v>10</v>
      </c>
      <c r="B20" s="398" t="s">
        <v>377</v>
      </c>
      <c r="E20">
        <f t="shared" si="146"/>
        <v>0</v>
      </c>
      <c r="H20">
        <f t="shared" si="147"/>
        <v>0</v>
      </c>
      <c r="K20">
        <f t="shared" si="148"/>
        <v>0</v>
      </c>
      <c r="N20">
        <f t="shared" si="149"/>
        <v>0</v>
      </c>
      <c r="Q20">
        <f t="shared" si="150"/>
        <v>0</v>
      </c>
      <c r="AC20">
        <f t="shared" si="151"/>
        <v>0</v>
      </c>
      <c r="AD20">
        <f t="shared" si="152"/>
        <v>0</v>
      </c>
      <c r="AE20">
        <f t="shared" si="153"/>
        <v>0</v>
      </c>
      <c r="AF20">
        <f t="shared" si="154"/>
        <v>0</v>
      </c>
      <c r="AI20">
        <f t="shared" si="155"/>
        <v>0</v>
      </c>
      <c r="AL20">
        <f t="shared" si="156"/>
        <v>0</v>
      </c>
      <c r="AO20">
        <f t="shared" si="157"/>
        <v>0</v>
      </c>
      <c r="AR20">
        <f t="shared" si="158"/>
        <v>0</v>
      </c>
      <c r="AU20">
        <f t="shared" si="159"/>
        <v>0</v>
      </c>
      <c r="BG20">
        <f t="shared" si="160"/>
        <v>0</v>
      </c>
      <c r="BH20">
        <f t="shared" si="161"/>
        <v>0</v>
      </c>
      <c r="BI20">
        <f t="shared" si="52"/>
        <v>0</v>
      </c>
      <c r="BJ20">
        <f t="shared" si="53"/>
        <v>0</v>
      </c>
      <c r="BK20">
        <v>43</v>
      </c>
      <c r="BL20">
        <v>60</v>
      </c>
      <c r="BM20">
        <f t="shared" si="162"/>
        <v>103</v>
      </c>
      <c r="BP20">
        <f t="shared" si="163"/>
        <v>0</v>
      </c>
      <c r="BS20">
        <f t="shared" si="164"/>
        <v>0</v>
      </c>
      <c r="BV20">
        <f t="shared" si="165"/>
        <v>0</v>
      </c>
      <c r="BY20">
        <f t="shared" si="166"/>
        <v>0</v>
      </c>
      <c r="CB20">
        <f t="shared" si="167"/>
        <v>0</v>
      </c>
      <c r="CC20">
        <f t="shared" si="168"/>
        <v>43</v>
      </c>
      <c r="CD20">
        <f t="shared" si="54"/>
        <v>60</v>
      </c>
      <c r="CE20">
        <f t="shared" si="55"/>
        <v>103</v>
      </c>
      <c r="CF20">
        <v>25</v>
      </c>
      <c r="CG20">
        <v>43</v>
      </c>
      <c r="CH20">
        <f t="shared" si="169"/>
        <v>68</v>
      </c>
      <c r="CK20">
        <f t="shared" si="170"/>
        <v>0</v>
      </c>
      <c r="CN20">
        <f t="shared" si="171"/>
        <v>0</v>
      </c>
      <c r="CQ20">
        <f t="shared" si="172"/>
        <v>0</v>
      </c>
      <c r="CT20">
        <f t="shared" si="173"/>
        <v>0</v>
      </c>
      <c r="CW20">
        <f t="shared" si="174"/>
        <v>0</v>
      </c>
      <c r="CX20">
        <f t="shared" si="175"/>
        <v>25</v>
      </c>
      <c r="CY20">
        <f t="shared" si="56"/>
        <v>43</v>
      </c>
      <c r="CZ20">
        <f t="shared" si="57"/>
        <v>68</v>
      </c>
      <c r="DA20">
        <f t="shared" si="8"/>
        <v>43</v>
      </c>
      <c r="DB20">
        <f t="shared" si="9"/>
        <v>60</v>
      </c>
      <c r="DC20">
        <f t="shared" si="10"/>
        <v>103</v>
      </c>
      <c r="DD20">
        <f t="shared" si="11"/>
        <v>0</v>
      </c>
      <c r="DE20">
        <f t="shared" si="12"/>
        <v>0</v>
      </c>
      <c r="DF20">
        <f t="shared" si="13"/>
        <v>0</v>
      </c>
      <c r="DG20">
        <f t="shared" si="14"/>
        <v>0</v>
      </c>
      <c r="DH20">
        <f t="shared" si="15"/>
        <v>0</v>
      </c>
      <c r="DI20">
        <f t="shared" si="16"/>
        <v>0</v>
      </c>
      <c r="DJ20">
        <f t="shared" si="17"/>
        <v>0</v>
      </c>
      <c r="DK20">
        <f t="shared" si="18"/>
        <v>0</v>
      </c>
      <c r="DL20">
        <f t="shared" si="19"/>
        <v>0</v>
      </c>
      <c r="DM20">
        <f t="shared" si="20"/>
        <v>0</v>
      </c>
      <c r="DN20">
        <f t="shared" si="21"/>
        <v>0</v>
      </c>
      <c r="DO20">
        <f t="shared" si="22"/>
        <v>0</v>
      </c>
      <c r="DP20">
        <f t="shared" si="23"/>
        <v>0</v>
      </c>
      <c r="DQ20">
        <f t="shared" si="24"/>
        <v>0</v>
      </c>
      <c r="DR20">
        <f t="shared" si="25"/>
        <v>0</v>
      </c>
      <c r="DS20">
        <f t="shared" si="26"/>
        <v>43</v>
      </c>
      <c r="DT20">
        <f t="shared" si="27"/>
        <v>60</v>
      </c>
      <c r="DU20">
        <f t="shared" si="28"/>
        <v>103</v>
      </c>
      <c r="DV20">
        <f t="shared" si="29"/>
        <v>25</v>
      </c>
      <c r="DW20">
        <f t="shared" si="30"/>
        <v>43</v>
      </c>
      <c r="DX20">
        <f t="shared" si="31"/>
        <v>68</v>
      </c>
      <c r="DY20">
        <f t="shared" si="32"/>
        <v>0</v>
      </c>
      <c r="DZ20">
        <f t="shared" si="33"/>
        <v>0</v>
      </c>
      <c r="EA20">
        <f t="shared" si="34"/>
        <v>0</v>
      </c>
      <c r="EB20">
        <f t="shared" si="35"/>
        <v>0</v>
      </c>
      <c r="EC20">
        <f t="shared" si="36"/>
        <v>0</v>
      </c>
      <c r="ED20">
        <f t="shared" si="37"/>
        <v>0</v>
      </c>
      <c r="EE20">
        <f t="shared" si="38"/>
        <v>0</v>
      </c>
      <c r="EF20">
        <f t="shared" si="39"/>
        <v>0</v>
      </c>
      <c r="EG20">
        <f t="shared" si="40"/>
        <v>0</v>
      </c>
      <c r="EH20">
        <f t="shared" si="41"/>
        <v>0</v>
      </c>
      <c r="EI20">
        <f t="shared" si="42"/>
        <v>0</v>
      </c>
      <c r="EJ20">
        <f t="shared" si="43"/>
        <v>0</v>
      </c>
      <c r="EK20">
        <f t="shared" si="44"/>
        <v>0</v>
      </c>
      <c r="EL20">
        <f t="shared" si="45"/>
        <v>0</v>
      </c>
      <c r="EM20">
        <f t="shared" si="46"/>
        <v>0</v>
      </c>
      <c r="EN20">
        <f t="shared" si="47"/>
        <v>25</v>
      </c>
      <c r="EO20">
        <f t="shared" si="48"/>
        <v>43</v>
      </c>
      <c r="EP20">
        <f t="shared" si="49"/>
        <v>68</v>
      </c>
    </row>
    <row r="21" spans="1:146" ht="28.5">
      <c r="A21" s="94">
        <v>11</v>
      </c>
      <c r="B21" s="118" t="s">
        <v>378</v>
      </c>
      <c r="D21">
        <v>3</v>
      </c>
      <c r="E21">
        <f t="shared" si="146"/>
        <v>3</v>
      </c>
      <c r="H21">
        <f t="shared" si="147"/>
        <v>0</v>
      </c>
      <c r="K21">
        <f t="shared" si="148"/>
        <v>0</v>
      </c>
      <c r="N21">
        <f t="shared" si="149"/>
        <v>0</v>
      </c>
      <c r="Q21">
        <f t="shared" si="150"/>
        <v>0</v>
      </c>
      <c r="AC21">
        <f t="shared" si="151"/>
        <v>0</v>
      </c>
      <c r="AD21">
        <f t="shared" si="152"/>
        <v>0</v>
      </c>
      <c r="AE21">
        <f t="shared" si="153"/>
        <v>3</v>
      </c>
      <c r="AF21">
        <f t="shared" si="154"/>
        <v>3</v>
      </c>
      <c r="AH21">
        <v>3</v>
      </c>
      <c r="AI21">
        <f t="shared" si="155"/>
        <v>3</v>
      </c>
      <c r="AL21">
        <f t="shared" si="156"/>
        <v>0</v>
      </c>
      <c r="AO21">
        <f t="shared" si="157"/>
        <v>0</v>
      </c>
      <c r="AR21">
        <f t="shared" si="158"/>
        <v>0</v>
      </c>
      <c r="AU21">
        <f t="shared" si="159"/>
        <v>0</v>
      </c>
      <c r="BG21">
        <f t="shared" si="160"/>
        <v>0</v>
      </c>
      <c r="BH21">
        <f t="shared" si="161"/>
        <v>0</v>
      </c>
      <c r="BI21">
        <f t="shared" si="52"/>
        <v>3</v>
      </c>
      <c r="BJ21">
        <f t="shared" si="53"/>
        <v>3</v>
      </c>
      <c r="BM21">
        <f t="shared" si="162"/>
        <v>0</v>
      </c>
      <c r="BP21">
        <f t="shared" si="163"/>
        <v>0</v>
      </c>
      <c r="BS21">
        <f t="shared" si="164"/>
        <v>0</v>
      </c>
      <c r="BV21">
        <f t="shared" si="165"/>
        <v>0</v>
      </c>
      <c r="BY21">
        <f t="shared" si="166"/>
        <v>0</v>
      </c>
      <c r="CB21">
        <f t="shared" si="167"/>
        <v>0</v>
      </c>
      <c r="CC21">
        <f t="shared" si="168"/>
        <v>0</v>
      </c>
      <c r="CD21">
        <f t="shared" si="54"/>
        <v>0</v>
      </c>
      <c r="CE21">
        <f t="shared" si="55"/>
        <v>0</v>
      </c>
      <c r="CH21">
        <f t="shared" si="169"/>
        <v>0</v>
      </c>
      <c r="CK21">
        <f t="shared" si="170"/>
        <v>0</v>
      </c>
      <c r="CN21">
        <f t="shared" si="171"/>
        <v>0</v>
      </c>
      <c r="CQ21">
        <f t="shared" si="172"/>
        <v>0</v>
      </c>
      <c r="CT21">
        <f t="shared" si="173"/>
        <v>0</v>
      </c>
      <c r="CW21">
        <f t="shared" si="174"/>
        <v>0</v>
      </c>
      <c r="CX21">
        <f t="shared" si="175"/>
        <v>0</v>
      </c>
      <c r="CY21">
        <f t="shared" si="56"/>
        <v>0</v>
      </c>
      <c r="CZ21">
        <f t="shared" si="57"/>
        <v>0</v>
      </c>
      <c r="DA21">
        <f t="shared" si="8"/>
        <v>0</v>
      </c>
      <c r="DB21">
        <f t="shared" si="9"/>
        <v>3</v>
      </c>
      <c r="DC21">
        <f t="shared" si="10"/>
        <v>3</v>
      </c>
      <c r="DD21">
        <f t="shared" si="11"/>
        <v>0</v>
      </c>
      <c r="DE21">
        <f t="shared" si="12"/>
        <v>0</v>
      </c>
      <c r="DF21">
        <f t="shared" si="13"/>
        <v>0</v>
      </c>
      <c r="DG21">
        <f t="shared" si="14"/>
        <v>0</v>
      </c>
      <c r="DH21">
        <f t="shared" si="15"/>
        <v>0</v>
      </c>
      <c r="DI21">
        <f t="shared" si="16"/>
        <v>0</v>
      </c>
      <c r="DJ21">
        <f t="shared" si="17"/>
        <v>0</v>
      </c>
      <c r="DK21">
        <f t="shared" si="18"/>
        <v>0</v>
      </c>
      <c r="DL21">
        <f t="shared" si="19"/>
        <v>0</v>
      </c>
      <c r="DM21">
        <f t="shared" si="20"/>
        <v>0</v>
      </c>
      <c r="DN21">
        <f t="shared" si="21"/>
        <v>0</v>
      </c>
      <c r="DO21">
        <f t="shared" si="22"/>
        <v>0</v>
      </c>
      <c r="DP21">
        <f t="shared" si="23"/>
        <v>0</v>
      </c>
      <c r="DQ21">
        <f t="shared" si="24"/>
        <v>0</v>
      </c>
      <c r="DR21">
        <f t="shared" si="25"/>
        <v>0</v>
      </c>
      <c r="DS21">
        <f t="shared" si="26"/>
        <v>0</v>
      </c>
      <c r="DT21">
        <f t="shared" si="27"/>
        <v>3</v>
      </c>
      <c r="DU21">
        <f t="shared" si="28"/>
        <v>3</v>
      </c>
      <c r="DV21">
        <f t="shared" si="29"/>
        <v>0</v>
      </c>
      <c r="DW21">
        <f t="shared" si="30"/>
        <v>3</v>
      </c>
      <c r="DX21">
        <f t="shared" si="31"/>
        <v>3</v>
      </c>
      <c r="DY21">
        <f t="shared" si="32"/>
        <v>0</v>
      </c>
      <c r="DZ21">
        <f t="shared" si="33"/>
        <v>0</v>
      </c>
      <c r="EA21">
        <f t="shared" si="34"/>
        <v>0</v>
      </c>
      <c r="EB21">
        <f t="shared" si="35"/>
        <v>0</v>
      </c>
      <c r="EC21">
        <f t="shared" si="36"/>
        <v>0</v>
      </c>
      <c r="ED21">
        <f t="shared" si="37"/>
        <v>0</v>
      </c>
      <c r="EE21">
        <f t="shared" si="38"/>
        <v>0</v>
      </c>
      <c r="EF21">
        <f t="shared" si="39"/>
        <v>0</v>
      </c>
      <c r="EG21">
        <f t="shared" si="40"/>
        <v>0</v>
      </c>
      <c r="EH21">
        <f t="shared" si="41"/>
        <v>0</v>
      </c>
      <c r="EI21">
        <f t="shared" si="42"/>
        <v>0</v>
      </c>
      <c r="EJ21">
        <f t="shared" si="43"/>
        <v>0</v>
      </c>
      <c r="EK21">
        <f t="shared" si="44"/>
        <v>0</v>
      </c>
      <c r="EL21">
        <f t="shared" si="45"/>
        <v>0</v>
      </c>
      <c r="EM21">
        <f t="shared" si="46"/>
        <v>0</v>
      </c>
      <c r="EN21">
        <f t="shared" si="47"/>
        <v>0</v>
      </c>
      <c r="EO21">
        <f t="shared" si="48"/>
        <v>3</v>
      </c>
      <c r="EP21">
        <f t="shared" si="49"/>
        <v>3</v>
      </c>
    </row>
    <row r="22" spans="1:146" ht="28.5">
      <c r="A22" s="94">
        <v>12</v>
      </c>
      <c r="B22" s="372" t="s">
        <v>148</v>
      </c>
      <c r="E22">
        <f t="shared" si="146"/>
        <v>0</v>
      </c>
      <c r="H22">
        <f t="shared" si="147"/>
        <v>0</v>
      </c>
      <c r="K22">
        <f t="shared" si="148"/>
        <v>0</v>
      </c>
      <c r="N22">
        <f t="shared" si="149"/>
        <v>0</v>
      </c>
      <c r="Q22">
        <f t="shared" si="150"/>
        <v>0</v>
      </c>
      <c r="AC22">
        <f t="shared" si="151"/>
        <v>0</v>
      </c>
      <c r="AD22">
        <f t="shared" si="152"/>
        <v>0</v>
      </c>
      <c r="AE22">
        <f t="shared" si="153"/>
        <v>0</v>
      </c>
      <c r="AF22">
        <f t="shared" si="154"/>
        <v>0</v>
      </c>
      <c r="AI22">
        <f t="shared" si="155"/>
        <v>0</v>
      </c>
      <c r="AL22">
        <f t="shared" si="156"/>
        <v>0</v>
      </c>
      <c r="AO22">
        <f t="shared" si="157"/>
        <v>0</v>
      </c>
      <c r="AR22">
        <f t="shared" si="158"/>
        <v>0</v>
      </c>
      <c r="AU22">
        <f t="shared" si="159"/>
        <v>0</v>
      </c>
      <c r="BG22">
        <f t="shared" si="160"/>
        <v>0</v>
      </c>
      <c r="BH22">
        <f t="shared" si="161"/>
        <v>0</v>
      </c>
      <c r="BI22">
        <f t="shared" si="52"/>
        <v>0</v>
      </c>
      <c r="BJ22">
        <f t="shared" si="53"/>
        <v>0</v>
      </c>
      <c r="BM22">
        <f t="shared" si="162"/>
        <v>0</v>
      </c>
      <c r="BP22">
        <f t="shared" si="163"/>
        <v>0</v>
      </c>
      <c r="BS22">
        <f t="shared" si="164"/>
        <v>0</v>
      </c>
      <c r="BV22">
        <f t="shared" si="165"/>
        <v>0</v>
      </c>
      <c r="BY22">
        <f t="shared" si="166"/>
        <v>0</v>
      </c>
      <c r="CB22">
        <f t="shared" si="167"/>
        <v>0</v>
      </c>
      <c r="CC22">
        <f t="shared" si="168"/>
        <v>0</v>
      </c>
      <c r="CD22">
        <f t="shared" si="54"/>
        <v>0</v>
      </c>
      <c r="CE22">
        <f t="shared" si="55"/>
        <v>0</v>
      </c>
      <c r="CH22">
        <f t="shared" si="169"/>
        <v>0</v>
      </c>
      <c r="CK22">
        <f t="shared" si="170"/>
        <v>0</v>
      </c>
      <c r="CN22">
        <f t="shared" si="171"/>
        <v>0</v>
      </c>
      <c r="CQ22">
        <f t="shared" si="172"/>
        <v>0</v>
      </c>
      <c r="CT22">
        <f t="shared" si="173"/>
        <v>0</v>
      </c>
      <c r="CW22">
        <f t="shared" si="174"/>
        <v>0</v>
      </c>
      <c r="CX22">
        <f t="shared" si="175"/>
        <v>0</v>
      </c>
      <c r="CY22">
        <f t="shared" si="56"/>
        <v>0</v>
      </c>
      <c r="CZ22">
        <f t="shared" si="57"/>
        <v>0</v>
      </c>
      <c r="DA22">
        <f t="shared" si="8"/>
        <v>0</v>
      </c>
      <c r="DB22">
        <f t="shared" si="9"/>
        <v>0</v>
      </c>
      <c r="DC22">
        <f t="shared" si="10"/>
        <v>0</v>
      </c>
      <c r="DD22">
        <f t="shared" si="11"/>
        <v>0</v>
      </c>
      <c r="DE22">
        <f t="shared" si="12"/>
        <v>0</v>
      </c>
      <c r="DF22">
        <f t="shared" si="13"/>
        <v>0</v>
      </c>
      <c r="DG22">
        <f t="shared" si="14"/>
        <v>0</v>
      </c>
      <c r="DH22">
        <f t="shared" si="15"/>
        <v>0</v>
      </c>
      <c r="DI22">
        <f t="shared" si="16"/>
        <v>0</v>
      </c>
      <c r="DJ22">
        <f t="shared" si="17"/>
        <v>0</v>
      </c>
      <c r="DK22">
        <f t="shared" si="18"/>
        <v>0</v>
      </c>
      <c r="DL22">
        <f t="shared" si="19"/>
        <v>0</v>
      </c>
      <c r="DM22">
        <f t="shared" si="20"/>
        <v>0</v>
      </c>
      <c r="DN22">
        <f t="shared" si="21"/>
        <v>0</v>
      </c>
      <c r="DO22">
        <f t="shared" si="22"/>
        <v>0</v>
      </c>
      <c r="DP22">
        <f t="shared" si="23"/>
        <v>0</v>
      </c>
      <c r="DQ22">
        <f t="shared" si="24"/>
        <v>0</v>
      </c>
      <c r="DR22">
        <f t="shared" si="25"/>
        <v>0</v>
      </c>
      <c r="DS22">
        <f t="shared" si="26"/>
        <v>0</v>
      </c>
      <c r="DT22">
        <f t="shared" si="27"/>
        <v>0</v>
      </c>
      <c r="DU22">
        <f t="shared" si="28"/>
        <v>0</v>
      </c>
      <c r="DV22">
        <f t="shared" si="29"/>
        <v>0</v>
      </c>
      <c r="DW22">
        <f t="shared" si="30"/>
        <v>0</v>
      </c>
      <c r="DX22">
        <f t="shared" si="31"/>
        <v>0</v>
      </c>
      <c r="DY22">
        <f t="shared" si="32"/>
        <v>0</v>
      </c>
      <c r="DZ22">
        <f t="shared" si="33"/>
        <v>0</v>
      </c>
      <c r="EA22">
        <f t="shared" si="34"/>
        <v>0</v>
      </c>
      <c r="EB22">
        <f t="shared" si="35"/>
        <v>0</v>
      </c>
      <c r="EC22">
        <f t="shared" si="36"/>
        <v>0</v>
      </c>
      <c r="ED22">
        <f t="shared" si="37"/>
        <v>0</v>
      </c>
      <c r="EE22">
        <f t="shared" si="38"/>
        <v>0</v>
      </c>
      <c r="EF22">
        <f t="shared" si="39"/>
        <v>0</v>
      </c>
      <c r="EG22">
        <f t="shared" si="40"/>
        <v>0</v>
      </c>
      <c r="EH22">
        <f t="shared" si="41"/>
        <v>0</v>
      </c>
      <c r="EI22">
        <f t="shared" si="42"/>
        <v>0</v>
      </c>
      <c r="EJ22">
        <f t="shared" si="43"/>
        <v>0</v>
      </c>
      <c r="EK22">
        <f t="shared" si="44"/>
        <v>0</v>
      </c>
      <c r="EL22">
        <f t="shared" si="45"/>
        <v>0</v>
      </c>
      <c r="EM22">
        <f t="shared" si="46"/>
        <v>0</v>
      </c>
      <c r="EN22">
        <f t="shared" si="47"/>
        <v>0</v>
      </c>
      <c r="EO22">
        <f t="shared" si="48"/>
        <v>0</v>
      </c>
      <c r="EP22">
        <f t="shared" si="49"/>
        <v>0</v>
      </c>
    </row>
    <row r="23" spans="1:146" ht="28.5">
      <c r="A23" s="94">
        <v>13</v>
      </c>
      <c r="B23" s="118" t="s">
        <v>149</v>
      </c>
      <c r="E23">
        <f t="shared" si="146"/>
        <v>0</v>
      </c>
      <c r="H23">
        <f t="shared" si="147"/>
        <v>0</v>
      </c>
      <c r="K23">
        <f t="shared" si="148"/>
        <v>0</v>
      </c>
      <c r="N23">
        <f t="shared" si="149"/>
        <v>0</v>
      </c>
      <c r="Q23">
        <f t="shared" si="150"/>
        <v>0</v>
      </c>
      <c r="AC23">
        <f t="shared" si="151"/>
        <v>0</v>
      </c>
      <c r="AD23">
        <f t="shared" si="152"/>
        <v>0</v>
      </c>
      <c r="AE23">
        <f t="shared" si="153"/>
        <v>0</v>
      </c>
      <c r="AF23">
        <f t="shared" si="154"/>
        <v>0</v>
      </c>
      <c r="AI23">
        <f t="shared" si="155"/>
        <v>0</v>
      </c>
      <c r="AL23">
        <f t="shared" si="156"/>
        <v>0</v>
      </c>
      <c r="AO23">
        <f t="shared" si="157"/>
        <v>0</v>
      </c>
      <c r="AR23">
        <f t="shared" si="158"/>
        <v>0</v>
      </c>
      <c r="AU23">
        <f t="shared" si="159"/>
        <v>0</v>
      </c>
      <c r="BG23">
        <f t="shared" si="160"/>
        <v>0</v>
      </c>
      <c r="BH23">
        <f t="shared" si="161"/>
        <v>0</v>
      </c>
      <c r="BI23">
        <f t="shared" si="52"/>
        <v>0</v>
      </c>
      <c r="BJ23">
        <f t="shared" si="53"/>
        <v>0</v>
      </c>
      <c r="BM23">
        <f t="shared" si="162"/>
        <v>0</v>
      </c>
      <c r="BP23">
        <f t="shared" si="163"/>
        <v>0</v>
      </c>
      <c r="BS23">
        <f t="shared" si="164"/>
        <v>0</v>
      </c>
      <c r="BV23">
        <f t="shared" si="165"/>
        <v>0</v>
      </c>
      <c r="BY23">
        <f t="shared" si="166"/>
        <v>0</v>
      </c>
      <c r="CB23">
        <f t="shared" si="167"/>
        <v>0</v>
      </c>
      <c r="CC23">
        <f t="shared" si="168"/>
        <v>0</v>
      </c>
      <c r="CD23">
        <f t="shared" si="54"/>
        <v>0</v>
      </c>
      <c r="CE23">
        <f t="shared" si="55"/>
        <v>0</v>
      </c>
      <c r="CH23">
        <f t="shared" si="169"/>
        <v>0</v>
      </c>
      <c r="CK23">
        <f t="shared" si="170"/>
        <v>0</v>
      </c>
      <c r="CN23">
        <f t="shared" si="171"/>
        <v>0</v>
      </c>
      <c r="CQ23">
        <f t="shared" si="172"/>
        <v>0</v>
      </c>
      <c r="CT23">
        <f t="shared" si="173"/>
        <v>0</v>
      </c>
      <c r="CW23">
        <f t="shared" si="174"/>
        <v>0</v>
      </c>
      <c r="CX23">
        <f t="shared" si="175"/>
        <v>0</v>
      </c>
      <c r="CY23">
        <f t="shared" si="56"/>
        <v>0</v>
      </c>
      <c r="CZ23">
        <f t="shared" si="57"/>
        <v>0</v>
      </c>
      <c r="DA23">
        <f t="shared" si="8"/>
        <v>0</v>
      </c>
      <c r="DB23">
        <f t="shared" si="9"/>
        <v>0</v>
      </c>
      <c r="DC23">
        <f t="shared" si="10"/>
        <v>0</v>
      </c>
      <c r="DD23">
        <f t="shared" si="11"/>
        <v>0</v>
      </c>
      <c r="DE23">
        <f t="shared" si="12"/>
        <v>0</v>
      </c>
      <c r="DF23">
        <f t="shared" si="13"/>
        <v>0</v>
      </c>
      <c r="DG23">
        <f t="shared" si="14"/>
        <v>0</v>
      </c>
      <c r="DH23">
        <f t="shared" si="15"/>
        <v>0</v>
      </c>
      <c r="DI23">
        <f t="shared" si="16"/>
        <v>0</v>
      </c>
      <c r="DJ23">
        <f t="shared" si="17"/>
        <v>0</v>
      </c>
      <c r="DK23">
        <f t="shared" si="18"/>
        <v>0</v>
      </c>
      <c r="DL23">
        <f t="shared" si="19"/>
        <v>0</v>
      </c>
      <c r="DM23">
        <f t="shared" si="20"/>
        <v>0</v>
      </c>
      <c r="DN23">
        <f t="shared" si="21"/>
        <v>0</v>
      </c>
      <c r="DO23">
        <f t="shared" si="22"/>
        <v>0</v>
      </c>
      <c r="DP23">
        <f t="shared" si="23"/>
        <v>0</v>
      </c>
      <c r="DQ23">
        <f t="shared" si="24"/>
        <v>0</v>
      </c>
      <c r="DR23">
        <f t="shared" si="25"/>
        <v>0</v>
      </c>
      <c r="DS23">
        <f t="shared" si="26"/>
        <v>0</v>
      </c>
      <c r="DT23">
        <f t="shared" si="27"/>
        <v>0</v>
      </c>
      <c r="DU23">
        <f t="shared" si="28"/>
        <v>0</v>
      </c>
      <c r="DV23">
        <f t="shared" si="29"/>
        <v>0</v>
      </c>
      <c r="DW23">
        <f t="shared" si="30"/>
        <v>0</v>
      </c>
      <c r="DX23">
        <f t="shared" si="31"/>
        <v>0</v>
      </c>
      <c r="DY23">
        <f t="shared" si="32"/>
        <v>0</v>
      </c>
      <c r="DZ23">
        <f t="shared" si="33"/>
        <v>0</v>
      </c>
      <c r="EA23">
        <f t="shared" si="34"/>
        <v>0</v>
      </c>
      <c r="EB23">
        <f t="shared" si="35"/>
        <v>0</v>
      </c>
      <c r="EC23">
        <f t="shared" si="36"/>
        <v>0</v>
      </c>
      <c r="ED23">
        <f t="shared" si="37"/>
        <v>0</v>
      </c>
      <c r="EE23">
        <f t="shared" si="38"/>
        <v>0</v>
      </c>
      <c r="EF23">
        <f t="shared" si="39"/>
        <v>0</v>
      </c>
      <c r="EG23">
        <f t="shared" si="40"/>
        <v>0</v>
      </c>
      <c r="EH23">
        <f t="shared" si="41"/>
        <v>0</v>
      </c>
      <c r="EI23">
        <f t="shared" si="42"/>
        <v>0</v>
      </c>
      <c r="EJ23">
        <f t="shared" si="43"/>
        <v>0</v>
      </c>
      <c r="EK23">
        <f t="shared" si="44"/>
        <v>0</v>
      </c>
      <c r="EL23">
        <f t="shared" si="45"/>
        <v>0</v>
      </c>
      <c r="EM23">
        <f t="shared" si="46"/>
        <v>0</v>
      </c>
      <c r="EN23">
        <f t="shared" si="47"/>
        <v>0</v>
      </c>
      <c r="EO23">
        <f t="shared" si="48"/>
        <v>0</v>
      </c>
      <c r="EP23">
        <f t="shared" si="49"/>
        <v>0</v>
      </c>
    </row>
    <row r="24" spans="1:146">
      <c r="A24" s="94">
        <v>14</v>
      </c>
      <c r="B24" s="118" t="s">
        <v>140</v>
      </c>
      <c r="E24">
        <f t="shared" si="146"/>
        <v>0</v>
      </c>
      <c r="H24">
        <f t="shared" si="147"/>
        <v>0</v>
      </c>
      <c r="K24">
        <f t="shared" si="148"/>
        <v>0</v>
      </c>
      <c r="N24">
        <f t="shared" si="149"/>
        <v>0</v>
      </c>
      <c r="Q24">
        <f t="shared" si="150"/>
        <v>0</v>
      </c>
      <c r="AC24">
        <f t="shared" si="151"/>
        <v>0</v>
      </c>
      <c r="AD24">
        <f t="shared" si="152"/>
        <v>0</v>
      </c>
      <c r="AE24">
        <f t="shared" si="153"/>
        <v>0</v>
      </c>
      <c r="AF24">
        <f t="shared" si="154"/>
        <v>0</v>
      </c>
      <c r="AI24">
        <f t="shared" si="155"/>
        <v>0</v>
      </c>
      <c r="AL24">
        <f t="shared" si="156"/>
        <v>0</v>
      </c>
      <c r="AO24">
        <f t="shared" si="157"/>
        <v>0</v>
      </c>
      <c r="AR24">
        <f t="shared" si="158"/>
        <v>0</v>
      </c>
      <c r="AU24">
        <f t="shared" si="159"/>
        <v>0</v>
      </c>
      <c r="BG24">
        <f t="shared" si="160"/>
        <v>0</v>
      </c>
      <c r="BH24">
        <f t="shared" si="161"/>
        <v>0</v>
      </c>
      <c r="BI24">
        <f t="shared" si="52"/>
        <v>0</v>
      </c>
      <c r="BJ24">
        <f t="shared" si="53"/>
        <v>0</v>
      </c>
      <c r="BM24">
        <f t="shared" si="162"/>
        <v>0</v>
      </c>
      <c r="BP24">
        <f t="shared" si="163"/>
        <v>0</v>
      </c>
      <c r="BS24">
        <f t="shared" si="164"/>
        <v>0</v>
      </c>
      <c r="BV24">
        <f t="shared" si="165"/>
        <v>0</v>
      </c>
      <c r="BY24">
        <f t="shared" si="166"/>
        <v>0</v>
      </c>
      <c r="CB24">
        <f t="shared" si="167"/>
        <v>0</v>
      </c>
      <c r="CC24">
        <f t="shared" si="168"/>
        <v>0</v>
      </c>
      <c r="CD24">
        <f t="shared" si="54"/>
        <v>0</v>
      </c>
      <c r="CE24">
        <f t="shared" si="55"/>
        <v>0</v>
      </c>
      <c r="CH24">
        <f t="shared" si="169"/>
        <v>0</v>
      </c>
      <c r="CK24">
        <f t="shared" si="170"/>
        <v>0</v>
      </c>
      <c r="CN24">
        <f t="shared" si="171"/>
        <v>0</v>
      </c>
      <c r="CQ24">
        <f t="shared" si="172"/>
        <v>0</v>
      </c>
      <c r="CT24">
        <f t="shared" si="173"/>
        <v>0</v>
      </c>
      <c r="CW24">
        <f t="shared" si="174"/>
        <v>0</v>
      </c>
      <c r="CX24">
        <f t="shared" si="175"/>
        <v>0</v>
      </c>
      <c r="CY24">
        <f t="shared" si="56"/>
        <v>0</v>
      </c>
      <c r="CZ24">
        <f t="shared" si="57"/>
        <v>0</v>
      </c>
      <c r="DA24">
        <f t="shared" si="8"/>
        <v>0</v>
      </c>
      <c r="DB24">
        <f t="shared" si="9"/>
        <v>0</v>
      </c>
      <c r="DC24">
        <f t="shared" si="10"/>
        <v>0</v>
      </c>
      <c r="DD24">
        <f t="shared" si="11"/>
        <v>0</v>
      </c>
      <c r="DE24">
        <f t="shared" si="12"/>
        <v>0</v>
      </c>
      <c r="DF24">
        <f t="shared" si="13"/>
        <v>0</v>
      </c>
      <c r="DG24">
        <f t="shared" si="14"/>
        <v>0</v>
      </c>
      <c r="DH24">
        <f t="shared" si="15"/>
        <v>0</v>
      </c>
      <c r="DI24">
        <f t="shared" si="16"/>
        <v>0</v>
      </c>
      <c r="DJ24">
        <f t="shared" si="17"/>
        <v>0</v>
      </c>
      <c r="DK24">
        <f t="shared" si="18"/>
        <v>0</v>
      </c>
      <c r="DL24">
        <f t="shared" si="19"/>
        <v>0</v>
      </c>
      <c r="DM24">
        <f t="shared" si="20"/>
        <v>0</v>
      </c>
      <c r="DN24">
        <f t="shared" si="21"/>
        <v>0</v>
      </c>
      <c r="DO24">
        <f t="shared" si="22"/>
        <v>0</v>
      </c>
      <c r="DP24">
        <f t="shared" si="23"/>
        <v>0</v>
      </c>
      <c r="DQ24">
        <f t="shared" si="24"/>
        <v>0</v>
      </c>
      <c r="DR24">
        <f t="shared" si="25"/>
        <v>0</v>
      </c>
      <c r="DS24">
        <f t="shared" si="26"/>
        <v>0</v>
      </c>
      <c r="DT24">
        <f t="shared" si="27"/>
        <v>0</v>
      </c>
      <c r="DU24">
        <f t="shared" si="28"/>
        <v>0</v>
      </c>
      <c r="DV24">
        <f t="shared" si="29"/>
        <v>0</v>
      </c>
      <c r="DW24">
        <f t="shared" si="30"/>
        <v>0</v>
      </c>
      <c r="DX24">
        <f t="shared" si="31"/>
        <v>0</v>
      </c>
      <c r="DY24">
        <f t="shared" si="32"/>
        <v>0</v>
      </c>
      <c r="DZ24">
        <f t="shared" si="33"/>
        <v>0</v>
      </c>
      <c r="EA24">
        <f t="shared" si="34"/>
        <v>0</v>
      </c>
      <c r="EB24">
        <f t="shared" si="35"/>
        <v>0</v>
      </c>
      <c r="EC24">
        <f t="shared" si="36"/>
        <v>0</v>
      </c>
      <c r="ED24">
        <f t="shared" si="37"/>
        <v>0</v>
      </c>
      <c r="EE24">
        <f t="shared" si="38"/>
        <v>0</v>
      </c>
      <c r="EF24">
        <f t="shared" si="39"/>
        <v>0</v>
      </c>
      <c r="EG24">
        <f t="shared" si="40"/>
        <v>0</v>
      </c>
      <c r="EH24">
        <f t="shared" si="41"/>
        <v>0</v>
      </c>
      <c r="EI24">
        <f t="shared" si="42"/>
        <v>0</v>
      </c>
      <c r="EJ24">
        <f t="shared" si="43"/>
        <v>0</v>
      </c>
      <c r="EK24">
        <f t="shared" si="44"/>
        <v>0</v>
      </c>
      <c r="EL24">
        <f t="shared" si="45"/>
        <v>0</v>
      </c>
      <c r="EM24">
        <f t="shared" si="46"/>
        <v>0</v>
      </c>
      <c r="EN24">
        <f t="shared" si="47"/>
        <v>0</v>
      </c>
      <c r="EO24">
        <f t="shared" si="48"/>
        <v>0</v>
      </c>
      <c r="EP24">
        <f t="shared" si="49"/>
        <v>0</v>
      </c>
    </row>
    <row r="25" spans="1:146">
      <c r="A25" s="94">
        <v>15</v>
      </c>
      <c r="B25" s="118" t="s">
        <v>150</v>
      </c>
      <c r="C25">
        <f>1293+187</f>
        <v>1480</v>
      </c>
      <c r="D25">
        <f>1060+153</f>
        <v>1213</v>
      </c>
      <c r="E25">
        <f>+C25+D25</f>
        <v>2693</v>
      </c>
      <c r="F25">
        <f>369+44</f>
        <v>413</v>
      </c>
      <c r="G25">
        <f>346+33</f>
        <v>379</v>
      </c>
      <c r="H25">
        <f>+F25+G25</f>
        <v>792</v>
      </c>
      <c r="I25">
        <v>44</v>
      </c>
      <c r="J25">
        <v>27</v>
      </c>
      <c r="K25">
        <f>I25+J25</f>
        <v>71</v>
      </c>
      <c r="L25">
        <f>191+22</f>
        <v>213</v>
      </c>
      <c r="M25">
        <f>199+25</f>
        <v>224</v>
      </c>
      <c r="N25">
        <f>+L25+M25</f>
        <v>437</v>
      </c>
      <c r="Q25">
        <f>+O25+P25</f>
        <v>0</v>
      </c>
      <c r="R25">
        <v>36</v>
      </c>
      <c r="S25">
        <v>30</v>
      </c>
      <c r="T25">
        <v>66</v>
      </c>
      <c r="U25">
        <v>98</v>
      </c>
      <c r="V25">
        <v>57</v>
      </c>
      <c r="W25">
        <f>U25+V25</f>
        <v>155</v>
      </c>
      <c r="AC25">
        <f>+AA25+AB25</f>
        <v>0</v>
      </c>
      <c r="AD25">
        <f>+C25+F25+I25+L25+O25+AA25</f>
        <v>2150</v>
      </c>
      <c r="AE25">
        <f>+D25+G25+J25+M25+P25+AB25</f>
        <v>1843</v>
      </c>
      <c r="AF25">
        <f>+E25+H25+K25+N25+Q25+AC25</f>
        <v>3993</v>
      </c>
      <c r="AG25">
        <f>655+108</f>
        <v>763</v>
      </c>
      <c r="AH25">
        <f>652+92</f>
        <v>744</v>
      </c>
      <c r="AI25">
        <f>+AG25+AH25</f>
        <v>1507</v>
      </c>
      <c r="AJ25">
        <f>246+27</f>
        <v>273</v>
      </c>
      <c r="AK25">
        <f>273+23</f>
        <v>296</v>
      </c>
      <c r="AL25">
        <f>+AJ25+AK25</f>
        <v>569</v>
      </c>
      <c r="AM25">
        <v>20</v>
      </c>
      <c r="AN25">
        <v>18</v>
      </c>
      <c r="AO25">
        <f>+AM25+AN25</f>
        <v>38</v>
      </c>
      <c r="AP25">
        <f>155+13</f>
        <v>168</v>
      </c>
      <c r="AQ25">
        <f>159+11</f>
        <v>170</v>
      </c>
      <c r="AR25">
        <f>+AP25+AQ25</f>
        <v>338</v>
      </c>
      <c r="AU25">
        <f>+AS25+AT25</f>
        <v>0</v>
      </c>
      <c r="AV25">
        <v>20</v>
      </c>
      <c r="AW25">
        <v>15</v>
      </c>
      <c r="AX25">
        <f>AV25+AW25</f>
        <v>35</v>
      </c>
      <c r="AY25">
        <v>58</v>
      </c>
      <c r="AZ25">
        <v>40</v>
      </c>
      <c r="BA25">
        <f>AY25+AZ25</f>
        <v>98</v>
      </c>
      <c r="BG25">
        <f>+BE25+BF25</f>
        <v>0</v>
      </c>
      <c r="BH25">
        <f>+AG25+AJ25+AM25+AP25+AS25+BE25</f>
        <v>1224</v>
      </c>
      <c r="BI25">
        <f>+AH25+AK25+AN25+AQ25+AT25+BF25</f>
        <v>1228</v>
      </c>
      <c r="BJ25">
        <f>+AI25+AL25+AO25+AR25+AU25+BG25</f>
        <v>2452</v>
      </c>
      <c r="BM25">
        <f>+BK25+BL25</f>
        <v>0</v>
      </c>
      <c r="BP25">
        <f>+BN25+BO25</f>
        <v>0</v>
      </c>
      <c r="BS25">
        <f>+BQ25+BR25</f>
        <v>0</v>
      </c>
      <c r="BV25">
        <f>+BT25+BU25</f>
        <v>0</v>
      </c>
      <c r="BY25">
        <f>+BW25+BX25</f>
        <v>0</v>
      </c>
      <c r="CB25">
        <f>+BZ25+CA25</f>
        <v>0</v>
      </c>
      <c r="CC25">
        <f>+BK25+BN25+BQ25+BT25+BW25+BZ25</f>
        <v>0</v>
      </c>
      <c r="CD25">
        <f>+BL25+BO25+BR25+BU25+BX25+CA25</f>
        <v>0</v>
      </c>
      <c r="CE25">
        <f>+BM25+BP25+BS25+BV25+BY25+CB25</f>
        <v>0</v>
      </c>
      <c r="CH25">
        <f>+CF25+CG25</f>
        <v>0</v>
      </c>
      <c r="CK25">
        <f>+CI25+CJ25</f>
        <v>0</v>
      </c>
      <c r="CN25">
        <f>+CL25+CM25</f>
        <v>0</v>
      </c>
      <c r="CQ25">
        <f>+CO25+CP25</f>
        <v>0</v>
      </c>
      <c r="CT25">
        <f>+CR25+CS25</f>
        <v>0</v>
      </c>
      <c r="CW25">
        <f>+CU25+CV25</f>
        <v>0</v>
      </c>
      <c r="CX25">
        <f>+CF25+CI25+CL25+CO25+CR25+CU25</f>
        <v>0</v>
      </c>
      <c r="CY25">
        <f>+CG25+CJ25+CM25+CP25+CS25+CV25</f>
        <v>0</v>
      </c>
      <c r="CZ25">
        <f>+CH25+CK25+CN25+CQ25+CT25+CW25</f>
        <v>0</v>
      </c>
      <c r="DA25">
        <f t="shared" ref="DA25:DO25" si="176">+C25+BK25</f>
        <v>1480</v>
      </c>
      <c r="DB25">
        <f t="shared" si="176"/>
        <v>1213</v>
      </c>
      <c r="DC25">
        <f t="shared" si="176"/>
        <v>2693</v>
      </c>
      <c r="DD25">
        <f t="shared" si="176"/>
        <v>413</v>
      </c>
      <c r="DE25">
        <f t="shared" si="176"/>
        <v>379</v>
      </c>
      <c r="DF25">
        <f t="shared" si="176"/>
        <v>792</v>
      </c>
      <c r="DG25">
        <f t="shared" si="176"/>
        <v>44</v>
      </c>
      <c r="DH25">
        <f t="shared" si="176"/>
        <v>27</v>
      </c>
      <c r="DI25">
        <f t="shared" si="176"/>
        <v>71</v>
      </c>
      <c r="DJ25">
        <f t="shared" si="176"/>
        <v>213</v>
      </c>
      <c r="DK25">
        <f t="shared" si="176"/>
        <v>224</v>
      </c>
      <c r="DL25">
        <f t="shared" si="176"/>
        <v>437</v>
      </c>
      <c r="DM25">
        <f t="shared" si="176"/>
        <v>0</v>
      </c>
      <c r="DN25">
        <f t="shared" si="176"/>
        <v>0</v>
      </c>
      <c r="DO25">
        <f t="shared" si="176"/>
        <v>0</v>
      </c>
      <c r="DP25">
        <f t="shared" ref="DP25:EJ25" si="177">+AA25+BZ25</f>
        <v>0</v>
      </c>
      <c r="DQ25">
        <f t="shared" si="177"/>
        <v>0</v>
      </c>
      <c r="DR25">
        <f t="shared" si="177"/>
        <v>0</v>
      </c>
      <c r="DS25">
        <f t="shared" si="177"/>
        <v>2150</v>
      </c>
      <c r="DT25">
        <f t="shared" si="177"/>
        <v>1843</v>
      </c>
      <c r="DU25">
        <f t="shared" si="177"/>
        <v>3993</v>
      </c>
      <c r="DV25">
        <f t="shared" si="177"/>
        <v>763</v>
      </c>
      <c r="DW25">
        <f t="shared" si="177"/>
        <v>744</v>
      </c>
      <c r="DX25">
        <f t="shared" si="177"/>
        <v>1507</v>
      </c>
      <c r="DY25">
        <f t="shared" si="177"/>
        <v>273</v>
      </c>
      <c r="DZ25">
        <f t="shared" si="177"/>
        <v>296</v>
      </c>
      <c r="EA25">
        <f t="shared" si="177"/>
        <v>569</v>
      </c>
      <c r="EB25">
        <f t="shared" si="177"/>
        <v>20</v>
      </c>
      <c r="EC25">
        <f t="shared" si="177"/>
        <v>18</v>
      </c>
      <c r="ED25">
        <f t="shared" si="177"/>
        <v>38</v>
      </c>
      <c r="EE25">
        <f t="shared" si="177"/>
        <v>168</v>
      </c>
      <c r="EF25">
        <f t="shared" si="177"/>
        <v>170</v>
      </c>
      <c r="EG25">
        <f t="shared" si="177"/>
        <v>338</v>
      </c>
      <c r="EH25">
        <f t="shared" si="177"/>
        <v>0</v>
      </c>
      <c r="EI25">
        <f t="shared" si="177"/>
        <v>0</v>
      </c>
      <c r="EJ25">
        <f t="shared" si="177"/>
        <v>0</v>
      </c>
      <c r="EK25">
        <f t="shared" ref="EK25:EP25" si="178">+BE25+CU25</f>
        <v>0</v>
      </c>
      <c r="EL25">
        <f t="shared" si="178"/>
        <v>0</v>
      </c>
      <c r="EM25">
        <f t="shared" si="178"/>
        <v>0</v>
      </c>
      <c r="EN25">
        <f t="shared" si="178"/>
        <v>1224</v>
      </c>
      <c r="EO25">
        <f t="shared" si="178"/>
        <v>1228</v>
      </c>
      <c r="EP25">
        <f t="shared" si="178"/>
        <v>2452</v>
      </c>
    </row>
    <row r="26" spans="1:146">
      <c r="A26" s="94">
        <v>16</v>
      </c>
      <c r="B26" s="118" t="s">
        <v>151</v>
      </c>
      <c r="E26">
        <f t="shared" si="146"/>
        <v>0</v>
      </c>
      <c r="H26">
        <f t="shared" si="147"/>
        <v>0</v>
      </c>
      <c r="K26">
        <f t="shared" si="148"/>
        <v>0</v>
      </c>
      <c r="N26">
        <f t="shared" si="149"/>
        <v>0</v>
      </c>
      <c r="Q26">
        <f t="shared" si="150"/>
        <v>0</v>
      </c>
      <c r="AC26">
        <f t="shared" si="151"/>
        <v>0</v>
      </c>
      <c r="AD26">
        <f t="shared" si="152"/>
        <v>0</v>
      </c>
      <c r="AE26">
        <f t="shared" si="153"/>
        <v>0</v>
      </c>
      <c r="AF26">
        <f t="shared" si="154"/>
        <v>0</v>
      </c>
      <c r="AI26">
        <f t="shared" si="155"/>
        <v>0</v>
      </c>
      <c r="AL26">
        <f t="shared" si="156"/>
        <v>0</v>
      </c>
      <c r="AO26">
        <f t="shared" si="157"/>
        <v>0</v>
      </c>
      <c r="AR26">
        <f t="shared" si="158"/>
        <v>0</v>
      </c>
      <c r="AU26">
        <f t="shared" si="159"/>
        <v>0</v>
      </c>
      <c r="BG26">
        <f t="shared" si="160"/>
        <v>0</v>
      </c>
      <c r="BH26">
        <f t="shared" si="161"/>
        <v>0</v>
      </c>
      <c r="BI26">
        <f t="shared" si="52"/>
        <v>0</v>
      </c>
      <c r="BJ26">
        <f t="shared" si="53"/>
        <v>0</v>
      </c>
      <c r="BM26">
        <f t="shared" si="162"/>
        <v>0</v>
      </c>
      <c r="BP26">
        <f t="shared" si="163"/>
        <v>0</v>
      </c>
      <c r="BS26">
        <f t="shared" si="164"/>
        <v>0</v>
      </c>
      <c r="BV26">
        <f t="shared" si="165"/>
        <v>0</v>
      </c>
      <c r="BY26">
        <f t="shared" si="166"/>
        <v>0</v>
      </c>
      <c r="CB26">
        <f t="shared" si="167"/>
        <v>0</v>
      </c>
      <c r="CC26">
        <f t="shared" si="168"/>
        <v>0</v>
      </c>
      <c r="CD26">
        <f t="shared" si="54"/>
        <v>0</v>
      </c>
      <c r="CE26">
        <f t="shared" si="55"/>
        <v>0</v>
      </c>
      <c r="CH26">
        <f t="shared" si="169"/>
        <v>0</v>
      </c>
      <c r="CK26">
        <f t="shared" si="170"/>
        <v>0</v>
      </c>
      <c r="CN26">
        <f t="shared" si="171"/>
        <v>0</v>
      </c>
      <c r="CQ26">
        <f t="shared" si="172"/>
        <v>0</v>
      </c>
      <c r="CT26">
        <f t="shared" si="173"/>
        <v>0</v>
      </c>
      <c r="CW26">
        <f t="shared" si="174"/>
        <v>0</v>
      </c>
      <c r="CX26">
        <f t="shared" si="175"/>
        <v>0</v>
      </c>
      <c r="CY26">
        <f t="shared" si="56"/>
        <v>0</v>
      </c>
      <c r="CZ26">
        <f t="shared" si="57"/>
        <v>0</v>
      </c>
      <c r="DA26">
        <f t="shared" si="8"/>
        <v>0</v>
      </c>
      <c r="DB26">
        <f t="shared" si="9"/>
        <v>0</v>
      </c>
      <c r="DC26">
        <f t="shared" si="10"/>
        <v>0</v>
      </c>
      <c r="DD26">
        <f t="shared" si="11"/>
        <v>0</v>
      </c>
      <c r="DE26">
        <f t="shared" si="12"/>
        <v>0</v>
      </c>
      <c r="DF26">
        <f t="shared" si="13"/>
        <v>0</v>
      </c>
      <c r="DG26">
        <f t="shared" si="14"/>
        <v>0</v>
      </c>
      <c r="DH26">
        <f t="shared" si="15"/>
        <v>0</v>
      </c>
      <c r="DI26">
        <f t="shared" si="16"/>
        <v>0</v>
      </c>
      <c r="DJ26">
        <f t="shared" si="17"/>
        <v>0</v>
      </c>
      <c r="DK26">
        <f t="shared" si="18"/>
        <v>0</v>
      </c>
      <c r="DL26">
        <f t="shared" si="19"/>
        <v>0</v>
      </c>
      <c r="DM26">
        <f t="shared" si="20"/>
        <v>0</v>
      </c>
      <c r="DN26">
        <f t="shared" si="21"/>
        <v>0</v>
      </c>
      <c r="DO26">
        <f t="shared" si="22"/>
        <v>0</v>
      </c>
      <c r="DP26">
        <f t="shared" si="23"/>
        <v>0</v>
      </c>
      <c r="DQ26">
        <f t="shared" si="24"/>
        <v>0</v>
      </c>
      <c r="DR26">
        <f t="shared" si="25"/>
        <v>0</v>
      </c>
      <c r="DS26">
        <f t="shared" si="26"/>
        <v>0</v>
      </c>
      <c r="DT26">
        <f t="shared" si="27"/>
        <v>0</v>
      </c>
      <c r="DU26">
        <f t="shared" si="28"/>
        <v>0</v>
      </c>
      <c r="DV26">
        <f t="shared" si="29"/>
        <v>0</v>
      </c>
      <c r="DW26">
        <f t="shared" si="30"/>
        <v>0</v>
      </c>
      <c r="DX26">
        <f t="shared" si="31"/>
        <v>0</v>
      </c>
      <c r="DY26">
        <f t="shared" si="32"/>
        <v>0</v>
      </c>
      <c r="DZ26">
        <f t="shared" si="33"/>
        <v>0</v>
      </c>
      <c r="EA26">
        <f t="shared" si="34"/>
        <v>0</v>
      </c>
      <c r="EB26">
        <f t="shared" si="35"/>
        <v>0</v>
      </c>
      <c r="EC26">
        <f t="shared" si="36"/>
        <v>0</v>
      </c>
      <c r="ED26">
        <f t="shared" si="37"/>
        <v>0</v>
      </c>
      <c r="EE26">
        <f t="shared" si="38"/>
        <v>0</v>
      </c>
      <c r="EF26">
        <f t="shared" si="39"/>
        <v>0</v>
      </c>
      <c r="EG26">
        <f t="shared" si="40"/>
        <v>0</v>
      </c>
      <c r="EH26">
        <f t="shared" si="41"/>
        <v>0</v>
      </c>
      <c r="EI26">
        <f t="shared" si="42"/>
        <v>0</v>
      </c>
      <c r="EJ26">
        <f t="shared" si="43"/>
        <v>0</v>
      </c>
      <c r="EK26">
        <f t="shared" si="44"/>
        <v>0</v>
      </c>
      <c r="EL26">
        <f t="shared" si="45"/>
        <v>0</v>
      </c>
      <c r="EM26">
        <f t="shared" si="46"/>
        <v>0</v>
      </c>
      <c r="EN26">
        <f t="shared" si="47"/>
        <v>0</v>
      </c>
      <c r="EO26">
        <f t="shared" si="48"/>
        <v>0</v>
      </c>
      <c r="EP26">
        <f t="shared" si="49"/>
        <v>0</v>
      </c>
    </row>
    <row r="27" spans="1:146">
      <c r="A27" s="94">
        <v>17</v>
      </c>
      <c r="B27" s="118" t="s">
        <v>152</v>
      </c>
      <c r="C27">
        <v>21618</v>
      </c>
      <c r="D27">
        <v>26339</v>
      </c>
      <c r="E27">
        <f t="shared" si="146"/>
        <v>47957</v>
      </c>
      <c r="F27">
        <v>121</v>
      </c>
      <c r="G27">
        <v>103</v>
      </c>
      <c r="H27">
        <f t="shared" si="147"/>
        <v>224</v>
      </c>
      <c r="I27">
        <v>6369</v>
      </c>
      <c r="J27">
        <v>7767</v>
      </c>
      <c r="K27">
        <f t="shared" si="148"/>
        <v>14136</v>
      </c>
      <c r="N27">
        <f t="shared" si="149"/>
        <v>0</v>
      </c>
      <c r="Q27">
        <f t="shared" si="150"/>
        <v>0</v>
      </c>
      <c r="AC27">
        <f t="shared" si="151"/>
        <v>0</v>
      </c>
      <c r="AD27">
        <f t="shared" si="152"/>
        <v>28108</v>
      </c>
      <c r="AE27">
        <f t="shared" si="153"/>
        <v>34209</v>
      </c>
      <c r="AF27">
        <f t="shared" si="154"/>
        <v>62317</v>
      </c>
      <c r="AG27">
        <v>14249</v>
      </c>
      <c r="AH27">
        <v>16551</v>
      </c>
      <c r="AI27">
        <f t="shared" si="155"/>
        <v>30800</v>
      </c>
      <c r="AJ27">
        <v>75</v>
      </c>
      <c r="AK27">
        <v>71</v>
      </c>
      <c r="AL27">
        <f t="shared" si="156"/>
        <v>146</v>
      </c>
      <c r="AM27">
        <v>4253</v>
      </c>
      <c r="AN27">
        <v>5441</v>
      </c>
      <c r="AO27">
        <f t="shared" si="157"/>
        <v>9694</v>
      </c>
      <c r="AR27">
        <f t="shared" si="158"/>
        <v>0</v>
      </c>
      <c r="AU27">
        <f t="shared" si="159"/>
        <v>0</v>
      </c>
      <c r="BG27">
        <f t="shared" si="160"/>
        <v>0</v>
      </c>
      <c r="BH27">
        <f t="shared" si="161"/>
        <v>18577</v>
      </c>
      <c r="BI27">
        <f t="shared" si="52"/>
        <v>22063</v>
      </c>
      <c r="BJ27">
        <f t="shared" si="53"/>
        <v>40640</v>
      </c>
      <c r="BK27">
        <v>854</v>
      </c>
      <c r="BL27">
        <v>666</v>
      </c>
      <c r="BM27">
        <f t="shared" si="162"/>
        <v>1520</v>
      </c>
      <c r="BN27">
        <v>2</v>
      </c>
      <c r="BO27">
        <v>2</v>
      </c>
      <c r="BP27">
        <f t="shared" si="163"/>
        <v>4</v>
      </c>
      <c r="BQ27">
        <v>404</v>
      </c>
      <c r="BR27">
        <v>368</v>
      </c>
      <c r="BS27">
        <f t="shared" si="164"/>
        <v>772</v>
      </c>
      <c r="BV27">
        <f t="shared" si="165"/>
        <v>0</v>
      </c>
      <c r="BY27">
        <f t="shared" si="166"/>
        <v>0</v>
      </c>
      <c r="CB27">
        <f t="shared" si="167"/>
        <v>0</v>
      </c>
      <c r="CC27">
        <f t="shared" si="168"/>
        <v>1260</v>
      </c>
      <c r="CD27">
        <f t="shared" si="54"/>
        <v>1036</v>
      </c>
      <c r="CE27">
        <f t="shared" si="55"/>
        <v>2296</v>
      </c>
      <c r="CF27">
        <v>602</v>
      </c>
      <c r="CG27">
        <v>533</v>
      </c>
      <c r="CH27">
        <f t="shared" si="169"/>
        <v>1135</v>
      </c>
      <c r="CI27">
        <v>2</v>
      </c>
      <c r="CJ27">
        <v>1</v>
      </c>
      <c r="CK27">
        <f t="shared" si="170"/>
        <v>3</v>
      </c>
      <c r="CL27">
        <v>273</v>
      </c>
      <c r="CM27">
        <v>255</v>
      </c>
      <c r="CN27">
        <f t="shared" si="171"/>
        <v>528</v>
      </c>
      <c r="CQ27">
        <f t="shared" si="172"/>
        <v>0</v>
      </c>
      <c r="CT27">
        <f t="shared" si="173"/>
        <v>0</v>
      </c>
      <c r="CW27">
        <f t="shared" si="174"/>
        <v>0</v>
      </c>
      <c r="CX27">
        <f t="shared" si="175"/>
        <v>877</v>
      </c>
      <c r="CY27">
        <f t="shared" si="56"/>
        <v>789</v>
      </c>
      <c r="CZ27">
        <f t="shared" si="57"/>
        <v>1666</v>
      </c>
      <c r="DA27">
        <f t="shared" si="8"/>
        <v>22472</v>
      </c>
      <c r="DB27">
        <f t="shared" si="9"/>
        <v>27005</v>
      </c>
      <c r="DC27">
        <f t="shared" si="10"/>
        <v>49477</v>
      </c>
      <c r="DD27">
        <f t="shared" si="11"/>
        <v>123</v>
      </c>
      <c r="DE27">
        <f t="shared" si="12"/>
        <v>105</v>
      </c>
      <c r="DF27">
        <f t="shared" si="13"/>
        <v>228</v>
      </c>
      <c r="DG27">
        <f t="shared" si="14"/>
        <v>6773</v>
      </c>
      <c r="DH27">
        <f t="shared" si="15"/>
        <v>8135</v>
      </c>
      <c r="DI27">
        <f t="shared" si="16"/>
        <v>14908</v>
      </c>
      <c r="DJ27">
        <f t="shared" si="17"/>
        <v>0</v>
      </c>
      <c r="DK27">
        <f t="shared" si="18"/>
        <v>0</v>
      </c>
      <c r="DL27">
        <f t="shared" si="19"/>
        <v>0</v>
      </c>
      <c r="DM27">
        <f t="shared" si="20"/>
        <v>0</v>
      </c>
      <c r="DN27">
        <f t="shared" si="21"/>
        <v>0</v>
      </c>
      <c r="DO27">
        <f t="shared" si="22"/>
        <v>0</v>
      </c>
      <c r="DP27">
        <f t="shared" si="23"/>
        <v>0</v>
      </c>
      <c r="DQ27">
        <f t="shared" si="24"/>
        <v>0</v>
      </c>
      <c r="DR27">
        <f t="shared" si="25"/>
        <v>0</v>
      </c>
      <c r="DS27">
        <f t="shared" si="26"/>
        <v>29368</v>
      </c>
      <c r="DT27">
        <f t="shared" si="27"/>
        <v>35245</v>
      </c>
      <c r="DU27">
        <f t="shared" si="28"/>
        <v>64613</v>
      </c>
      <c r="DV27">
        <f t="shared" si="29"/>
        <v>14851</v>
      </c>
      <c r="DW27">
        <f t="shared" si="30"/>
        <v>17084</v>
      </c>
      <c r="DX27">
        <f t="shared" si="31"/>
        <v>31935</v>
      </c>
      <c r="DY27">
        <f t="shared" si="32"/>
        <v>77</v>
      </c>
      <c r="DZ27">
        <f t="shared" si="33"/>
        <v>72</v>
      </c>
      <c r="EA27">
        <f t="shared" si="34"/>
        <v>149</v>
      </c>
      <c r="EB27">
        <f t="shared" si="35"/>
        <v>4526</v>
      </c>
      <c r="EC27">
        <f t="shared" si="36"/>
        <v>5696</v>
      </c>
      <c r="ED27">
        <f t="shared" si="37"/>
        <v>10222</v>
      </c>
      <c r="EE27">
        <f t="shared" si="38"/>
        <v>0</v>
      </c>
      <c r="EF27">
        <f t="shared" si="39"/>
        <v>0</v>
      </c>
      <c r="EG27">
        <f t="shared" si="40"/>
        <v>0</v>
      </c>
      <c r="EH27">
        <f t="shared" si="41"/>
        <v>0</v>
      </c>
      <c r="EI27">
        <f t="shared" si="42"/>
        <v>0</v>
      </c>
      <c r="EJ27">
        <f t="shared" si="43"/>
        <v>0</v>
      </c>
      <c r="EK27">
        <f t="shared" si="44"/>
        <v>0</v>
      </c>
      <c r="EL27">
        <f t="shared" si="45"/>
        <v>0</v>
      </c>
      <c r="EM27">
        <f t="shared" si="46"/>
        <v>0</v>
      </c>
      <c r="EN27">
        <f t="shared" si="47"/>
        <v>19454</v>
      </c>
      <c r="EO27">
        <f t="shared" si="48"/>
        <v>22852</v>
      </c>
      <c r="EP27">
        <f t="shared" si="49"/>
        <v>42306</v>
      </c>
    </row>
    <row r="28" spans="1:146" ht="28.5">
      <c r="A28" s="94">
        <v>18</v>
      </c>
      <c r="B28" s="385" t="s">
        <v>153</v>
      </c>
      <c r="C28">
        <v>51871</v>
      </c>
      <c r="D28">
        <v>57011</v>
      </c>
      <c r="E28">
        <f t="shared" si="146"/>
        <v>108882</v>
      </c>
      <c r="H28">
        <f t="shared" si="147"/>
        <v>0</v>
      </c>
      <c r="I28">
        <v>43</v>
      </c>
      <c r="J28">
        <v>23</v>
      </c>
      <c r="K28">
        <f t="shared" si="148"/>
        <v>66</v>
      </c>
      <c r="L28">
        <v>27</v>
      </c>
      <c r="M28">
        <v>29</v>
      </c>
      <c r="N28">
        <f t="shared" si="149"/>
        <v>56</v>
      </c>
      <c r="O28">
        <v>13</v>
      </c>
      <c r="P28">
        <v>18</v>
      </c>
      <c r="Q28">
        <f t="shared" si="150"/>
        <v>31</v>
      </c>
      <c r="AA28">
        <v>2099</v>
      </c>
      <c r="AB28">
        <v>2039</v>
      </c>
      <c r="AC28">
        <f t="shared" si="151"/>
        <v>4138</v>
      </c>
      <c r="AD28">
        <f t="shared" si="152"/>
        <v>54053</v>
      </c>
      <c r="AE28">
        <f t="shared" si="153"/>
        <v>59120</v>
      </c>
      <c r="AF28">
        <f t="shared" si="154"/>
        <v>113173</v>
      </c>
      <c r="AG28">
        <v>41071</v>
      </c>
      <c r="AH28">
        <v>49342</v>
      </c>
      <c r="AI28">
        <f t="shared" si="155"/>
        <v>90413</v>
      </c>
      <c r="AL28">
        <f t="shared" si="156"/>
        <v>0</v>
      </c>
      <c r="AM28">
        <v>33</v>
      </c>
      <c r="AN28">
        <v>21</v>
      </c>
      <c r="AO28">
        <f t="shared" si="157"/>
        <v>54</v>
      </c>
      <c r="AP28">
        <v>22</v>
      </c>
      <c r="AQ28">
        <v>27</v>
      </c>
      <c r="AR28">
        <f t="shared" si="158"/>
        <v>49</v>
      </c>
      <c r="AS28">
        <v>13</v>
      </c>
      <c r="AT28">
        <v>15</v>
      </c>
      <c r="AU28">
        <f t="shared" si="159"/>
        <v>28</v>
      </c>
      <c r="BE28">
        <v>1964</v>
      </c>
      <c r="BF28">
        <v>1974</v>
      </c>
      <c r="BG28">
        <f t="shared" si="160"/>
        <v>3938</v>
      </c>
      <c r="BH28">
        <f t="shared" si="161"/>
        <v>43103</v>
      </c>
      <c r="BI28">
        <f t="shared" si="52"/>
        <v>51379</v>
      </c>
      <c r="BJ28">
        <f t="shared" si="53"/>
        <v>94482</v>
      </c>
      <c r="BK28">
        <v>4485</v>
      </c>
      <c r="BL28">
        <v>977</v>
      </c>
      <c r="BM28">
        <f t="shared" si="162"/>
        <v>5462</v>
      </c>
      <c r="BP28">
        <f t="shared" si="163"/>
        <v>0</v>
      </c>
      <c r="BQ28">
        <v>1</v>
      </c>
      <c r="BR28">
        <v>1</v>
      </c>
      <c r="BS28">
        <f t="shared" si="164"/>
        <v>2</v>
      </c>
      <c r="BT28">
        <v>1</v>
      </c>
      <c r="BU28">
        <v>1</v>
      </c>
      <c r="BV28">
        <f t="shared" si="165"/>
        <v>2</v>
      </c>
      <c r="BW28">
        <v>1</v>
      </c>
      <c r="BX28">
        <v>0</v>
      </c>
      <c r="BY28">
        <f t="shared" si="166"/>
        <v>1</v>
      </c>
      <c r="BZ28">
        <v>26</v>
      </c>
      <c r="CA28">
        <v>4</v>
      </c>
      <c r="CB28">
        <f t="shared" si="167"/>
        <v>30</v>
      </c>
      <c r="CC28">
        <f t="shared" si="168"/>
        <v>4514</v>
      </c>
      <c r="CD28">
        <f t="shared" si="54"/>
        <v>983</v>
      </c>
      <c r="CE28">
        <f t="shared" si="55"/>
        <v>5497</v>
      </c>
      <c r="CF28">
        <v>484</v>
      </c>
      <c r="CG28">
        <v>204</v>
      </c>
      <c r="CH28">
        <f t="shared" si="169"/>
        <v>688</v>
      </c>
      <c r="CK28">
        <f t="shared" si="170"/>
        <v>0</v>
      </c>
      <c r="CL28">
        <v>0</v>
      </c>
      <c r="CM28">
        <v>0</v>
      </c>
      <c r="CN28">
        <f t="shared" si="171"/>
        <v>0</v>
      </c>
      <c r="CO28">
        <v>0</v>
      </c>
      <c r="CP28">
        <v>1</v>
      </c>
      <c r="CQ28">
        <f t="shared" si="172"/>
        <v>1</v>
      </c>
      <c r="CR28">
        <v>1</v>
      </c>
      <c r="CS28">
        <v>0</v>
      </c>
      <c r="CT28">
        <f t="shared" si="173"/>
        <v>1</v>
      </c>
      <c r="CU28">
        <v>2</v>
      </c>
      <c r="CV28">
        <v>1</v>
      </c>
      <c r="CW28">
        <f t="shared" si="174"/>
        <v>3</v>
      </c>
      <c r="CX28">
        <f t="shared" si="175"/>
        <v>487</v>
      </c>
      <c r="CY28">
        <f t="shared" si="56"/>
        <v>206</v>
      </c>
      <c r="CZ28">
        <f t="shared" si="57"/>
        <v>693</v>
      </c>
      <c r="DA28">
        <f t="shared" si="8"/>
        <v>56356</v>
      </c>
      <c r="DB28">
        <f t="shared" si="9"/>
        <v>57988</v>
      </c>
      <c r="DC28">
        <f t="shared" si="10"/>
        <v>114344</v>
      </c>
      <c r="DD28">
        <f t="shared" si="11"/>
        <v>0</v>
      </c>
      <c r="DE28">
        <f t="shared" si="12"/>
        <v>0</v>
      </c>
      <c r="DF28">
        <f t="shared" si="13"/>
        <v>0</v>
      </c>
      <c r="DG28">
        <f t="shared" si="14"/>
        <v>44</v>
      </c>
      <c r="DH28">
        <f t="shared" si="15"/>
        <v>24</v>
      </c>
      <c r="DI28">
        <f t="shared" si="16"/>
        <v>68</v>
      </c>
      <c r="DJ28">
        <f t="shared" si="17"/>
        <v>28</v>
      </c>
      <c r="DK28">
        <f t="shared" si="18"/>
        <v>30</v>
      </c>
      <c r="DL28">
        <f t="shared" si="19"/>
        <v>58</v>
      </c>
      <c r="DM28">
        <f t="shared" si="20"/>
        <v>14</v>
      </c>
      <c r="DN28">
        <f t="shared" si="21"/>
        <v>18</v>
      </c>
      <c r="DO28">
        <f t="shared" si="22"/>
        <v>32</v>
      </c>
      <c r="DP28">
        <f t="shared" si="23"/>
        <v>2125</v>
      </c>
      <c r="DQ28">
        <f t="shared" si="24"/>
        <v>2043</v>
      </c>
      <c r="DR28">
        <f t="shared" si="25"/>
        <v>4168</v>
      </c>
      <c r="DS28">
        <f t="shared" si="26"/>
        <v>58567</v>
      </c>
      <c r="DT28">
        <f t="shared" si="27"/>
        <v>60103</v>
      </c>
      <c r="DU28">
        <f t="shared" si="28"/>
        <v>118670</v>
      </c>
      <c r="DV28">
        <f t="shared" si="29"/>
        <v>41555</v>
      </c>
      <c r="DW28">
        <f t="shared" si="30"/>
        <v>49546</v>
      </c>
      <c r="DX28">
        <f t="shared" si="31"/>
        <v>91101</v>
      </c>
      <c r="DY28">
        <f t="shared" si="32"/>
        <v>0</v>
      </c>
      <c r="DZ28">
        <f t="shared" si="33"/>
        <v>0</v>
      </c>
      <c r="EA28">
        <f t="shared" si="34"/>
        <v>0</v>
      </c>
      <c r="EB28">
        <f t="shared" si="35"/>
        <v>33</v>
      </c>
      <c r="EC28">
        <f t="shared" si="36"/>
        <v>21</v>
      </c>
      <c r="ED28">
        <f t="shared" si="37"/>
        <v>54</v>
      </c>
      <c r="EE28">
        <f t="shared" si="38"/>
        <v>22</v>
      </c>
      <c r="EF28">
        <f t="shared" si="39"/>
        <v>28</v>
      </c>
      <c r="EG28">
        <f t="shared" si="40"/>
        <v>50</v>
      </c>
      <c r="EH28">
        <f t="shared" si="41"/>
        <v>14</v>
      </c>
      <c r="EI28">
        <f t="shared" si="42"/>
        <v>15</v>
      </c>
      <c r="EJ28">
        <f t="shared" si="43"/>
        <v>29</v>
      </c>
      <c r="EK28">
        <f t="shared" si="44"/>
        <v>1966</v>
      </c>
      <c r="EL28">
        <f t="shared" si="45"/>
        <v>1975</v>
      </c>
      <c r="EM28">
        <f t="shared" si="46"/>
        <v>3941</v>
      </c>
      <c r="EN28">
        <f t="shared" si="47"/>
        <v>43590</v>
      </c>
      <c r="EO28">
        <f t="shared" si="48"/>
        <v>51585</v>
      </c>
      <c r="EP28">
        <f t="shared" si="49"/>
        <v>95175</v>
      </c>
    </row>
    <row r="29" spans="1:146" ht="28.5">
      <c r="A29" s="94">
        <v>19</v>
      </c>
      <c r="B29" s="118" t="s">
        <v>154</v>
      </c>
      <c r="E29">
        <f t="shared" si="146"/>
        <v>0</v>
      </c>
      <c r="H29">
        <f t="shared" si="147"/>
        <v>0</v>
      </c>
      <c r="K29">
        <f t="shared" si="148"/>
        <v>0</v>
      </c>
      <c r="N29">
        <f t="shared" si="149"/>
        <v>0</v>
      </c>
      <c r="Q29">
        <f t="shared" si="150"/>
        <v>0</v>
      </c>
      <c r="AC29">
        <f t="shared" si="151"/>
        <v>0</v>
      </c>
      <c r="AD29">
        <f t="shared" si="152"/>
        <v>0</v>
      </c>
      <c r="AE29">
        <f t="shared" si="153"/>
        <v>0</v>
      </c>
      <c r="AF29">
        <f t="shared" si="154"/>
        <v>0</v>
      </c>
      <c r="AI29">
        <f t="shared" si="155"/>
        <v>0</v>
      </c>
      <c r="AL29">
        <f t="shared" si="156"/>
        <v>0</v>
      </c>
      <c r="AO29">
        <f t="shared" si="157"/>
        <v>0</v>
      </c>
      <c r="AR29">
        <f t="shared" si="158"/>
        <v>0</v>
      </c>
      <c r="AU29">
        <f t="shared" si="159"/>
        <v>0</v>
      </c>
      <c r="BG29">
        <f t="shared" si="160"/>
        <v>0</v>
      </c>
      <c r="BH29">
        <f t="shared" si="161"/>
        <v>0</v>
      </c>
      <c r="BI29">
        <f t="shared" si="52"/>
        <v>0</v>
      </c>
      <c r="BJ29">
        <f t="shared" si="53"/>
        <v>0</v>
      </c>
      <c r="BM29">
        <f t="shared" si="162"/>
        <v>0</v>
      </c>
      <c r="BP29">
        <f t="shared" si="163"/>
        <v>0</v>
      </c>
      <c r="BS29">
        <f t="shared" si="164"/>
        <v>0</v>
      </c>
      <c r="BV29">
        <f t="shared" si="165"/>
        <v>0</v>
      </c>
      <c r="BY29">
        <f t="shared" si="166"/>
        <v>0</v>
      </c>
      <c r="CB29">
        <f t="shared" si="167"/>
        <v>0</v>
      </c>
      <c r="CC29">
        <f t="shared" si="168"/>
        <v>0</v>
      </c>
      <c r="CD29">
        <f t="shared" si="54"/>
        <v>0</v>
      </c>
      <c r="CE29">
        <f t="shared" si="55"/>
        <v>0</v>
      </c>
      <c r="CH29">
        <f t="shared" si="169"/>
        <v>0</v>
      </c>
      <c r="CK29">
        <f t="shared" si="170"/>
        <v>0</v>
      </c>
      <c r="CN29">
        <f t="shared" si="171"/>
        <v>0</v>
      </c>
      <c r="CQ29">
        <f t="shared" si="172"/>
        <v>0</v>
      </c>
      <c r="CT29">
        <f t="shared" si="173"/>
        <v>0</v>
      </c>
      <c r="CW29">
        <f t="shared" si="174"/>
        <v>0</v>
      </c>
      <c r="CX29">
        <f t="shared" si="175"/>
        <v>0</v>
      </c>
      <c r="CY29">
        <f t="shared" si="56"/>
        <v>0</v>
      </c>
      <c r="CZ29">
        <f t="shared" si="57"/>
        <v>0</v>
      </c>
      <c r="DA29">
        <f t="shared" si="8"/>
        <v>0</v>
      </c>
      <c r="DB29">
        <f t="shared" si="9"/>
        <v>0</v>
      </c>
      <c r="DC29">
        <f t="shared" si="10"/>
        <v>0</v>
      </c>
      <c r="DD29">
        <f t="shared" si="11"/>
        <v>0</v>
      </c>
      <c r="DE29">
        <f t="shared" si="12"/>
        <v>0</v>
      </c>
      <c r="DF29">
        <f t="shared" si="13"/>
        <v>0</v>
      </c>
      <c r="DG29">
        <f t="shared" si="14"/>
        <v>0</v>
      </c>
      <c r="DH29">
        <f t="shared" si="15"/>
        <v>0</v>
      </c>
      <c r="DI29">
        <f t="shared" si="16"/>
        <v>0</v>
      </c>
      <c r="DJ29">
        <f t="shared" si="17"/>
        <v>0</v>
      </c>
      <c r="DK29">
        <f t="shared" si="18"/>
        <v>0</v>
      </c>
      <c r="DL29">
        <f t="shared" si="19"/>
        <v>0</v>
      </c>
      <c r="DM29">
        <f t="shared" si="20"/>
        <v>0</v>
      </c>
      <c r="DN29">
        <f t="shared" si="21"/>
        <v>0</v>
      </c>
      <c r="DO29">
        <f t="shared" si="22"/>
        <v>0</v>
      </c>
      <c r="DP29">
        <f t="shared" si="23"/>
        <v>0</v>
      </c>
      <c r="DQ29">
        <f t="shared" si="24"/>
        <v>0</v>
      </c>
      <c r="DR29">
        <f t="shared" si="25"/>
        <v>0</v>
      </c>
      <c r="DS29">
        <f t="shared" si="26"/>
        <v>0</v>
      </c>
      <c r="DT29">
        <f t="shared" si="27"/>
        <v>0</v>
      </c>
      <c r="DU29">
        <f t="shared" si="28"/>
        <v>0</v>
      </c>
      <c r="DV29">
        <f t="shared" si="29"/>
        <v>0</v>
      </c>
      <c r="DW29">
        <f t="shared" si="30"/>
        <v>0</v>
      </c>
      <c r="DX29">
        <f t="shared" si="31"/>
        <v>0</v>
      </c>
      <c r="DY29">
        <f t="shared" si="32"/>
        <v>0</v>
      </c>
      <c r="DZ29">
        <f t="shared" si="33"/>
        <v>0</v>
      </c>
      <c r="EA29">
        <f t="shared" si="34"/>
        <v>0</v>
      </c>
      <c r="EB29">
        <f t="shared" si="35"/>
        <v>0</v>
      </c>
      <c r="EC29">
        <f t="shared" si="36"/>
        <v>0</v>
      </c>
      <c r="ED29">
        <f t="shared" si="37"/>
        <v>0</v>
      </c>
      <c r="EE29">
        <f t="shared" si="38"/>
        <v>0</v>
      </c>
      <c r="EF29">
        <f t="shared" si="39"/>
        <v>0</v>
      </c>
      <c r="EG29">
        <f t="shared" si="40"/>
        <v>0</v>
      </c>
      <c r="EH29">
        <f t="shared" si="41"/>
        <v>0</v>
      </c>
      <c r="EI29">
        <f t="shared" si="42"/>
        <v>0</v>
      </c>
      <c r="EJ29">
        <f t="shared" si="43"/>
        <v>0</v>
      </c>
      <c r="EK29">
        <f t="shared" si="44"/>
        <v>0</v>
      </c>
      <c r="EL29">
        <f t="shared" si="45"/>
        <v>0</v>
      </c>
      <c r="EM29">
        <f t="shared" si="46"/>
        <v>0</v>
      </c>
      <c r="EN29">
        <f t="shared" si="47"/>
        <v>0</v>
      </c>
      <c r="EO29">
        <f t="shared" si="48"/>
        <v>0</v>
      </c>
      <c r="EP29">
        <f t="shared" si="49"/>
        <v>0</v>
      </c>
    </row>
    <row r="30" spans="1:146" ht="28.5">
      <c r="A30" s="94">
        <v>20</v>
      </c>
      <c r="B30" s="118" t="s">
        <v>380</v>
      </c>
      <c r="C30">
        <v>116516</v>
      </c>
      <c r="D30">
        <v>97309</v>
      </c>
      <c r="E30">
        <f t="shared" si="146"/>
        <v>213825</v>
      </c>
      <c r="F30">
        <v>887</v>
      </c>
      <c r="G30">
        <v>707</v>
      </c>
      <c r="H30">
        <f t="shared" si="147"/>
        <v>1594</v>
      </c>
      <c r="I30">
        <v>5197</v>
      </c>
      <c r="J30">
        <v>5040</v>
      </c>
      <c r="K30">
        <f t="shared" si="148"/>
        <v>10237</v>
      </c>
      <c r="L30">
        <v>39182</v>
      </c>
      <c r="M30">
        <v>31868</v>
      </c>
      <c r="N30">
        <f t="shared" si="149"/>
        <v>71050</v>
      </c>
      <c r="O30">
        <v>57</v>
      </c>
      <c r="P30">
        <v>73</v>
      </c>
      <c r="Q30">
        <f t="shared" si="150"/>
        <v>130</v>
      </c>
      <c r="AA30">
        <v>6479</v>
      </c>
      <c r="AB30">
        <v>5622</v>
      </c>
      <c r="AC30">
        <f>AA30+AB30</f>
        <v>12101</v>
      </c>
      <c r="AD30">
        <f t="shared" si="152"/>
        <v>168318</v>
      </c>
      <c r="AE30">
        <f t="shared" si="153"/>
        <v>140619</v>
      </c>
      <c r="AF30">
        <f t="shared" si="154"/>
        <v>308937</v>
      </c>
      <c r="AG30">
        <v>86829</v>
      </c>
      <c r="AH30">
        <v>86494</v>
      </c>
      <c r="AI30">
        <f t="shared" si="155"/>
        <v>173323</v>
      </c>
      <c r="AJ30">
        <v>737</v>
      </c>
      <c r="AK30">
        <v>660</v>
      </c>
      <c r="AL30">
        <f t="shared" si="156"/>
        <v>1397</v>
      </c>
      <c r="AM30">
        <v>4600</v>
      </c>
      <c r="AN30">
        <v>4720</v>
      </c>
      <c r="AO30">
        <f t="shared" si="157"/>
        <v>9320</v>
      </c>
      <c r="AP30">
        <v>28480</v>
      </c>
      <c r="AQ30">
        <v>25876</v>
      </c>
      <c r="AR30">
        <f t="shared" si="158"/>
        <v>54356</v>
      </c>
      <c r="AS30">
        <v>51</v>
      </c>
      <c r="AT30">
        <v>69</v>
      </c>
      <c r="AU30">
        <f t="shared" si="159"/>
        <v>120</v>
      </c>
      <c r="BE30">
        <v>6149</v>
      </c>
      <c r="BF30">
        <v>5457</v>
      </c>
      <c r="BG30">
        <f>BE30+BF30</f>
        <v>11606</v>
      </c>
      <c r="BH30">
        <f t="shared" si="161"/>
        <v>126846</v>
      </c>
      <c r="BI30">
        <f t="shared" si="52"/>
        <v>123276</v>
      </c>
      <c r="BJ30">
        <f t="shared" si="53"/>
        <v>250122</v>
      </c>
      <c r="BK30">
        <v>9212</v>
      </c>
      <c r="BL30">
        <v>3178</v>
      </c>
      <c r="BM30">
        <f t="shared" si="162"/>
        <v>12390</v>
      </c>
      <c r="BN30">
        <v>108</v>
      </c>
      <c r="BO30">
        <v>48</v>
      </c>
      <c r="BP30">
        <f t="shared" si="163"/>
        <v>156</v>
      </c>
      <c r="BQ30">
        <v>866</v>
      </c>
      <c r="BR30">
        <v>347</v>
      </c>
      <c r="BS30">
        <f t="shared" si="164"/>
        <v>1213</v>
      </c>
      <c r="BT30">
        <v>1611</v>
      </c>
      <c r="BU30">
        <v>766</v>
      </c>
      <c r="BV30">
        <f t="shared" si="165"/>
        <v>2377</v>
      </c>
      <c r="BW30">
        <v>5</v>
      </c>
      <c r="BX30">
        <v>2</v>
      </c>
      <c r="BY30">
        <f t="shared" si="166"/>
        <v>7</v>
      </c>
      <c r="BZ30">
        <v>225</v>
      </c>
      <c r="CA30">
        <v>87</v>
      </c>
      <c r="CB30">
        <f t="shared" si="167"/>
        <v>312</v>
      </c>
      <c r="CC30">
        <f t="shared" si="168"/>
        <v>12027</v>
      </c>
      <c r="CD30">
        <f t="shared" si="54"/>
        <v>4428</v>
      </c>
      <c r="CE30">
        <f t="shared" si="55"/>
        <v>16455</v>
      </c>
      <c r="CF30">
        <v>3692</v>
      </c>
      <c r="CG30">
        <v>1811</v>
      </c>
      <c r="CH30">
        <f t="shared" si="169"/>
        <v>5503</v>
      </c>
      <c r="CI30">
        <v>56</v>
      </c>
      <c r="CJ30">
        <v>22</v>
      </c>
      <c r="CK30">
        <f t="shared" si="170"/>
        <v>78</v>
      </c>
      <c r="CL30">
        <v>393</v>
      </c>
      <c r="CM30">
        <v>172</v>
      </c>
      <c r="CN30">
        <f t="shared" si="171"/>
        <v>565</v>
      </c>
      <c r="CO30">
        <v>556</v>
      </c>
      <c r="CP30">
        <v>311</v>
      </c>
      <c r="CQ30">
        <f t="shared" si="172"/>
        <v>867</v>
      </c>
      <c r="CR30">
        <v>4</v>
      </c>
      <c r="CS30">
        <v>1</v>
      </c>
      <c r="CT30">
        <f t="shared" si="173"/>
        <v>5</v>
      </c>
      <c r="CU30">
        <v>130</v>
      </c>
      <c r="CV30">
        <v>53</v>
      </c>
      <c r="CW30">
        <f t="shared" si="174"/>
        <v>183</v>
      </c>
      <c r="CX30">
        <f t="shared" si="175"/>
        <v>4831</v>
      </c>
      <c r="CY30">
        <f t="shared" si="56"/>
        <v>2370</v>
      </c>
      <c r="CZ30">
        <f t="shared" si="57"/>
        <v>7201</v>
      </c>
      <c r="DA30">
        <f t="shared" si="8"/>
        <v>125728</v>
      </c>
      <c r="DB30">
        <f t="shared" si="9"/>
        <v>100487</v>
      </c>
      <c r="DC30">
        <f t="shared" si="10"/>
        <v>226215</v>
      </c>
      <c r="DD30">
        <f t="shared" si="11"/>
        <v>995</v>
      </c>
      <c r="DE30">
        <f t="shared" si="12"/>
        <v>755</v>
      </c>
      <c r="DF30">
        <f t="shared" si="13"/>
        <v>1750</v>
      </c>
      <c r="DG30">
        <f t="shared" si="14"/>
        <v>6063</v>
      </c>
      <c r="DH30">
        <f t="shared" si="15"/>
        <v>5387</v>
      </c>
      <c r="DI30">
        <f t="shared" si="16"/>
        <v>11450</v>
      </c>
      <c r="DJ30">
        <f t="shared" si="17"/>
        <v>40793</v>
      </c>
      <c r="DK30">
        <f t="shared" si="18"/>
        <v>32634</v>
      </c>
      <c r="DL30">
        <f t="shared" si="19"/>
        <v>73427</v>
      </c>
      <c r="DM30">
        <f t="shared" si="20"/>
        <v>62</v>
      </c>
      <c r="DN30">
        <f t="shared" si="21"/>
        <v>75</v>
      </c>
      <c r="DO30">
        <f t="shared" si="22"/>
        <v>137</v>
      </c>
      <c r="DP30">
        <f t="shared" si="23"/>
        <v>6704</v>
      </c>
      <c r="DQ30">
        <f t="shared" si="24"/>
        <v>5709</v>
      </c>
      <c r="DR30">
        <f t="shared" si="25"/>
        <v>12413</v>
      </c>
      <c r="DS30">
        <f t="shared" si="26"/>
        <v>180345</v>
      </c>
      <c r="DT30">
        <f t="shared" si="27"/>
        <v>145047</v>
      </c>
      <c r="DU30">
        <f t="shared" si="28"/>
        <v>325392</v>
      </c>
      <c r="DV30">
        <f t="shared" si="29"/>
        <v>90521</v>
      </c>
      <c r="DW30">
        <f t="shared" si="30"/>
        <v>88305</v>
      </c>
      <c r="DX30">
        <f t="shared" si="31"/>
        <v>178826</v>
      </c>
      <c r="DY30">
        <f t="shared" si="32"/>
        <v>793</v>
      </c>
      <c r="DZ30">
        <f t="shared" si="33"/>
        <v>682</v>
      </c>
      <c r="EA30">
        <f t="shared" si="34"/>
        <v>1475</v>
      </c>
      <c r="EB30">
        <f t="shared" si="35"/>
        <v>4993</v>
      </c>
      <c r="EC30">
        <f t="shared" si="36"/>
        <v>4892</v>
      </c>
      <c r="ED30">
        <f t="shared" si="37"/>
        <v>9885</v>
      </c>
      <c r="EE30">
        <f t="shared" si="38"/>
        <v>29036</v>
      </c>
      <c r="EF30">
        <f t="shared" si="39"/>
        <v>26187</v>
      </c>
      <c r="EG30">
        <f t="shared" si="40"/>
        <v>55223</v>
      </c>
      <c r="EH30">
        <f t="shared" si="41"/>
        <v>55</v>
      </c>
      <c r="EI30">
        <f t="shared" si="42"/>
        <v>70</v>
      </c>
      <c r="EJ30">
        <f t="shared" si="43"/>
        <v>125</v>
      </c>
      <c r="EK30">
        <f t="shared" si="44"/>
        <v>6279</v>
      </c>
      <c r="EL30">
        <f t="shared" si="45"/>
        <v>5510</v>
      </c>
      <c r="EM30">
        <f t="shared" si="46"/>
        <v>11789</v>
      </c>
      <c r="EN30">
        <f t="shared" si="47"/>
        <v>131677</v>
      </c>
      <c r="EO30">
        <f t="shared" si="48"/>
        <v>125646</v>
      </c>
      <c r="EP30">
        <f t="shared" si="49"/>
        <v>257323</v>
      </c>
    </row>
    <row r="31" spans="1:146" ht="28.5">
      <c r="A31" s="94">
        <v>21</v>
      </c>
      <c r="B31" s="118" t="s">
        <v>155</v>
      </c>
      <c r="E31">
        <f t="shared" si="146"/>
        <v>0</v>
      </c>
      <c r="H31">
        <f t="shared" si="147"/>
        <v>0</v>
      </c>
      <c r="K31">
        <f t="shared" si="148"/>
        <v>0</v>
      </c>
      <c r="N31">
        <f t="shared" si="149"/>
        <v>0</v>
      </c>
      <c r="Q31">
        <f t="shared" si="150"/>
        <v>0</v>
      </c>
      <c r="AD31">
        <f t="shared" si="152"/>
        <v>0</v>
      </c>
      <c r="AE31">
        <f t="shared" si="153"/>
        <v>0</v>
      </c>
      <c r="AF31">
        <f t="shared" si="154"/>
        <v>0</v>
      </c>
      <c r="AI31">
        <f t="shared" si="155"/>
        <v>0</v>
      </c>
      <c r="AL31">
        <f t="shared" si="156"/>
        <v>0</v>
      </c>
      <c r="AO31">
        <f t="shared" si="157"/>
        <v>0</v>
      </c>
      <c r="AR31">
        <f t="shared" si="158"/>
        <v>0</v>
      </c>
      <c r="AU31">
        <f t="shared" si="159"/>
        <v>0</v>
      </c>
      <c r="BH31">
        <f t="shared" si="161"/>
        <v>0</v>
      </c>
      <c r="BI31">
        <f t="shared" si="52"/>
        <v>0</v>
      </c>
      <c r="BJ31">
        <f t="shared" si="53"/>
        <v>0</v>
      </c>
      <c r="BM31">
        <f t="shared" si="162"/>
        <v>0</v>
      </c>
      <c r="BP31">
        <f t="shared" si="163"/>
        <v>0</v>
      </c>
      <c r="BS31">
        <f t="shared" si="164"/>
        <v>0</v>
      </c>
      <c r="BV31">
        <f t="shared" si="165"/>
        <v>0</v>
      </c>
      <c r="BY31">
        <f t="shared" si="166"/>
        <v>0</v>
      </c>
      <c r="CB31">
        <f t="shared" si="167"/>
        <v>0</v>
      </c>
      <c r="CC31">
        <f t="shared" si="168"/>
        <v>0</v>
      </c>
      <c r="CD31">
        <f t="shared" si="54"/>
        <v>0</v>
      </c>
      <c r="CE31">
        <f t="shared" si="55"/>
        <v>0</v>
      </c>
      <c r="CH31">
        <f t="shared" si="169"/>
        <v>0</v>
      </c>
      <c r="CK31">
        <f t="shared" si="170"/>
        <v>0</v>
      </c>
      <c r="CN31">
        <f t="shared" si="171"/>
        <v>0</v>
      </c>
      <c r="CQ31">
        <f t="shared" si="172"/>
        <v>0</v>
      </c>
      <c r="CT31">
        <f t="shared" si="173"/>
        <v>0</v>
      </c>
      <c r="CX31">
        <f t="shared" si="175"/>
        <v>0</v>
      </c>
      <c r="CY31">
        <f t="shared" si="56"/>
        <v>0</v>
      </c>
      <c r="CZ31">
        <f t="shared" si="57"/>
        <v>0</v>
      </c>
      <c r="DA31">
        <f t="shared" si="8"/>
        <v>0</v>
      </c>
      <c r="DB31">
        <f t="shared" si="9"/>
        <v>0</v>
      </c>
      <c r="DC31">
        <f t="shared" si="10"/>
        <v>0</v>
      </c>
      <c r="DD31">
        <f t="shared" si="11"/>
        <v>0</v>
      </c>
      <c r="DE31">
        <f t="shared" si="12"/>
        <v>0</v>
      </c>
      <c r="DF31">
        <f t="shared" si="13"/>
        <v>0</v>
      </c>
      <c r="DG31">
        <f t="shared" si="14"/>
        <v>0</v>
      </c>
      <c r="DH31">
        <f t="shared" si="15"/>
        <v>0</v>
      </c>
      <c r="DI31">
        <f t="shared" si="16"/>
        <v>0</v>
      </c>
      <c r="DJ31">
        <f t="shared" si="17"/>
        <v>0</v>
      </c>
      <c r="DK31">
        <f t="shared" si="18"/>
        <v>0</v>
      </c>
      <c r="DL31">
        <f t="shared" si="19"/>
        <v>0</v>
      </c>
      <c r="DM31">
        <f t="shared" si="20"/>
        <v>0</v>
      </c>
      <c r="DN31">
        <f t="shared" si="21"/>
        <v>0</v>
      </c>
      <c r="DO31">
        <f t="shared" si="22"/>
        <v>0</v>
      </c>
      <c r="DP31">
        <f t="shared" si="23"/>
        <v>0</v>
      </c>
      <c r="DQ31">
        <f t="shared" si="24"/>
        <v>0</v>
      </c>
      <c r="DR31">
        <f t="shared" si="25"/>
        <v>0</v>
      </c>
      <c r="DS31">
        <f t="shared" si="26"/>
        <v>0</v>
      </c>
      <c r="DT31">
        <f t="shared" si="27"/>
        <v>0</v>
      </c>
      <c r="DU31">
        <f t="shared" si="28"/>
        <v>0</v>
      </c>
      <c r="DV31">
        <f t="shared" si="29"/>
        <v>0</v>
      </c>
      <c r="DW31">
        <f t="shared" si="30"/>
        <v>0</v>
      </c>
      <c r="DX31">
        <f t="shared" si="31"/>
        <v>0</v>
      </c>
      <c r="DY31">
        <f t="shared" si="32"/>
        <v>0</v>
      </c>
      <c r="DZ31">
        <f t="shared" si="33"/>
        <v>0</v>
      </c>
      <c r="EA31">
        <f t="shared" si="34"/>
        <v>0</v>
      </c>
      <c r="EB31">
        <f t="shared" si="35"/>
        <v>0</v>
      </c>
      <c r="EC31">
        <f t="shared" si="36"/>
        <v>0</v>
      </c>
      <c r="ED31">
        <f t="shared" si="37"/>
        <v>0</v>
      </c>
      <c r="EE31">
        <f t="shared" si="38"/>
        <v>0</v>
      </c>
      <c r="EF31">
        <f t="shared" si="39"/>
        <v>0</v>
      </c>
      <c r="EG31">
        <f t="shared" si="40"/>
        <v>0</v>
      </c>
      <c r="EH31">
        <f t="shared" si="41"/>
        <v>0</v>
      </c>
      <c r="EI31">
        <f t="shared" si="42"/>
        <v>0</v>
      </c>
      <c r="EJ31">
        <f t="shared" si="43"/>
        <v>0</v>
      </c>
      <c r="EK31">
        <f t="shared" si="44"/>
        <v>0</v>
      </c>
      <c r="EL31">
        <f t="shared" si="45"/>
        <v>0</v>
      </c>
      <c r="EM31">
        <f t="shared" si="46"/>
        <v>0</v>
      </c>
      <c r="EN31">
        <f t="shared" si="47"/>
        <v>0</v>
      </c>
      <c r="EO31">
        <f t="shared" si="48"/>
        <v>0</v>
      </c>
      <c r="EP31">
        <f t="shared" si="49"/>
        <v>0</v>
      </c>
    </row>
    <row r="32" spans="1:146" ht="28.5">
      <c r="A32" s="94">
        <v>22</v>
      </c>
      <c r="B32" s="385" t="s">
        <v>141</v>
      </c>
      <c r="C32">
        <v>1442</v>
      </c>
      <c r="D32">
        <v>1131</v>
      </c>
      <c r="E32">
        <f t="shared" si="146"/>
        <v>2573</v>
      </c>
      <c r="H32">
        <f t="shared" si="147"/>
        <v>0</v>
      </c>
      <c r="I32">
        <v>5817</v>
      </c>
      <c r="J32">
        <v>5930</v>
      </c>
      <c r="K32">
        <f t="shared" si="148"/>
        <v>11747</v>
      </c>
      <c r="N32">
        <f t="shared" si="149"/>
        <v>0</v>
      </c>
      <c r="Q32">
        <f t="shared" si="150"/>
        <v>0</v>
      </c>
      <c r="AD32">
        <f t="shared" si="152"/>
        <v>7259</v>
      </c>
      <c r="AE32">
        <f t="shared" si="153"/>
        <v>7061</v>
      </c>
      <c r="AF32">
        <f t="shared" si="154"/>
        <v>14320</v>
      </c>
      <c r="AG32">
        <v>1168</v>
      </c>
      <c r="AH32">
        <v>917</v>
      </c>
      <c r="AI32">
        <f t="shared" si="155"/>
        <v>2085</v>
      </c>
      <c r="AL32">
        <f t="shared" si="156"/>
        <v>0</v>
      </c>
      <c r="AM32">
        <v>4574</v>
      </c>
      <c r="AN32">
        <v>4424</v>
      </c>
      <c r="AO32">
        <f t="shared" si="157"/>
        <v>8998</v>
      </c>
      <c r="AR32">
        <f t="shared" si="158"/>
        <v>0</v>
      </c>
      <c r="AU32">
        <f t="shared" si="159"/>
        <v>0</v>
      </c>
      <c r="BH32">
        <f t="shared" si="161"/>
        <v>5742</v>
      </c>
      <c r="BI32">
        <f t="shared" si="52"/>
        <v>5341</v>
      </c>
      <c r="BJ32">
        <f t="shared" si="53"/>
        <v>11083</v>
      </c>
      <c r="BM32">
        <f t="shared" si="162"/>
        <v>0</v>
      </c>
      <c r="BP32">
        <f t="shared" si="163"/>
        <v>0</v>
      </c>
      <c r="BQ32">
        <v>4</v>
      </c>
      <c r="BR32">
        <v>1</v>
      </c>
      <c r="BS32">
        <f t="shared" si="164"/>
        <v>5</v>
      </c>
      <c r="BV32">
        <f t="shared" si="165"/>
        <v>0</v>
      </c>
      <c r="BY32">
        <f t="shared" si="166"/>
        <v>0</v>
      </c>
      <c r="CB32">
        <f t="shared" si="167"/>
        <v>0</v>
      </c>
      <c r="CC32">
        <f t="shared" si="168"/>
        <v>4</v>
      </c>
      <c r="CD32">
        <f t="shared" si="54"/>
        <v>1</v>
      </c>
      <c r="CE32">
        <f t="shared" si="55"/>
        <v>5</v>
      </c>
      <c r="CH32">
        <f t="shared" si="169"/>
        <v>0</v>
      </c>
      <c r="CK32">
        <f t="shared" si="170"/>
        <v>0</v>
      </c>
      <c r="CL32">
        <v>3</v>
      </c>
      <c r="CM32">
        <v>0</v>
      </c>
      <c r="CN32">
        <f t="shared" si="171"/>
        <v>3</v>
      </c>
      <c r="CQ32">
        <f t="shared" si="172"/>
        <v>0</v>
      </c>
      <c r="CT32">
        <f t="shared" si="173"/>
        <v>0</v>
      </c>
      <c r="CX32">
        <f t="shared" si="175"/>
        <v>3</v>
      </c>
      <c r="CY32">
        <f t="shared" si="56"/>
        <v>0</v>
      </c>
      <c r="CZ32">
        <f t="shared" si="57"/>
        <v>3</v>
      </c>
      <c r="DA32">
        <f t="shared" si="8"/>
        <v>1442</v>
      </c>
      <c r="DB32">
        <f t="shared" si="9"/>
        <v>1131</v>
      </c>
      <c r="DC32">
        <f t="shared" si="10"/>
        <v>2573</v>
      </c>
      <c r="DD32">
        <f t="shared" si="11"/>
        <v>0</v>
      </c>
      <c r="DE32">
        <f t="shared" si="12"/>
        <v>0</v>
      </c>
      <c r="DF32">
        <f t="shared" si="13"/>
        <v>0</v>
      </c>
      <c r="DG32">
        <f t="shared" si="14"/>
        <v>5821</v>
      </c>
      <c r="DH32">
        <f t="shared" si="15"/>
        <v>5931</v>
      </c>
      <c r="DI32">
        <f t="shared" si="16"/>
        <v>11752</v>
      </c>
      <c r="DJ32">
        <f t="shared" si="17"/>
        <v>0</v>
      </c>
      <c r="DK32">
        <f t="shared" si="18"/>
        <v>0</v>
      </c>
      <c r="DL32">
        <f t="shared" si="19"/>
        <v>0</v>
      </c>
      <c r="DM32">
        <f t="shared" si="20"/>
        <v>0</v>
      </c>
      <c r="DN32">
        <f t="shared" si="21"/>
        <v>0</v>
      </c>
      <c r="DO32">
        <f t="shared" si="22"/>
        <v>0</v>
      </c>
      <c r="DP32">
        <f t="shared" si="23"/>
        <v>0</v>
      </c>
      <c r="DQ32">
        <f t="shared" si="24"/>
        <v>0</v>
      </c>
      <c r="DR32">
        <f t="shared" si="25"/>
        <v>0</v>
      </c>
      <c r="DS32">
        <f t="shared" si="26"/>
        <v>7263</v>
      </c>
      <c r="DT32">
        <f t="shared" si="27"/>
        <v>7062</v>
      </c>
      <c r="DU32">
        <f t="shared" si="28"/>
        <v>14325</v>
      </c>
      <c r="DV32">
        <f t="shared" si="29"/>
        <v>1168</v>
      </c>
      <c r="DW32">
        <f t="shared" si="30"/>
        <v>917</v>
      </c>
      <c r="DX32">
        <f t="shared" si="31"/>
        <v>2085</v>
      </c>
      <c r="DY32">
        <f t="shared" si="32"/>
        <v>0</v>
      </c>
      <c r="DZ32">
        <f t="shared" si="33"/>
        <v>0</v>
      </c>
      <c r="EA32">
        <f t="shared" si="34"/>
        <v>0</v>
      </c>
      <c r="EB32">
        <f t="shared" si="35"/>
        <v>4577</v>
      </c>
      <c r="EC32">
        <f t="shared" si="36"/>
        <v>4424</v>
      </c>
      <c r="ED32">
        <f t="shared" si="37"/>
        <v>9001</v>
      </c>
      <c r="EE32">
        <f t="shared" si="38"/>
        <v>0</v>
      </c>
      <c r="EF32">
        <f t="shared" si="39"/>
        <v>0</v>
      </c>
      <c r="EG32">
        <f t="shared" si="40"/>
        <v>0</v>
      </c>
      <c r="EH32">
        <f t="shared" si="41"/>
        <v>0</v>
      </c>
      <c r="EI32">
        <f t="shared" si="42"/>
        <v>0</v>
      </c>
      <c r="EJ32">
        <f t="shared" si="43"/>
        <v>0</v>
      </c>
      <c r="EK32">
        <f t="shared" si="44"/>
        <v>0</v>
      </c>
      <c r="EL32">
        <f t="shared" si="45"/>
        <v>0</v>
      </c>
      <c r="EM32">
        <f t="shared" si="46"/>
        <v>0</v>
      </c>
      <c r="EN32">
        <f t="shared" si="47"/>
        <v>5745</v>
      </c>
      <c r="EO32">
        <f t="shared" si="48"/>
        <v>5341</v>
      </c>
      <c r="EP32">
        <f t="shared" si="49"/>
        <v>11086</v>
      </c>
    </row>
    <row r="33" spans="1:146">
      <c r="A33" s="94">
        <v>23</v>
      </c>
      <c r="B33" s="118" t="s">
        <v>158</v>
      </c>
      <c r="E33">
        <f t="shared" si="146"/>
        <v>0</v>
      </c>
      <c r="H33">
        <f t="shared" si="147"/>
        <v>0</v>
      </c>
      <c r="K33">
        <f t="shared" si="148"/>
        <v>0</v>
      </c>
      <c r="N33">
        <f t="shared" si="149"/>
        <v>0</v>
      </c>
      <c r="Q33">
        <f t="shared" si="150"/>
        <v>0</v>
      </c>
      <c r="AD33">
        <f t="shared" si="152"/>
        <v>0</v>
      </c>
      <c r="AE33">
        <f t="shared" si="153"/>
        <v>0</v>
      </c>
      <c r="AF33">
        <f t="shared" si="154"/>
        <v>0</v>
      </c>
      <c r="AI33">
        <f t="shared" si="155"/>
        <v>0</v>
      </c>
      <c r="AL33">
        <f t="shared" si="156"/>
        <v>0</v>
      </c>
      <c r="AO33">
        <f t="shared" si="157"/>
        <v>0</v>
      </c>
      <c r="AR33">
        <f t="shared" si="158"/>
        <v>0</v>
      </c>
      <c r="AU33">
        <f t="shared" si="159"/>
        <v>0</v>
      </c>
      <c r="BH33">
        <f t="shared" si="161"/>
        <v>0</v>
      </c>
      <c r="BI33">
        <f t="shared" si="52"/>
        <v>0</v>
      </c>
      <c r="BJ33">
        <f t="shared" si="53"/>
        <v>0</v>
      </c>
      <c r="BM33">
        <f t="shared" si="162"/>
        <v>0</v>
      </c>
      <c r="BP33">
        <f t="shared" si="163"/>
        <v>0</v>
      </c>
      <c r="BS33">
        <f t="shared" si="164"/>
        <v>0</v>
      </c>
      <c r="BV33">
        <f t="shared" si="165"/>
        <v>0</v>
      </c>
      <c r="BY33">
        <f t="shared" si="166"/>
        <v>0</v>
      </c>
      <c r="CB33">
        <f t="shared" si="167"/>
        <v>0</v>
      </c>
      <c r="CC33">
        <f t="shared" si="168"/>
        <v>0</v>
      </c>
      <c r="CD33">
        <f t="shared" si="54"/>
        <v>0</v>
      </c>
      <c r="CE33">
        <f t="shared" si="55"/>
        <v>0</v>
      </c>
      <c r="CH33">
        <f t="shared" si="169"/>
        <v>0</v>
      </c>
      <c r="CK33">
        <f t="shared" si="170"/>
        <v>0</v>
      </c>
      <c r="CN33">
        <f t="shared" si="171"/>
        <v>0</v>
      </c>
      <c r="CQ33">
        <f t="shared" si="172"/>
        <v>0</v>
      </c>
      <c r="CT33">
        <f t="shared" si="173"/>
        <v>0</v>
      </c>
      <c r="CX33">
        <f t="shared" si="175"/>
        <v>0</v>
      </c>
      <c r="CY33">
        <f t="shared" si="56"/>
        <v>0</v>
      </c>
      <c r="CZ33">
        <f t="shared" si="57"/>
        <v>0</v>
      </c>
      <c r="DA33">
        <f t="shared" si="8"/>
        <v>0</v>
      </c>
      <c r="DB33">
        <f t="shared" si="9"/>
        <v>0</v>
      </c>
      <c r="DC33">
        <f t="shared" si="10"/>
        <v>0</v>
      </c>
      <c r="DD33">
        <f t="shared" si="11"/>
        <v>0</v>
      </c>
      <c r="DE33">
        <f t="shared" si="12"/>
        <v>0</v>
      </c>
      <c r="DF33">
        <f t="shared" si="13"/>
        <v>0</v>
      </c>
      <c r="DG33">
        <f t="shared" si="14"/>
        <v>0</v>
      </c>
      <c r="DH33">
        <f t="shared" si="15"/>
        <v>0</v>
      </c>
      <c r="DI33">
        <f t="shared" si="16"/>
        <v>0</v>
      </c>
      <c r="DJ33">
        <f t="shared" si="17"/>
        <v>0</v>
      </c>
      <c r="DK33">
        <f t="shared" si="18"/>
        <v>0</v>
      </c>
      <c r="DL33">
        <f t="shared" si="19"/>
        <v>0</v>
      </c>
      <c r="DM33">
        <f t="shared" si="20"/>
        <v>0</v>
      </c>
      <c r="DN33">
        <f t="shared" si="21"/>
        <v>0</v>
      </c>
      <c r="DO33">
        <f t="shared" si="22"/>
        <v>0</v>
      </c>
      <c r="DP33">
        <f t="shared" si="23"/>
        <v>0</v>
      </c>
      <c r="DQ33">
        <f t="shared" si="24"/>
        <v>0</v>
      </c>
      <c r="DR33">
        <f t="shared" si="25"/>
        <v>0</v>
      </c>
      <c r="DS33">
        <f t="shared" si="26"/>
        <v>0</v>
      </c>
      <c r="DT33">
        <f t="shared" si="27"/>
        <v>0</v>
      </c>
      <c r="DU33">
        <f t="shared" si="28"/>
        <v>0</v>
      </c>
      <c r="DV33">
        <f t="shared" si="29"/>
        <v>0</v>
      </c>
      <c r="DW33">
        <f t="shared" si="30"/>
        <v>0</v>
      </c>
      <c r="DX33">
        <f t="shared" si="31"/>
        <v>0</v>
      </c>
      <c r="DY33">
        <f t="shared" si="32"/>
        <v>0</v>
      </c>
      <c r="DZ33">
        <f t="shared" si="33"/>
        <v>0</v>
      </c>
      <c r="EA33">
        <f t="shared" si="34"/>
        <v>0</v>
      </c>
      <c r="EB33">
        <f t="shared" si="35"/>
        <v>0</v>
      </c>
      <c r="EC33">
        <f t="shared" si="36"/>
        <v>0</v>
      </c>
      <c r="ED33">
        <f t="shared" si="37"/>
        <v>0</v>
      </c>
      <c r="EE33">
        <f t="shared" si="38"/>
        <v>0</v>
      </c>
      <c r="EF33">
        <f t="shared" si="39"/>
        <v>0</v>
      </c>
      <c r="EG33">
        <f t="shared" si="40"/>
        <v>0</v>
      </c>
      <c r="EH33">
        <f t="shared" si="41"/>
        <v>0</v>
      </c>
      <c r="EI33">
        <f t="shared" si="42"/>
        <v>0</v>
      </c>
      <c r="EJ33">
        <f t="shared" si="43"/>
        <v>0</v>
      </c>
      <c r="EK33">
        <f t="shared" si="44"/>
        <v>0</v>
      </c>
      <c r="EL33">
        <f t="shared" si="45"/>
        <v>0</v>
      </c>
      <c r="EM33">
        <f t="shared" si="46"/>
        <v>0</v>
      </c>
      <c r="EN33">
        <f t="shared" si="47"/>
        <v>0</v>
      </c>
      <c r="EO33">
        <f t="shared" si="48"/>
        <v>0</v>
      </c>
      <c r="EP33">
        <f t="shared" si="49"/>
        <v>0</v>
      </c>
    </row>
    <row r="34" spans="1:146">
      <c r="A34" s="94">
        <v>24</v>
      </c>
      <c r="B34" s="118" t="s">
        <v>159</v>
      </c>
      <c r="E34">
        <f t="shared" si="146"/>
        <v>0</v>
      </c>
      <c r="H34">
        <f t="shared" si="147"/>
        <v>0</v>
      </c>
      <c r="K34">
        <f t="shared" si="148"/>
        <v>0</v>
      </c>
      <c r="N34">
        <f t="shared" si="149"/>
        <v>0</v>
      </c>
      <c r="Q34">
        <f t="shared" si="150"/>
        <v>0</v>
      </c>
      <c r="AD34">
        <f t="shared" si="152"/>
        <v>0</v>
      </c>
      <c r="AE34">
        <f t="shared" si="153"/>
        <v>0</v>
      </c>
      <c r="AF34">
        <f t="shared" si="154"/>
        <v>0</v>
      </c>
      <c r="AI34">
        <f t="shared" si="155"/>
        <v>0</v>
      </c>
      <c r="AL34">
        <f t="shared" si="156"/>
        <v>0</v>
      </c>
      <c r="AO34">
        <f t="shared" si="157"/>
        <v>0</v>
      </c>
      <c r="AR34">
        <f t="shared" si="158"/>
        <v>0</v>
      </c>
      <c r="AU34">
        <f t="shared" si="159"/>
        <v>0</v>
      </c>
      <c r="BH34">
        <f t="shared" si="161"/>
        <v>0</v>
      </c>
      <c r="BI34">
        <f t="shared" si="52"/>
        <v>0</v>
      </c>
      <c r="BJ34">
        <f t="shared" si="53"/>
        <v>0</v>
      </c>
      <c r="BM34">
        <f t="shared" si="162"/>
        <v>0</v>
      </c>
      <c r="BP34">
        <f t="shared" si="163"/>
        <v>0</v>
      </c>
      <c r="BS34">
        <f t="shared" si="164"/>
        <v>0</v>
      </c>
      <c r="BV34">
        <f t="shared" si="165"/>
        <v>0</v>
      </c>
      <c r="BY34">
        <f t="shared" si="166"/>
        <v>0</v>
      </c>
      <c r="CB34">
        <f t="shared" si="167"/>
        <v>0</v>
      </c>
      <c r="CC34">
        <f t="shared" si="168"/>
        <v>0</v>
      </c>
      <c r="CD34">
        <f t="shared" si="54"/>
        <v>0</v>
      </c>
      <c r="CE34">
        <f t="shared" si="55"/>
        <v>0</v>
      </c>
      <c r="CH34">
        <f t="shared" si="169"/>
        <v>0</v>
      </c>
      <c r="CK34">
        <f t="shared" si="170"/>
        <v>0</v>
      </c>
      <c r="CN34">
        <f t="shared" si="171"/>
        <v>0</v>
      </c>
      <c r="CQ34">
        <f t="shared" si="172"/>
        <v>0</v>
      </c>
      <c r="CT34">
        <f t="shared" si="173"/>
        <v>0</v>
      </c>
      <c r="CX34">
        <f t="shared" si="175"/>
        <v>0</v>
      </c>
      <c r="CY34">
        <f t="shared" si="56"/>
        <v>0</v>
      </c>
      <c r="CZ34">
        <f t="shared" si="57"/>
        <v>0</v>
      </c>
      <c r="DA34">
        <f t="shared" si="8"/>
        <v>0</v>
      </c>
      <c r="DB34">
        <f t="shared" si="9"/>
        <v>0</v>
      </c>
      <c r="DC34">
        <f t="shared" si="10"/>
        <v>0</v>
      </c>
      <c r="DD34">
        <f t="shared" si="11"/>
        <v>0</v>
      </c>
      <c r="DE34">
        <f t="shared" si="12"/>
        <v>0</v>
      </c>
      <c r="DF34">
        <f t="shared" si="13"/>
        <v>0</v>
      </c>
      <c r="DG34">
        <f t="shared" si="14"/>
        <v>0</v>
      </c>
      <c r="DH34">
        <f t="shared" si="15"/>
        <v>0</v>
      </c>
      <c r="DI34">
        <f t="shared" si="16"/>
        <v>0</v>
      </c>
      <c r="DJ34">
        <f t="shared" si="17"/>
        <v>0</v>
      </c>
      <c r="DK34">
        <f t="shared" si="18"/>
        <v>0</v>
      </c>
      <c r="DL34">
        <f t="shared" si="19"/>
        <v>0</v>
      </c>
      <c r="DM34">
        <f t="shared" si="20"/>
        <v>0</v>
      </c>
      <c r="DN34">
        <f t="shared" si="21"/>
        <v>0</v>
      </c>
      <c r="DO34">
        <f t="shared" si="22"/>
        <v>0</v>
      </c>
      <c r="DP34">
        <f t="shared" si="23"/>
        <v>0</v>
      </c>
      <c r="DQ34">
        <f t="shared" si="24"/>
        <v>0</v>
      </c>
      <c r="DR34">
        <f t="shared" si="25"/>
        <v>0</v>
      </c>
      <c r="DS34">
        <f t="shared" si="26"/>
        <v>0</v>
      </c>
      <c r="DT34">
        <f t="shared" si="27"/>
        <v>0</v>
      </c>
      <c r="DU34">
        <f t="shared" si="28"/>
        <v>0</v>
      </c>
      <c r="DV34">
        <f t="shared" si="29"/>
        <v>0</v>
      </c>
      <c r="DW34">
        <f t="shared" si="30"/>
        <v>0</v>
      </c>
      <c r="DX34">
        <f t="shared" si="31"/>
        <v>0</v>
      </c>
      <c r="DY34">
        <f t="shared" si="32"/>
        <v>0</v>
      </c>
      <c r="DZ34">
        <f t="shared" si="33"/>
        <v>0</v>
      </c>
      <c r="EA34">
        <f t="shared" si="34"/>
        <v>0</v>
      </c>
      <c r="EB34">
        <f t="shared" si="35"/>
        <v>0</v>
      </c>
      <c r="EC34">
        <f t="shared" si="36"/>
        <v>0</v>
      </c>
      <c r="ED34">
        <f t="shared" si="37"/>
        <v>0</v>
      </c>
      <c r="EE34">
        <f t="shared" si="38"/>
        <v>0</v>
      </c>
      <c r="EF34">
        <f t="shared" si="39"/>
        <v>0</v>
      </c>
      <c r="EG34">
        <f t="shared" si="40"/>
        <v>0</v>
      </c>
      <c r="EH34">
        <f t="shared" si="41"/>
        <v>0</v>
      </c>
      <c r="EI34">
        <f t="shared" si="42"/>
        <v>0</v>
      </c>
      <c r="EJ34">
        <f t="shared" si="43"/>
        <v>0</v>
      </c>
      <c r="EK34">
        <f t="shared" si="44"/>
        <v>0</v>
      </c>
      <c r="EL34">
        <f t="shared" si="45"/>
        <v>0</v>
      </c>
      <c r="EM34">
        <f t="shared" si="46"/>
        <v>0</v>
      </c>
      <c r="EN34">
        <f t="shared" si="47"/>
        <v>0</v>
      </c>
      <c r="EO34">
        <f t="shared" si="48"/>
        <v>0</v>
      </c>
      <c r="EP34">
        <f t="shared" si="49"/>
        <v>0</v>
      </c>
    </row>
    <row r="35" spans="1:146">
      <c r="A35" s="94">
        <v>25</v>
      </c>
      <c r="B35" s="118" t="s">
        <v>160</v>
      </c>
      <c r="E35">
        <f t="shared" si="146"/>
        <v>0</v>
      </c>
      <c r="H35">
        <f t="shared" si="147"/>
        <v>0</v>
      </c>
      <c r="K35">
        <f t="shared" si="148"/>
        <v>0</v>
      </c>
      <c r="N35">
        <f t="shared" si="149"/>
        <v>0</v>
      </c>
      <c r="Q35">
        <f t="shared" si="150"/>
        <v>0</v>
      </c>
      <c r="AD35">
        <f t="shared" si="152"/>
        <v>0</v>
      </c>
      <c r="AE35">
        <f t="shared" si="153"/>
        <v>0</v>
      </c>
      <c r="AF35">
        <f t="shared" si="154"/>
        <v>0</v>
      </c>
      <c r="AI35">
        <f t="shared" si="155"/>
        <v>0</v>
      </c>
      <c r="AL35">
        <f t="shared" si="156"/>
        <v>0</v>
      </c>
      <c r="AO35">
        <f t="shared" si="157"/>
        <v>0</v>
      </c>
      <c r="AR35">
        <f t="shared" si="158"/>
        <v>0</v>
      </c>
      <c r="AU35">
        <f t="shared" si="159"/>
        <v>0</v>
      </c>
      <c r="BH35">
        <f t="shared" si="161"/>
        <v>0</v>
      </c>
      <c r="BI35">
        <f t="shared" si="52"/>
        <v>0</v>
      </c>
      <c r="BJ35">
        <f t="shared" si="53"/>
        <v>0</v>
      </c>
      <c r="BM35">
        <f t="shared" si="162"/>
        <v>0</v>
      </c>
      <c r="BP35">
        <f t="shared" si="163"/>
        <v>0</v>
      </c>
      <c r="BS35">
        <f t="shared" si="164"/>
        <v>0</v>
      </c>
      <c r="BV35">
        <f t="shared" si="165"/>
        <v>0</v>
      </c>
      <c r="BY35">
        <f t="shared" si="166"/>
        <v>0</v>
      </c>
      <c r="CB35">
        <f t="shared" si="167"/>
        <v>0</v>
      </c>
      <c r="CC35">
        <f t="shared" si="168"/>
        <v>0</v>
      </c>
      <c r="CD35">
        <f t="shared" si="54"/>
        <v>0</v>
      </c>
      <c r="CE35">
        <f t="shared" si="55"/>
        <v>0</v>
      </c>
      <c r="CH35">
        <f t="shared" si="169"/>
        <v>0</v>
      </c>
      <c r="CK35">
        <f t="shared" si="170"/>
        <v>0</v>
      </c>
      <c r="CN35">
        <f t="shared" si="171"/>
        <v>0</v>
      </c>
      <c r="CQ35">
        <f t="shared" si="172"/>
        <v>0</v>
      </c>
      <c r="CT35">
        <f t="shared" si="173"/>
        <v>0</v>
      </c>
      <c r="CX35">
        <f t="shared" si="175"/>
        <v>0</v>
      </c>
      <c r="CY35">
        <f t="shared" si="56"/>
        <v>0</v>
      </c>
      <c r="CZ35">
        <f t="shared" si="57"/>
        <v>0</v>
      </c>
      <c r="DA35">
        <f t="shared" si="8"/>
        <v>0</v>
      </c>
      <c r="DB35">
        <f t="shared" si="9"/>
        <v>0</v>
      </c>
      <c r="DC35">
        <f t="shared" si="10"/>
        <v>0</v>
      </c>
      <c r="DD35">
        <f t="shared" si="11"/>
        <v>0</v>
      </c>
      <c r="DE35">
        <f t="shared" si="12"/>
        <v>0</v>
      </c>
      <c r="DF35">
        <f t="shared" si="13"/>
        <v>0</v>
      </c>
      <c r="DG35">
        <f t="shared" si="14"/>
        <v>0</v>
      </c>
      <c r="DH35">
        <f t="shared" si="15"/>
        <v>0</v>
      </c>
      <c r="DI35">
        <f t="shared" si="16"/>
        <v>0</v>
      </c>
      <c r="DJ35">
        <f t="shared" si="17"/>
        <v>0</v>
      </c>
      <c r="DK35">
        <f t="shared" si="18"/>
        <v>0</v>
      </c>
      <c r="DL35">
        <f t="shared" si="19"/>
        <v>0</v>
      </c>
      <c r="DM35">
        <f t="shared" si="20"/>
        <v>0</v>
      </c>
      <c r="DN35">
        <f t="shared" si="21"/>
        <v>0</v>
      </c>
      <c r="DO35">
        <f t="shared" si="22"/>
        <v>0</v>
      </c>
      <c r="DP35">
        <f t="shared" si="23"/>
        <v>0</v>
      </c>
      <c r="DQ35">
        <f t="shared" si="24"/>
        <v>0</v>
      </c>
      <c r="DR35">
        <f t="shared" si="25"/>
        <v>0</v>
      </c>
      <c r="DS35">
        <f t="shared" si="26"/>
        <v>0</v>
      </c>
      <c r="DT35">
        <f t="shared" si="27"/>
        <v>0</v>
      </c>
      <c r="DU35">
        <f t="shared" si="28"/>
        <v>0</v>
      </c>
      <c r="DV35">
        <f t="shared" si="29"/>
        <v>0</v>
      </c>
      <c r="DW35">
        <f t="shared" si="30"/>
        <v>0</v>
      </c>
      <c r="DX35">
        <f t="shared" si="31"/>
        <v>0</v>
      </c>
      <c r="DY35">
        <f t="shared" si="32"/>
        <v>0</v>
      </c>
      <c r="DZ35">
        <f t="shared" si="33"/>
        <v>0</v>
      </c>
      <c r="EA35">
        <f t="shared" si="34"/>
        <v>0</v>
      </c>
      <c r="EB35">
        <f t="shared" si="35"/>
        <v>0</v>
      </c>
      <c r="EC35">
        <f t="shared" si="36"/>
        <v>0</v>
      </c>
      <c r="ED35">
        <f t="shared" si="37"/>
        <v>0</v>
      </c>
      <c r="EE35">
        <f t="shared" si="38"/>
        <v>0</v>
      </c>
      <c r="EF35">
        <f t="shared" si="39"/>
        <v>0</v>
      </c>
      <c r="EG35">
        <f t="shared" si="40"/>
        <v>0</v>
      </c>
      <c r="EH35">
        <f t="shared" si="41"/>
        <v>0</v>
      </c>
      <c r="EI35">
        <f t="shared" si="42"/>
        <v>0</v>
      </c>
      <c r="EJ35">
        <f t="shared" si="43"/>
        <v>0</v>
      </c>
      <c r="EK35">
        <f t="shared" si="44"/>
        <v>0</v>
      </c>
      <c r="EL35">
        <f t="shared" si="45"/>
        <v>0</v>
      </c>
      <c r="EM35">
        <f t="shared" si="46"/>
        <v>0</v>
      </c>
      <c r="EN35">
        <f t="shared" si="47"/>
        <v>0</v>
      </c>
      <c r="EO35">
        <f t="shared" si="48"/>
        <v>0</v>
      </c>
      <c r="EP35">
        <f t="shared" si="49"/>
        <v>0</v>
      </c>
    </row>
    <row r="36" spans="1:146">
      <c r="A36" s="94">
        <v>26</v>
      </c>
      <c r="B36" s="118" t="s">
        <v>142</v>
      </c>
      <c r="E36">
        <f t="shared" si="146"/>
        <v>0</v>
      </c>
      <c r="H36">
        <f t="shared" si="147"/>
        <v>0</v>
      </c>
      <c r="K36">
        <f t="shared" si="148"/>
        <v>0</v>
      </c>
      <c r="N36">
        <f t="shared" si="149"/>
        <v>0</v>
      </c>
      <c r="Q36">
        <f t="shared" si="150"/>
        <v>0</v>
      </c>
      <c r="AD36">
        <f t="shared" si="152"/>
        <v>0</v>
      </c>
      <c r="AE36">
        <f t="shared" si="153"/>
        <v>0</v>
      </c>
      <c r="AF36">
        <f t="shared" si="154"/>
        <v>0</v>
      </c>
      <c r="AI36">
        <f t="shared" si="155"/>
        <v>0</v>
      </c>
      <c r="AL36">
        <f t="shared" si="156"/>
        <v>0</v>
      </c>
      <c r="AO36">
        <f t="shared" si="157"/>
        <v>0</v>
      </c>
      <c r="AR36">
        <f t="shared" si="158"/>
        <v>0</v>
      </c>
      <c r="AU36">
        <f t="shared" si="159"/>
        <v>0</v>
      </c>
      <c r="BH36">
        <f t="shared" si="161"/>
        <v>0</v>
      </c>
      <c r="BI36">
        <f t="shared" si="52"/>
        <v>0</v>
      </c>
      <c r="BJ36">
        <f t="shared" si="53"/>
        <v>0</v>
      </c>
      <c r="BM36">
        <f t="shared" si="162"/>
        <v>0</v>
      </c>
      <c r="BP36">
        <f t="shared" si="163"/>
        <v>0</v>
      </c>
      <c r="BS36">
        <f t="shared" si="164"/>
        <v>0</v>
      </c>
      <c r="BV36">
        <f t="shared" si="165"/>
        <v>0</v>
      </c>
      <c r="BY36">
        <f t="shared" si="166"/>
        <v>0</v>
      </c>
      <c r="CB36">
        <f t="shared" si="167"/>
        <v>0</v>
      </c>
      <c r="CC36">
        <f t="shared" si="168"/>
        <v>0</v>
      </c>
      <c r="CD36">
        <f t="shared" si="54"/>
        <v>0</v>
      </c>
      <c r="CE36">
        <f t="shared" si="55"/>
        <v>0</v>
      </c>
      <c r="CH36">
        <f t="shared" si="169"/>
        <v>0</v>
      </c>
      <c r="CK36">
        <f t="shared" si="170"/>
        <v>0</v>
      </c>
      <c r="CN36">
        <f t="shared" si="171"/>
        <v>0</v>
      </c>
      <c r="CQ36">
        <f t="shared" si="172"/>
        <v>0</v>
      </c>
      <c r="CT36">
        <f t="shared" si="173"/>
        <v>0</v>
      </c>
      <c r="CX36">
        <f t="shared" si="175"/>
        <v>0</v>
      </c>
      <c r="CY36">
        <f t="shared" si="56"/>
        <v>0</v>
      </c>
      <c r="CZ36">
        <f t="shared" si="57"/>
        <v>0</v>
      </c>
      <c r="DA36">
        <f t="shared" si="8"/>
        <v>0</v>
      </c>
      <c r="DB36">
        <f t="shared" si="9"/>
        <v>0</v>
      </c>
      <c r="DC36">
        <f t="shared" si="10"/>
        <v>0</v>
      </c>
      <c r="DD36">
        <f t="shared" si="11"/>
        <v>0</v>
      </c>
      <c r="DE36">
        <f t="shared" si="12"/>
        <v>0</v>
      </c>
      <c r="DF36">
        <f t="shared" si="13"/>
        <v>0</v>
      </c>
      <c r="DG36">
        <f t="shared" si="14"/>
        <v>0</v>
      </c>
      <c r="DH36">
        <f t="shared" si="15"/>
        <v>0</v>
      </c>
      <c r="DI36">
        <f t="shared" si="16"/>
        <v>0</v>
      </c>
      <c r="DJ36">
        <f t="shared" si="17"/>
        <v>0</v>
      </c>
      <c r="DK36">
        <f t="shared" si="18"/>
        <v>0</v>
      </c>
      <c r="DL36">
        <f t="shared" si="19"/>
        <v>0</v>
      </c>
      <c r="DM36">
        <f t="shared" si="20"/>
        <v>0</v>
      </c>
      <c r="DN36">
        <f t="shared" si="21"/>
        <v>0</v>
      </c>
      <c r="DO36">
        <f t="shared" si="22"/>
        <v>0</v>
      </c>
      <c r="DP36">
        <f t="shared" si="23"/>
        <v>0</v>
      </c>
      <c r="DQ36">
        <f t="shared" si="24"/>
        <v>0</v>
      </c>
      <c r="DR36">
        <f t="shared" si="25"/>
        <v>0</v>
      </c>
      <c r="DS36">
        <f t="shared" si="26"/>
        <v>0</v>
      </c>
      <c r="DT36">
        <f t="shared" si="27"/>
        <v>0</v>
      </c>
      <c r="DU36">
        <f t="shared" si="28"/>
        <v>0</v>
      </c>
      <c r="DV36">
        <f t="shared" si="29"/>
        <v>0</v>
      </c>
      <c r="DW36">
        <f t="shared" si="30"/>
        <v>0</v>
      </c>
      <c r="DX36">
        <f t="shared" si="31"/>
        <v>0</v>
      </c>
      <c r="DY36">
        <f t="shared" si="32"/>
        <v>0</v>
      </c>
      <c r="DZ36">
        <f t="shared" si="33"/>
        <v>0</v>
      </c>
      <c r="EA36">
        <f t="shared" si="34"/>
        <v>0</v>
      </c>
      <c r="EB36">
        <f t="shared" si="35"/>
        <v>0</v>
      </c>
      <c r="EC36">
        <f t="shared" si="36"/>
        <v>0</v>
      </c>
      <c r="ED36">
        <f t="shared" si="37"/>
        <v>0</v>
      </c>
      <c r="EE36">
        <f t="shared" si="38"/>
        <v>0</v>
      </c>
      <c r="EF36">
        <f t="shared" si="39"/>
        <v>0</v>
      </c>
      <c r="EG36">
        <f t="shared" si="40"/>
        <v>0</v>
      </c>
      <c r="EH36">
        <f t="shared" si="41"/>
        <v>0</v>
      </c>
      <c r="EI36">
        <f t="shared" si="42"/>
        <v>0</v>
      </c>
      <c r="EJ36">
        <f t="shared" si="43"/>
        <v>0</v>
      </c>
      <c r="EK36">
        <f t="shared" si="44"/>
        <v>0</v>
      </c>
      <c r="EL36">
        <f t="shared" si="45"/>
        <v>0</v>
      </c>
      <c r="EM36">
        <f t="shared" si="46"/>
        <v>0</v>
      </c>
      <c r="EN36">
        <f t="shared" si="47"/>
        <v>0</v>
      </c>
      <c r="EO36">
        <f t="shared" si="48"/>
        <v>0</v>
      </c>
      <c r="EP36">
        <f t="shared" si="49"/>
        <v>0</v>
      </c>
    </row>
    <row r="37" spans="1:146">
      <c r="A37" s="94">
        <v>27</v>
      </c>
      <c r="B37" s="118" t="s">
        <v>162</v>
      </c>
      <c r="C37">
        <v>3991</v>
      </c>
      <c r="D37">
        <v>3404</v>
      </c>
      <c r="E37">
        <f t="shared" si="146"/>
        <v>7395</v>
      </c>
      <c r="F37">
        <v>115968</v>
      </c>
      <c r="G37">
        <v>88484</v>
      </c>
      <c r="H37">
        <f t="shared" si="147"/>
        <v>204452</v>
      </c>
      <c r="I37">
        <v>2565</v>
      </c>
      <c r="J37">
        <v>2061</v>
      </c>
      <c r="K37">
        <f t="shared" si="148"/>
        <v>4626</v>
      </c>
      <c r="N37">
        <f t="shared" si="149"/>
        <v>0</v>
      </c>
      <c r="Q37">
        <f t="shared" si="150"/>
        <v>0</v>
      </c>
      <c r="AD37">
        <f t="shared" si="152"/>
        <v>122524</v>
      </c>
      <c r="AE37">
        <f t="shared" si="153"/>
        <v>93949</v>
      </c>
      <c r="AF37">
        <f t="shared" si="154"/>
        <v>216473</v>
      </c>
      <c r="AG37">
        <v>2249</v>
      </c>
      <c r="AH37">
        <v>2401</v>
      </c>
      <c r="AI37">
        <f t="shared" si="155"/>
        <v>4650</v>
      </c>
      <c r="AJ37">
        <v>61352</v>
      </c>
      <c r="AK37">
        <v>61978</v>
      </c>
      <c r="AL37">
        <f t="shared" si="156"/>
        <v>123330</v>
      </c>
      <c r="AM37">
        <v>1032</v>
      </c>
      <c r="AN37">
        <v>1138</v>
      </c>
      <c r="AO37">
        <f t="shared" si="157"/>
        <v>2170</v>
      </c>
      <c r="AR37">
        <f t="shared" si="158"/>
        <v>0</v>
      </c>
      <c r="AU37">
        <f t="shared" si="159"/>
        <v>0</v>
      </c>
      <c r="BH37">
        <f t="shared" si="161"/>
        <v>64633</v>
      </c>
      <c r="BI37">
        <f t="shared" si="52"/>
        <v>65517</v>
      </c>
      <c r="BJ37">
        <f t="shared" si="53"/>
        <v>130150</v>
      </c>
      <c r="BK37">
        <v>171</v>
      </c>
      <c r="BL37">
        <v>97</v>
      </c>
      <c r="BM37">
        <f t="shared" si="162"/>
        <v>268</v>
      </c>
      <c r="BN37">
        <v>6408</v>
      </c>
      <c r="BO37">
        <v>3434</v>
      </c>
      <c r="BP37">
        <f t="shared" si="163"/>
        <v>9842</v>
      </c>
      <c r="BQ37">
        <v>41</v>
      </c>
      <c r="BR37">
        <v>20</v>
      </c>
      <c r="BS37">
        <f t="shared" si="164"/>
        <v>61</v>
      </c>
      <c r="BV37">
        <f t="shared" si="165"/>
        <v>0</v>
      </c>
      <c r="BY37">
        <f t="shared" si="166"/>
        <v>0</v>
      </c>
      <c r="CB37">
        <f t="shared" si="167"/>
        <v>0</v>
      </c>
      <c r="CC37">
        <f t="shared" si="168"/>
        <v>6620</v>
      </c>
      <c r="CD37">
        <f t="shared" si="54"/>
        <v>3551</v>
      </c>
      <c r="CE37">
        <f t="shared" si="55"/>
        <v>10171</v>
      </c>
      <c r="CF37">
        <v>122</v>
      </c>
      <c r="CG37">
        <v>78</v>
      </c>
      <c r="CH37">
        <f t="shared" si="169"/>
        <v>200</v>
      </c>
      <c r="CI37">
        <v>3914</v>
      </c>
      <c r="CJ37">
        <v>2611</v>
      </c>
      <c r="CK37">
        <f t="shared" si="170"/>
        <v>6525</v>
      </c>
      <c r="CL37">
        <v>23</v>
      </c>
      <c r="CM37">
        <v>16</v>
      </c>
      <c r="CN37">
        <f t="shared" si="171"/>
        <v>39</v>
      </c>
      <c r="CQ37">
        <f t="shared" si="172"/>
        <v>0</v>
      </c>
      <c r="CT37">
        <f t="shared" si="173"/>
        <v>0</v>
      </c>
      <c r="CX37">
        <f t="shared" si="175"/>
        <v>4059</v>
      </c>
      <c r="CY37">
        <f t="shared" si="56"/>
        <v>2705</v>
      </c>
      <c r="CZ37">
        <f t="shared" si="57"/>
        <v>6764</v>
      </c>
      <c r="DA37">
        <f t="shared" si="8"/>
        <v>4162</v>
      </c>
      <c r="DB37">
        <f t="shared" si="9"/>
        <v>3501</v>
      </c>
      <c r="DC37">
        <f t="shared" si="10"/>
        <v>7663</v>
      </c>
      <c r="DD37">
        <f t="shared" si="11"/>
        <v>122376</v>
      </c>
      <c r="DE37">
        <f t="shared" si="12"/>
        <v>91918</v>
      </c>
      <c r="DF37">
        <f t="shared" si="13"/>
        <v>214294</v>
      </c>
      <c r="DG37">
        <f t="shared" si="14"/>
        <v>2606</v>
      </c>
      <c r="DH37">
        <f t="shared" si="15"/>
        <v>2081</v>
      </c>
      <c r="DI37">
        <f t="shared" si="16"/>
        <v>4687</v>
      </c>
      <c r="DJ37">
        <f t="shared" si="17"/>
        <v>0</v>
      </c>
      <c r="DK37">
        <f t="shared" si="18"/>
        <v>0</v>
      </c>
      <c r="DL37">
        <f t="shared" si="19"/>
        <v>0</v>
      </c>
      <c r="DM37">
        <f t="shared" si="20"/>
        <v>0</v>
      </c>
      <c r="DN37">
        <f t="shared" si="21"/>
        <v>0</v>
      </c>
      <c r="DO37">
        <f t="shared" si="22"/>
        <v>0</v>
      </c>
      <c r="DP37">
        <f t="shared" si="23"/>
        <v>0</v>
      </c>
      <c r="DQ37">
        <f t="shared" si="24"/>
        <v>0</v>
      </c>
      <c r="DR37">
        <f t="shared" si="25"/>
        <v>0</v>
      </c>
      <c r="DS37">
        <f t="shared" si="26"/>
        <v>129144</v>
      </c>
      <c r="DT37">
        <f t="shared" si="27"/>
        <v>97500</v>
      </c>
      <c r="DU37">
        <f t="shared" si="28"/>
        <v>226644</v>
      </c>
      <c r="DV37">
        <f t="shared" si="29"/>
        <v>2371</v>
      </c>
      <c r="DW37">
        <f t="shared" si="30"/>
        <v>2479</v>
      </c>
      <c r="DX37">
        <f t="shared" si="31"/>
        <v>4850</v>
      </c>
      <c r="DY37">
        <f t="shared" si="32"/>
        <v>65266</v>
      </c>
      <c r="DZ37">
        <f t="shared" si="33"/>
        <v>64589</v>
      </c>
      <c r="EA37">
        <f t="shared" si="34"/>
        <v>129855</v>
      </c>
      <c r="EB37">
        <f t="shared" si="35"/>
        <v>1055</v>
      </c>
      <c r="EC37">
        <f t="shared" si="36"/>
        <v>1154</v>
      </c>
      <c r="ED37">
        <f t="shared" si="37"/>
        <v>2209</v>
      </c>
      <c r="EE37">
        <f t="shared" si="38"/>
        <v>0</v>
      </c>
      <c r="EF37">
        <f t="shared" si="39"/>
        <v>0</v>
      </c>
      <c r="EG37">
        <f t="shared" si="40"/>
        <v>0</v>
      </c>
      <c r="EH37">
        <f t="shared" si="41"/>
        <v>0</v>
      </c>
      <c r="EI37">
        <f t="shared" si="42"/>
        <v>0</v>
      </c>
      <c r="EJ37">
        <f t="shared" si="43"/>
        <v>0</v>
      </c>
      <c r="EK37">
        <f t="shared" si="44"/>
        <v>0</v>
      </c>
      <c r="EL37">
        <f t="shared" si="45"/>
        <v>0</v>
      </c>
      <c r="EM37">
        <f t="shared" si="46"/>
        <v>0</v>
      </c>
      <c r="EN37">
        <f t="shared" si="47"/>
        <v>68692</v>
      </c>
      <c r="EO37">
        <f t="shared" si="48"/>
        <v>68222</v>
      </c>
      <c r="EP37">
        <f t="shared" si="49"/>
        <v>136914</v>
      </c>
    </row>
    <row r="38" spans="1:146" ht="28.5">
      <c r="A38" s="94">
        <v>28</v>
      </c>
      <c r="B38" s="118" t="s">
        <v>212</v>
      </c>
      <c r="E38">
        <f t="shared" si="146"/>
        <v>0</v>
      </c>
      <c r="H38">
        <f t="shared" si="147"/>
        <v>0</v>
      </c>
      <c r="K38">
        <f t="shared" si="148"/>
        <v>0</v>
      </c>
      <c r="N38">
        <f t="shared" si="149"/>
        <v>0</v>
      </c>
      <c r="Q38">
        <f t="shared" si="150"/>
        <v>0</v>
      </c>
      <c r="AD38">
        <f t="shared" si="152"/>
        <v>0</v>
      </c>
      <c r="AE38">
        <f t="shared" si="153"/>
        <v>0</v>
      </c>
      <c r="AF38">
        <f t="shared" si="154"/>
        <v>0</v>
      </c>
      <c r="AI38">
        <f t="shared" si="155"/>
        <v>0</v>
      </c>
      <c r="AL38">
        <f t="shared" si="156"/>
        <v>0</v>
      </c>
      <c r="AO38">
        <f t="shared" si="157"/>
        <v>0</v>
      </c>
      <c r="AR38">
        <f t="shared" si="158"/>
        <v>0</v>
      </c>
      <c r="AU38">
        <f t="shared" si="159"/>
        <v>0</v>
      </c>
      <c r="BH38">
        <f t="shared" si="161"/>
        <v>0</v>
      </c>
      <c r="BI38">
        <f t="shared" si="52"/>
        <v>0</v>
      </c>
      <c r="BJ38">
        <f t="shared" si="53"/>
        <v>0</v>
      </c>
      <c r="BM38">
        <f t="shared" si="162"/>
        <v>0</v>
      </c>
      <c r="BP38">
        <f t="shared" si="163"/>
        <v>0</v>
      </c>
      <c r="BS38">
        <f t="shared" si="164"/>
        <v>0</v>
      </c>
      <c r="BV38">
        <f t="shared" si="165"/>
        <v>0</v>
      </c>
      <c r="BY38">
        <f t="shared" si="166"/>
        <v>0</v>
      </c>
      <c r="CB38">
        <f t="shared" si="167"/>
        <v>0</v>
      </c>
      <c r="CC38">
        <f t="shared" si="168"/>
        <v>0</v>
      </c>
      <c r="CD38">
        <f t="shared" si="54"/>
        <v>0</v>
      </c>
      <c r="CE38">
        <f t="shared" si="55"/>
        <v>0</v>
      </c>
      <c r="CH38">
        <f t="shared" si="169"/>
        <v>0</v>
      </c>
      <c r="CK38">
        <f t="shared" si="170"/>
        <v>0</v>
      </c>
      <c r="CN38">
        <f t="shared" si="171"/>
        <v>0</v>
      </c>
      <c r="CQ38">
        <f t="shared" si="172"/>
        <v>0</v>
      </c>
      <c r="CT38">
        <f t="shared" si="173"/>
        <v>0</v>
      </c>
      <c r="CX38">
        <f t="shared" si="175"/>
        <v>0</v>
      </c>
      <c r="CY38">
        <f t="shared" si="56"/>
        <v>0</v>
      </c>
      <c r="CZ38">
        <f t="shared" si="57"/>
        <v>0</v>
      </c>
      <c r="DA38">
        <f t="shared" si="8"/>
        <v>0</v>
      </c>
      <c r="DB38">
        <f t="shared" si="9"/>
        <v>0</v>
      </c>
      <c r="DC38">
        <f t="shared" si="10"/>
        <v>0</v>
      </c>
      <c r="DD38">
        <f t="shared" si="11"/>
        <v>0</v>
      </c>
      <c r="DE38">
        <f t="shared" si="12"/>
        <v>0</v>
      </c>
      <c r="DF38">
        <f t="shared" si="13"/>
        <v>0</v>
      </c>
      <c r="DG38">
        <f t="shared" si="14"/>
        <v>0</v>
      </c>
      <c r="DH38">
        <f t="shared" si="15"/>
        <v>0</v>
      </c>
      <c r="DI38">
        <f t="shared" si="16"/>
        <v>0</v>
      </c>
      <c r="DJ38">
        <f t="shared" si="17"/>
        <v>0</v>
      </c>
      <c r="DK38">
        <f t="shared" si="18"/>
        <v>0</v>
      </c>
      <c r="DL38">
        <f t="shared" si="19"/>
        <v>0</v>
      </c>
      <c r="DM38">
        <f t="shared" si="20"/>
        <v>0</v>
      </c>
      <c r="DN38">
        <f t="shared" si="21"/>
        <v>0</v>
      </c>
      <c r="DO38">
        <f t="shared" si="22"/>
        <v>0</v>
      </c>
      <c r="DP38">
        <f t="shared" si="23"/>
        <v>0</v>
      </c>
      <c r="DQ38">
        <f t="shared" si="24"/>
        <v>0</v>
      </c>
      <c r="DR38">
        <f t="shared" si="25"/>
        <v>0</v>
      </c>
      <c r="DS38">
        <f t="shared" si="26"/>
        <v>0</v>
      </c>
      <c r="DT38">
        <f t="shared" si="27"/>
        <v>0</v>
      </c>
      <c r="DU38">
        <f t="shared" si="28"/>
        <v>0</v>
      </c>
      <c r="DV38">
        <f t="shared" si="29"/>
        <v>0</v>
      </c>
      <c r="DW38">
        <f t="shared" si="30"/>
        <v>0</v>
      </c>
      <c r="DX38">
        <f t="shared" si="31"/>
        <v>0</v>
      </c>
      <c r="DY38">
        <f t="shared" si="32"/>
        <v>0</v>
      </c>
      <c r="DZ38">
        <f t="shared" si="33"/>
        <v>0</v>
      </c>
      <c r="EA38">
        <f t="shared" si="34"/>
        <v>0</v>
      </c>
      <c r="EB38">
        <f t="shared" si="35"/>
        <v>0</v>
      </c>
      <c r="EC38">
        <f t="shared" si="36"/>
        <v>0</v>
      </c>
      <c r="ED38">
        <f t="shared" si="37"/>
        <v>0</v>
      </c>
      <c r="EE38">
        <f t="shared" si="38"/>
        <v>0</v>
      </c>
      <c r="EF38">
        <f t="shared" si="39"/>
        <v>0</v>
      </c>
      <c r="EG38">
        <f t="shared" si="40"/>
        <v>0</v>
      </c>
      <c r="EH38">
        <f t="shared" si="41"/>
        <v>0</v>
      </c>
      <c r="EI38">
        <f t="shared" si="42"/>
        <v>0</v>
      </c>
      <c r="EJ38">
        <f t="shared" si="43"/>
        <v>0</v>
      </c>
      <c r="EK38">
        <f t="shared" si="44"/>
        <v>0</v>
      </c>
      <c r="EL38">
        <f t="shared" si="45"/>
        <v>0</v>
      </c>
      <c r="EM38">
        <f t="shared" si="46"/>
        <v>0</v>
      </c>
      <c r="EN38">
        <f t="shared" si="47"/>
        <v>0</v>
      </c>
      <c r="EO38">
        <f t="shared" si="48"/>
        <v>0</v>
      </c>
      <c r="EP38">
        <f t="shared" si="49"/>
        <v>0</v>
      </c>
    </row>
    <row r="39" spans="1:146" ht="28.5">
      <c r="A39" s="94">
        <v>29</v>
      </c>
      <c r="B39" s="118" t="s">
        <v>382</v>
      </c>
      <c r="C39">
        <v>30536</v>
      </c>
      <c r="D39">
        <v>31211</v>
      </c>
      <c r="E39">
        <f t="shared" si="146"/>
        <v>61747</v>
      </c>
      <c r="F39">
        <v>0</v>
      </c>
      <c r="G39">
        <v>0</v>
      </c>
      <c r="H39">
        <f t="shared" si="147"/>
        <v>0</v>
      </c>
      <c r="I39">
        <v>29139</v>
      </c>
      <c r="J39">
        <v>30039</v>
      </c>
      <c r="K39">
        <f t="shared" si="148"/>
        <v>59178</v>
      </c>
      <c r="L39">
        <v>0</v>
      </c>
      <c r="M39">
        <v>0</v>
      </c>
      <c r="N39">
        <f t="shared" si="149"/>
        <v>0</v>
      </c>
      <c r="O39">
        <v>0</v>
      </c>
      <c r="P39">
        <v>0</v>
      </c>
      <c r="Q39">
        <f t="shared" si="150"/>
        <v>0</v>
      </c>
      <c r="R39">
        <v>390</v>
      </c>
      <c r="S39">
        <v>468</v>
      </c>
      <c r="T39">
        <f>R39+S39</f>
        <v>858</v>
      </c>
      <c r="X39">
        <v>414275</v>
      </c>
      <c r="Y39">
        <v>414339</v>
      </c>
      <c r="Z39">
        <f>X39+Y39</f>
        <v>828614</v>
      </c>
      <c r="AD39">
        <f t="shared" si="152"/>
        <v>59675</v>
      </c>
      <c r="AE39">
        <f t="shared" si="153"/>
        <v>61250</v>
      </c>
      <c r="AF39">
        <f t="shared" si="154"/>
        <v>120925</v>
      </c>
      <c r="AG39">
        <v>28438</v>
      </c>
      <c r="AH39">
        <v>30367</v>
      </c>
      <c r="AI39">
        <f t="shared" si="155"/>
        <v>58805</v>
      </c>
      <c r="AJ39">
        <v>0</v>
      </c>
      <c r="AK39">
        <v>0</v>
      </c>
      <c r="AL39">
        <f t="shared" si="156"/>
        <v>0</v>
      </c>
      <c r="AM39">
        <v>27744</v>
      </c>
      <c r="AN39">
        <v>29473</v>
      </c>
      <c r="AO39">
        <f t="shared" si="157"/>
        <v>57217</v>
      </c>
      <c r="AP39">
        <v>0</v>
      </c>
      <c r="AQ39">
        <v>0</v>
      </c>
      <c r="AR39">
        <f t="shared" si="158"/>
        <v>0</v>
      </c>
      <c r="AS39">
        <v>0</v>
      </c>
      <c r="AT39">
        <v>0</v>
      </c>
      <c r="AU39">
        <f t="shared" si="159"/>
        <v>0</v>
      </c>
      <c r="AV39">
        <v>368</v>
      </c>
      <c r="AW39">
        <v>454</v>
      </c>
      <c r="AX39">
        <f t="shared" ref="AX39" si="179">+AV39+AW39</f>
        <v>822</v>
      </c>
      <c r="BB39">
        <v>382443</v>
      </c>
      <c r="BC39">
        <v>398658</v>
      </c>
      <c r="BD39">
        <f>BB39+BC39</f>
        <v>781101</v>
      </c>
      <c r="BH39">
        <f t="shared" si="161"/>
        <v>56182</v>
      </c>
      <c r="BI39">
        <f t="shared" si="52"/>
        <v>59840</v>
      </c>
      <c r="BJ39">
        <f t="shared" si="53"/>
        <v>116022</v>
      </c>
      <c r="BM39">
        <f t="shared" si="162"/>
        <v>0</v>
      </c>
      <c r="BP39">
        <f t="shared" si="163"/>
        <v>0</v>
      </c>
      <c r="BS39">
        <f t="shared" si="164"/>
        <v>0</v>
      </c>
      <c r="BV39">
        <f t="shared" si="165"/>
        <v>0</v>
      </c>
      <c r="BY39">
        <f t="shared" si="166"/>
        <v>0</v>
      </c>
      <c r="CB39">
        <f t="shared" si="167"/>
        <v>0</v>
      </c>
      <c r="CC39">
        <f t="shared" si="168"/>
        <v>0</v>
      </c>
      <c r="CD39">
        <f t="shared" si="54"/>
        <v>0</v>
      </c>
      <c r="CE39">
        <f t="shared" si="55"/>
        <v>0</v>
      </c>
      <c r="CH39">
        <f t="shared" si="169"/>
        <v>0</v>
      </c>
      <c r="CK39">
        <f t="shared" si="170"/>
        <v>0</v>
      </c>
      <c r="CN39">
        <f t="shared" si="171"/>
        <v>0</v>
      </c>
      <c r="CQ39">
        <f t="shared" si="172"/>
        <v>0</v>
      </c>
      <c r="CT39">
        <f t="shared" si="173"/>
        <v>0</v>
      </c>
      <c r="CX39">
        <f t="shared" si="175"/>
        <v>0</v>
      </c>
      <c r="CY39">
        <f t="shared" si="56"/>
        <v>0</v>
      </c>
      <c r="CZ39">
        <f t="shared" si="57"/>
        <v>0</v>
      </c>
      <c r="DA39">
        <f t="shared" si="8"/>
        <v>30536</v>
      </c>
      <c r="DB39">
        <f t="shared" si="9"/>
        <v>31211</v>
      </c>
      <c r="DC39">
        <f t="shared" si="10"/>
        <v>61747</v>
      </c>
      <c r="DD39">
        <f t="shared" si="11"/>
        <v>0</v>
      </c>
      <c r="DE39">
        <f t="shared" si="12"/>
        <v>0</v>
      </c>
      <c r="DF39">
        <f t="shared" si="13"/>
        <v>0</v>
      </c>
      <c r="DG39">
        <f t="shared" si="14"/>
        <v>29139</v>
      </c>
      <c r="DH39">
        <f t="shared" si="15"/>
        <v>30039</v>
      </c>
      <c r="DI39">
        <f t="shared" si="16"/>
        <v>59178</v>
      </c>
      <c r="DJ39">
        <f t="shared" si="17"/>
        <v>0</v>
      </c>
      <c r="DK39">
        <f t="shared" si="18"/>
        <v>0</v>
      </c>
      <c r="DL39">
        <f t="shared" si="19"/>
        <v>0</v>
      </c>
      <c r="DM39">
        <f t="shared" si="20"/>
        <v>0</v>
      </c>
      <c r="DN39">
        <f t="shared" si="21"/>
        <v>0</v>
      </c>
      <c r="DO39">
        <f t="shared" si="22"/>
        <v>0</v>
      </c>
      <c r="DP39">
        <f t="shared" si="23"/>
        <v>0</v>
      </c>
      <c r="DQ39">
        <f t="shared" si="24"/>
        <v>0</v>
      </c>
      <c r="DR39">
        <f t="shared" si="25"/>
        <v>0</v>
      </c>
      <c r="DS39">
        <f t="shared" si="26"/>
        <v>59675</v>
      </c>
      <c r="DT39">
        <f t="shared" si="27"/>
        <v>61250</v>
      </c>
      <c r="DU39">
        <f t="shared" si="28"/>
        <v>120925</v>
      </c>
      <c r="DV39">
        <f t="shared" si="29"/>
        <v>28438</v>
      </c>
      <c r="DW39">
        <f t="shared" si="30"/>
        <v>30367</v>
      </c>
      <c r="DX39">
        <f t="shared" si="31"/>
        <v>58805</v>
      </c>
      <c r="DY39">
        <f t="shared" si="32"/>
        <v>0</v>
      </c>
      <c r="DZ39">
        <f t="shared" si="33"/>
        <v>0</v>
      </c>
      <c r="EA39">
        <f t="shared" si="34"/>
        <v>0</v>
      </c>
      <c r="EB39">
        <f t="shared" si="35"/>
        <v>27744</v>
      </c>
      <c r="EC39">
        <f t="shared" si="36"/>
        <v>29473</v>
      </c>
      <c r="ED39">
        <f t="shared" si="37"/>
        <v>57217</v>
      </c>
      <c r="EE39">
        <f t="shared" si="38"/>
        <v>0</v>
      </c>
      <c r="EF39">
        <f t="shared" si="39"/>
        <v>0</v>
      </c>
      <c r="EG39">
        <f t="shared" si="40"/>
        <v>0</v>
      </c>
      <c r="EH39">
        <f t="shared" si="41"/>
        <v>0</v>
      </c>
      <c r="EI39">
        <f t="shared" si="42"/>
        <v>0</v>
      </c>
      <c r="EJ39">
        <f t="shared" si="43"/>
        <v>0</v>
      </c>
      <c r="EK39">
        <f t="shared" si="44"/>
        <v>0</v>
      </c>
      <c r="EL39">
        <f t="shared" si="45"/>
        <v>0</v>
      </c>
      <c r="EM39">
        <f t="shared" si="46"/>
        <v>0</v>
      </c>
      <c r="EN39">
        <f t="shared" si="47"/>
        <v>56182</v>
      </c>
      <c r="EO39">
        <f t="shared" si="48"/>
        <v>59840</v>
      </c>
      <c r="EP39">
        <f t="shared" si="49"/>
        <v>116022</v>
      </c>
    </row>
    <row r="40" spans="1:146">
      <c r="A40" s="94">
        <v>30</v>
      </c>
      <c r="B40" s="118" t="s">
        <v>165</v>
      </c>
      <c r="E40">
        <f t="shared" si="146"/>
        <v>0</v>
      </c>
      <c r="H40">
        <f t="shared" si="147"/>
        <v>0</v>
      </c>
      <c r="K40">
        <f t="shared" si="148"/>
        <v>0</v>
      </c>
      <c r="N40">
        <f t="shared" si="149"/>
        <v>0</v>
      </c>
      <c r="Q40">
        <f t="shared" si="150"/>
        <v>0</v>
      </c>
      <c r="AD40">
        <f t="shared" si="152"/>
        <v>0</v>
      </c>
      <c r="AE40">
        <f t="shared" si="153"/>
        <v>0</v>
      </c>
      <c r="AF40">
        <f t="shared" si="154"/>
        <v>0</v>
      </c>
      <c r="AI40">
        <f t="shared" si="155"/>
        <v>0</v>
      </c>
      <c r="AL40">
        <f t="shared" si="156"/>
        <v>0</v>
      </c>
      <c r="AO40">
        <f t="shared" si="157"/>
        <v>0</v>
      </c>
      <c r="AR40">
        <f t="shared" si="158"/>
        <v>0</v>
      </c>
      <c r="AU40">
        <f t="shared" si="159"/>
        <v>0</v>
      </c>
      <c r="BH40">
        <f t="shared" si="161"/>
        <v>0</v>
      </c>
      <c r="BI40">
        <f t="shared" si="52"/>
        <v>0</v>
      </c>
      <c r="BJ40">
        <f t="shared" si="53"/>
        <v>0</v>
      </c>
      <c r="BM40">
        <f t="shared" si="162"/>
        <v>0</v>
      </c>
      <c r="BP40">
        <f t="shared" si="163"/>
        <v>0</v>
      </c>
      <c r="BS40">
        <f t="shared" si="164"/>
        <v>0</v>
      </c>
      <c r="BV40">
        <f t="shared" si="165"/>
        <v>0</v>
      </c>
      <c r="BY40">
        <f t="shared" si="166"/>
        <v>0</v>
      </c>
      <c r="CB40">
        <f t="shared" si="167"/>
        <v>0</v>
      </c>
      <c r="CC40">
        <f t="shared" si="168"/>
        <v>0</v>
      </c>
      <c r="CD40">
        <f t="shared" si="54"/>
        <v>0</v>
      </c>
      <c r="CE40">
        <f t="shared" si="55"/>
        <v>0</v>
      </c>
      <c r="CH40">
        <f t="shared" si="169"/>
        <v>0</v>
      </c>
      <c r="CK40">
        <f t="shared" si="170"/>
        <v>0</v>
      </c>
      <c r="CN40">
        <f t="shared" si="171"/>
        <v>0</v>
      </c>
      <c r="CQ40">
        <f t="shared" si="172"/>
        <v>0</v>
      </c>
      <c r="CT40">
        <f t="shared" si="173"/>
        <v>0</v>
      </c>
      <c r="CX40">
        <f t="shared" si="175"/>
        <v>0</v>
      </c>
      <c r="CY40">
        <f t="shared" si="56"/>
        <v>0</v>
      </c>
      <c r="CZ40">
        <f t="shared" si="57"/>
        <v>0</v>
      </c>
      <c r="DA40">
        <f t="shared" si="8"/>
        <v>0</v>
      </c>
      <c r="DB40">
        <f t="shared" si="9"/>
        <v>0</v>
      </c>
      <c r="DC40">
        <f t="shared" si="10"/>
        <v>0</v>
      </c>
      <c r="DD40">
        <f t="shared" si="11"/>
        <v>0</v>
      </c>
      <c r="DE40">
        <f t="shared" si="12"/>
        <v>0</v>
      </c>
      <c r="DF40">
        <f t="shared" si="13"/>
        <v>0</v>
      </c>
      <c r="DG40">
        <f t="shared" si="14"/>
        <v>0</v>
      </c>
      <c r="DH40">
        <f t="shared" si="15"/>
        <v>0</v>
      </c>
      <c r="DI40">
        <f t="shared" si="16"/>
        <v>0</v>
      </c>
      <c r="DJ40">
        <f t="shared" si="17"/>
        <v>0</v>
      </c>
      <c r="DK40">
        <f t="shared" si="18"/>
        <v>0</v>
      </c>
      <c r="DL40">
        <f t="shared" si="19"/>
        <v>0</v>
      </c>
      <c r="DM40">
        <f t="shared" si="20"/>
        <v>0</v>
      </c>
      <c r="DN40">
        <f t="shared" si="21"/>
        <v>0</v>
      </c>
      <c r="DO40">
        <f t="shared" si="22"/>
        <v>0</v>
      </c>
      <c r="DP40">
        <f t="shared" si="23"/>
        <v>0</v>
      </c>
      <c r="DQ40">
        <f t="shared" si="24"/>
        <v>0</v>
      </c>
      <c r="DR40">
        <f t="shared" si="25"/>
        <v>0</v>
      </c>
      <c r="DS40">
        <f t="shared" si="26"/>
        <v>0</v>
      </c>
      <c r="DT40">
        <f t="shared" si="27"/>
        <v>0</v>
      </c>
      <c r="DU40">
        <f t="shared" si="28"/>
        <v>0</v>
      </c>
      <c r="DV40">
        <f t="shared" si="29"/>
        <v>0</v>
      </c>
      <c r="DW40">
        <f t="shared" si="30"/>
        <v>0</v>
      </c>
      <c r="DX40">
        <f t="shared" si="31"/>
        <v>0</v>
      </c>
      <c r="DY40">
        <f t="shared" si="32"/>
        <v>0</v>
      </c>
      <c r="DZ40">
        <f t="shared" si="33"/>
        <v>0</v>
      </c>
      <c r="EA40">
        <f t="shared" si="34"/>
        <v>0</v>
      </c>
      <c r="EB40">
        <f t="shared" si="35"/>
        <v>0</v>
      </c>
      <c r="EC40">
        <f t="shared" si="36"/>
        <v>0</v>
      </c>
      <c r="ED40">
        <f t="shared" si="37"/>
        <v>0</v>
      </c>
      <c r="EE40">
        <f t="shared" si="38"/>
        <v>0</v>
      </c>
      <c r="EF40">
        <f t="shared" si="39"/>
        <v>0</v>
      </c>
      <c r="EG40">
        <f t="shared" si="40"/>
        <v>0</v>
      </c>
      <c r="EH40">
        <f t="shared" si="41"/>
        <v>0</v>
      </c>
      <c r="EI40">
        <f t="shared" si="42"/>
        <v>0</v>
      </c>
      <c r="EJ40">
        <f t="shared" si="43"/>
        <v>0</v>
      </c>
      <c r="EK40">
        <f t="shared" si="44"/>
        <v>0</v>
      </c>
      <c r="EL40">
        <f t="shared" si="45"/>
        <v>0</v>
      </c>
      <c r="EM40">
        <f t="shared" si="46"/>
        <v>0</v>
      </c>
      <c r="EN40">
        <f t="shared" si="47"/>
        <v>0</v>
      </c>
      <c r="EO40">
        <f t="shared" si="48"/>
        <v>0</v>
      </c>
      <c r="EP40">
        <f t="shared" si="49"/>
        <v>0</v>
      </c>
    </row>
    <row r="41" spans="1:146" ht="28.5">
      <c r="A41" s="94">
        <v>31</v>
      </c>
      <c r="B41" s="118" t="s">
        <v>383</v>
      </c>
      <c r="E41">
        <f t="shared" si="146"/>
        <v>0</v>
      </c>
      <c r="H41">
        <f t="shared" si="147"/>
        <v>0</v>
      </c>
      <c r="K41">
        <f t="shared" si="148"/>
        <v>0</v>
      </c>
      <c r="N41">
        <f t="shared" si="149"/>
        <v>0</v>
      </c>
      <c r="Q41">
        <f t="shared" si="150"/>
        <v>0</v>
      </c>
      <c r="AD41">
        <f t="shared" si="152"/>
        <v>0</v>
      </c>
      <c r="AE41">
        <f t="shared" si="153"/>
        <v>0</v>
      </c>
      <c r="AF41">
        <f t="shared" si="154"/>
        <v>0</v>
      </c>
      <c r="AI41">
        <f t="shared" si="155"/>
        <v>0</v>
      </c>
      <c r="AL41">
        <f t="shared" si="156"/>
        <v>0</v>
      </c>
      <c r="AO41">
        <f t="shared" si="157"/>
        <v>0</v>
      </c>
      <c r="AR41">
        <f t="shared" si="158"/>
        <v>0</v>
      </c>
      <c r="AU41">
        <f t="shared" si="159"/>
        <v>0</v>
      </c>
      <c r="BH41">
        <f t="shared" si="161"/>
        <v>0</v>
      </c>
      <c r="BI41">
        <f t="shared" si="52"/>
        <v>0</v>
      </c>
      <c r="BJ41">
        <f t="shared" si="53"/>
        <v>0</v>
      </c>
      <c r="BM41">
        <f t="shared" si="162"/>
        <v>0</v>
      </c>
      <c r="BP41">
        <f t="shared" si="163"/>
        <v>0</v>
      </c>
      <c r="BS41">
        <f t="shared" si="164"/>
        <v>0</v>
      </c>
      <c r="BV41">
        <f t="shared" si="165"/>
        <v>0</v>
      </c>
      <c r="BY41">
        <f t="shared" si="166"/>
        <v>0</v>
      </c>
      <c r="CB41">
        <f t="shared" si="167"/>
        <v>0</v>
      </c>
      <c r="CC41">
        <f t="shared" si="168"/>
        <v>0</v>
      </c>
      <c r="CD41">
        <f t="shared" si="54"/>
        <v>0</v>
      </c>
      <c r="CE41">
        <f t="shared" si="55"/>
        <v>0</v>
      </c>
      <c r="CH41">
        <f t="shared" si="169"/>
        <v>0</v>
      </c>
      <c r="CK41">
        <f t="shared" si="170"/>
        <v>0</v>
      </c>
      <c r="CN41">
        <f t="shared" si="171"/>
        <v>0</v>
      </c>
      <c r="CQ41">
        <f t="shared" si="172"/>
        <v>0</v>
      </c>
      <c r="CT41">
        <f t="shared" si="173"/>
        <v>0</v>
      </c>
      <c r="CX41">
        <f t="shared" si="175"/>
        <v>0</v>
      </c>
      <c r="CY41">
        <f t="shared" si="56"/>
        <v>0</v>
      </c>
      <c r="CZ41">
        <f t="shared" si="57"/>
        <v>0</v>
      </c>
      <c r="DA41">
        <f t="shared" ref="DA41:DO41" si="180">+C41+BK41</f>
        <v>0</v>
      </c>
      <c r="DB41">
        <f t="shared" si="180"/>
        <v>0</v>
      </c>
      <c r="DC41">
        <f t="shared" si="180"/>
        <v>0</v>
      </c>
      <c r="DD41">
        <f t="shared" si="180"/>
        <v>0</v>
      </c>
      <c r="DE41">
        <f t="shared" si="180"/>
        <v>0</v>
      </c>
      <c r="DF41">
        <f t="shared" si="180"/>
        <v>0</v>
      </c>
      <c r="DG41">
        <f t="shared" si="180"/>
        <v>0</v>
      </c>
      <c r="DH41">
        <f t="shared" si="180"/>
        <v>0</v>
      </c>
      <c r="DI41">
        <f t="shared" si="180"/>
        <v>0</v>
      </c>
      <c r="DJ41">
        <f t="shared" si="180"/>
        <v>0</v>
      </c>
      <c r="DK41">
        <f t="shared" si="180"/>
        <v>0</v>
      </c>
      <c r="DL41">
        <f t="shared" si="180"/>
        <v>0</v>
      </c>
      <c r="DM41">
        <f t="shared" si="180"/>
        <v>0</v>
      </c>
      <c r="DN41">
        <f t="shared" si="180"/>
        <v>0</v>
      </c>
      <c r="DO41">
        <f t="shared" si="180"/>
        <v>0</v>
      </c>
      <c r="DP41">
        <f t="shared" ref="DP41:EJ41" si="181">+AA41+BZ41</f>
        <v>0</v>
      </c>
      <c r="DQ41">
        <f t="shared" si="181"/>
        <v>0</v>
      </c>
      <c r="DR41">
        <f t="shared" si="181"/>
        <v>0</v>
      </c>
      <c r="DS41">
        <f t="shared" si="181"/>
        <v>0</v>
      </c>
      <c r="DT41">
        <f t="shared" si="181"/>
        <v>0</v>
      </c>
      <c r="DU41">
        <f t="shared" si="181"/>
        <v>0</v>
      </c>
      <c r="DV41">
        <f t="shared" si="181"/>
        <v>0</v>
      </c>
      <c r="DW41">
        <f t="shared" si="181"/>
        <v>0</v>
      </c>
      <c r="DX41">
        <f t="shared" si="181"/>
        <v>0</v>
      </c>
      <c r="DY41">
        <f t="shared" si="181"/>
        <v>0</v>
      </c>
      <c r="DZ41">
        <f t="shared" si="181"/>
        <v>0</v>
      </c>
      <c r="EA41">
        <f t="shared" si="181"/>
        <v>0</v>
      </c>
      <c r="EB41">
        <f t="shared" si="181"/>
        <v>0</v>
      </c>
      <c r="EC41">
        <f t="shared" si="181"/>
        <v>0</v>
      </c>
      <c r="ED41">
        <f t="shared" si="181"/>
        <v>0</v>
      </c>
      <c r="EE41">
        <f t="shared" si="181"/>
        <v>0</v>
      </c>
      <c r="EF41">
        <f t="shared" si="181"/>
        <v>0</v>
      </c>
      <c r="EG41">
        <f t="shared" si="181"/>
        <v>0</v>
      </c>
      <c r="EH41">
        <f t="shared" si="181"/>
        <v>0</v>
      </c>
      <c r="EI41">
        <f t="shared" si="181"/>
        <v>0</v>
      </c>
      <c r="EJ41">
        <f t="shared" si="181"/>
        <v>0</v>
      </c>
      <c r="EK41">
        <f t="shared" ref="EK41:EP41" si="182">+BE41+CU41</f>
        <v>0</v>
      </c>
      <c r="EL41">
        <f t="shared" si="182"/>
        <v>0</v>
      </c>
      <c r="EM41">
        <f t="shared" si="182"/>
        <v>0</v>
      </c>
      <c r="EN41">
        <f t="shared" si="182"/>
        <v>0</v>
      </c>
      <c r="EO41">
        <f t="shared" si="182"/>
        <v>0</v>
      </c>
      <c r="EP41">
        <f t="shared" si="182"/>
        <v>0</v>
      </c>
    </row>
    <row r="42" spans="1:146">
      <c r="A42" s="94">
        <v>32</v>
      </c>
      <c r="B42" s="118" t="s">
        <v>169</v>
      </c>
      <c r="E42">
        <f t="shared" si="146"/>
        <v>0</v>
      </c>
      <c r="H42">
        <f t="shared" si="147"/>
        <v>0</v>
      </c>
      <c r="K42">
        <f t="shared" si="148"/>
        <v>0</v>
      </c>
      <c r="N42">
        <f t="shared" si="149"/>
        <v>0</v>
      </c>
      <c r="Q42">
        <f t="shared" si="150"/>
        <v>0</v>
      </c>
      <c r="AD42">
        <f t="shared" si="152"/>
        <v>0</v>
      </c>
      <c r="AE42">
        <f t="shared" si="153"/>
        <v>0</v>
      </c>
      <c r="AF42">
        <f t="shared" si="154"/>
        <v>0</v>
      </c>
      <c r="AI42">
        <f t="shared" si="155"/>
        <v>0</v>
      </c>
      <c r="AL42">
        <f t="shared" si="156"/>
        <v>0</v>
      </c>
      <c r="AO42">
        <f t="shared" si="157"/>
        <v>0</v>
      </c>
      <c r="AR42">
        <f t="shared" si="158"/>
        <v>0</v>
      </c>
      <c r="AU42">
        <f t="shared" si="159"/>
        <v>0</v>
      </c>
      <c r="BH42">
        <f t="shared" si="161"/>
        <v>0</v>
      </c>
      <c r="BI42">
        <f t="shared" si="52"/>
        <v>0</v>
      </c>
      <c r="BJ42">
        <f t="shared" si="53"/>
        <v>0</v>
      </c>
      <c r="BM42">
        <f t="shared" si="162"/>
        <v>0</v>
      </c>
      <c r="BP42">
        <f t="shared" si="163"/>
        <v>0</v>
      </c>
      <c r="BS42">
        <f t="shared" si="164"/>
        <v>0</v>
      </c>
      <c r="BV42">
        <f t="shared" si="165"/>
        <v>0</v>
      </c>
      <c r="BY42">
        <f t="shared" si="166"/>
        <v>0</v>
      </c>
      <c r="CB42">
        <f t="shared" si="167"/>
        <v>0</v>
      </c>
      <c r="CC42">
        <f t="shared" si="168"/>
        <v>0</v>
      </c>
      <c r="CD42">
        <f t="shared" si="54"/>
        <v>0</v>
      </c>
      <c r="CE42">
        <f t="shared" si="55"/>
        <v>0</v>
      </c>
      <c r="CH42">
        <f t="shared" si="169"/>
        <v>0</v>
      </c>
      <c r="CK42">
        <f t="shared" si="170"/>
        <v>0</v>
      </c>
      <c r="CN42">
        <f t="shared" si="171"/>
        <v>0</v>
      </c>
      <c r="CQ42">
        <f t="shared" si="172"/>
        <v>0</v>
      </c>
      <c r="CT42">
        <f t="shared" si="173"/>
        <v>0</v>
      </c>
      <c r="CX42">
        <f t="shared" si="175"/>
        <v>0</v>
      </c>
      <c r="CY42">
        <f t="shared" si="56"/>
        <v>0</v>
      </c>
      <c r="CZ42">
        <f t="shared" si="57"/>
        <v>0</v>
      </c>
      <c r="DA42">
        <f t="shared" ref="DA42:DA52" si="183">+C42+BK42</f>
        <v>0</v>
      </c>
      <c r="DB42">
        <f t="shared" ref="DB42:DB52" si="184">+D42+BL42</f>
        <v>0</v>
      </c>
      <c r="DC42">
        <f t="shared" ref="DC42:DC52" si="185">+E42+BM42</f>
        <v>0</v>
      </c>
      <c r="DD42">
        <f t="shared" ref="DD42:DD52" si="186">+F42+BN42</f>
        <v>0</v>
      </c>
      <c r="DE42">
        <f t="shared" ref="DE42:DE52" si="187">+G42+BO42</f>
        <v>0</v>
      </c>
      <c r="DF42">
        <f t="shared" ref="DF42:DF52" si="188">+H42+BP42</f>
        <v>0</v>
      </c>
      <c r="DG42">
        <f t="shared" ref="DG42:DG52" si="189">+I42+BQ42</f>
        <v>0</v>
      </c>
      <c r="DH42">
        <f t="shared" ref="DH42:DH52" si="190">+J42+BR42</f>
        <v>0</v>
      </c>
      <c r="DI42">
        <f t="shared" ref="DI42:DI52" si="191">+K42+BS42</f>
        <v>0</v>
      </c>
      <c r="DJ42">
        <f t="shared" ref="DJ42:DJ52" si="192">+L42+BT42</f>
        <v>0</v>
      </c>
      <c r="DK42">
        <f t="shared" ref="DK42:DK52" si="193">+M42+BU42</f>
        <v>0</v>
      </c>
      <c r="DL42">
        <f t="shared" ref="DL42:DL52" si="194">+N42+BV42</f>
        <v>0</v>
      </c>
      <c r="DM42">
        <f t="shared" ref="DM42:DM52" si="195">+O42+BW42</f>
        <v>0</v>
      </c>
      <c r="DN42">
        <f t="shared" ref="DN42:DN52" si="196">+P42+BX42</f>
        <v>0</v>
      </c>
      <c r="DO42">
        <f t="shared" ref="DO42:DO52" si="197">+Q42+BY42</f>
        <v>0</v>
      </c>
      <c r="DP42">
        <f t="shared" ref="DP42:DP52" si="198">+AA42+BZ42</f>
        <v>0</v>
      </c>
      <c r="DQ42">
        <f t="shared" ref="DQ42:DQ52" si="199">+AB42+CA42</f>
        <v>0</v>
      </c>
      <c r="DR42">
        <f t="shared" ref="DR42:DR52" si="200">+AC42+CB42</f>
        <v>0</v>
      </c>
      <c r="DS42">
        <f t="shared" ref="DS42:DS52" si="201">+AD42+CC42</f>
        <v>0</v>
      </c>
      <c r="DT42">
        <f t="shared" ref="DT42:DT52" si="202">+AE42+CD42</f>
        <v>0</v>
      </c>
      <c r="DU42">
        <f t="shared" ref="DU42:DU52" si="203">+AF42+CE42</f>
        <v>0</v>
      </c>
      <c r="DV42">
        <f t="shared" ref="DV42:DV52" si="204">+AG42+CF42</f>
        <v>0</v>
      </c>
      <c r="DW42">
        <f t="shared" ref="DW42:DW52" si="205">+AH42+CG42</f>
        <v>0</v>
      </c>
      <c r="DX42">
        <f t="shared" ref="DX42:DX52" si="206">+AI42+CH42</f>
        <v>0</v>
      </c>
      <c r="DY42">
        <f t="shared" ref="DY42:DY52" si="207">+AJ42+CI42</f>
        <v>0</v>
      </c>
      <c r="DZ42">
        <f t="shared" ref="DZ42:DZ52" si="208">+AK42+CJ42</f>
        <v>0</v>
      </c>
      <c r="EA42">
        <f t="shared" ref="EA42:EA52" si="209">+AL42+CK42</f>
        <v>0</v>
      </c>
      <c r="EB42">
        <f t="shared" ref="EB42:EB52" si="210">+AM42+CL42</f>
        <v>0</v>
      </c>
      <c r="EC42">
        <f t="shared" ref="EC42:EC52" si="211">+AN42+CM42</f>
        <v>0</v>
      </c>
      <c r="ED42">
        <f t="shared" ref="ED42:ED52" si="212">+AO42+CN42</f>
        <v>0</v>
      </c>
      <c r="EE42">
        <f t="shared" ref="EE42:EE52" si="213">+AP42+CO42</f>
        <v>0</v>
      </c>
      <c r="EF42">
        <f t="shared" ref="EF42:EF52" si="214">+AQ42+CP42</f>
        <v>0</v>
      </c>
      <c r="EG42">
        <f t="shared" ref="EG42:EG52" si="215">+AR42+CQ42</f>
        <v>0</v>
      </c>
      <c r="EH42">
        <f t="shared" ref="EH42:EH52" si="216">+AS42+CR42</f>
        <v>0</v>
      </c>
      <c r="EI42">
        <f t="shared" ref="EI42:EI52" si="217">+AT42+CS42</f>
        <v>0</v>
      </c>
      <c r="EJ42">
        <f t="shared" ref="EJ42:EJ52" si="218">+AU42+CT42</f>
        <v>0</v>
      </c>
      <c r="EK42">
        <f t="shared" ref="EK42:EK52" si="219">+BE42+CU42</f>
        <v>0</v>
      </c>
      <c r="EL42">
        <f t="shared" ref="EL42:EL52" si="220">+BF42+CV42</f>
        <v>0</v>
      </c>
      <c r="EM42">
        <f t="shared" ref="EM42:EM52" si="221">+BG42+CW42</f>
        <v>0</v>
      </c>
      <c r="EN42">
        <f t="shared" ref="EN42:EN52" si="222">+BH42+CX42</f>
        <v>0</v>
      </c>
      <c r="EO42">
        <f t="shared" ref="EO42:EO52" si="223">+BI42+CY42</f>
        <v>0</v>
      </c>
      <c r="EP42">
        <f t="shared" ref="EP42:EP52" si="224">+BJ42+CZ42</f>
        <v>0</v>
      </c>
    </row>
    <row r="43" spans="1:146" ht="28.5">
      <c r="A43" s="94">
        <v>33</v>
      </c>
      <c r="B43" s="118" t="s">
        <v>314</v>
      </c>
      <c r="E43">
        <f t="shared" si="146"/>
        <v>0</v>
      </c>
      <c r="H43">
        <f t="shared" si="147"/>
        <v>0</v>
      </c>
      <c r="K43">
        <f t="shared" si="148"/>
        <v>0</v>
      </c>
      <c r="N43">
        <f t="shared" si="149"/>
        <v>0</v>
      </c>
      <c r="Q43">
        <f t="shared" si="150"/>
        <v>0</v>
      </c>
      <c r="AD43">
        <f t="shared" si="152"/>
        <v>0</v>
      </c>
      <c r="AE43">
        <f t="shared" si="153"/>
        <v>0</v>
      </c>
      <c r="AF43">
        <f t="shared" si="154"/>
        <v>0</v>
      </c>
      <c r="AI43">
        <f t="shared" si="155"/>
        <v>0</v>
      </c>
      <c r="AL43">
        <f t="shared" si="156"/>
        <v>0</v>
      </c>
      <c r="AO43">
        <f t="shared" si="157"/>
        <v>0</v>
      </c>
      <c r="AR43">
        <f t="shared" si="158"/>
        <v>0</v>
      </c>
      <c r="AU43">
        <f t="shared" si="159"/>
        <v>0</v>
      </c>
      <c r="BH43">
        <f t="shared" si="161"/>
        <v>0</v>
      </c>
      <c r="BI43">
        <f t="shared" si="52"/>
        <v>0</v>
      </c>
      <c r="BJ43">
        <f t="shared" si="53"/>
        <v>0</v>
      </c>
      <c r="BM43">
        <f t="shared" si="162"/>
        <v>0</v>
      </c>
      <c r="BP43">
        <f t="shared" si="163"/>
        <v>0</v>
      </c>
      <c r="BS43">
        <f t="shared" si="164"/>
        <v>0</v>
      </c>
      <c r="BV43">
        <f t="shared" si="165"/>
        <v>0</v>
      </c>
      <c r="BY43">
        <f t="shared" si="166"/>
        <v>0</v>
      </c>
      <c r="CB43">
        <f t="shared" si="167"/>
        <v>0</v>
      </c>
      <c r="CC43">
        <f t="shared" si="168"/>
        <v>0</v>
      </c>
      <c r="CD43">
        <f t="shared" si="54"/>
        <v>0</v>
      </c>
      <c r="CE43">
        <f t="shared" si="55"/>
        <v>0</v>
      </c>
      <c r="CH43">
        <f t="shared" si="169"/>
        <v>0</v>
      </c>
      <c r="CK43">
        <f t="shared" si="170"/>
        <v>0</v>
      </c>
      <c r="CN43">
        <f t="shared" si="171"/>
        <v>0</v>
      </c>
      <c r="CQ43">
        <f t="shared" si="172"/>
        <v>0</v>
      </c>
      <c r="CT43">
        <f t="shared" si="173"/>
        <v>0</v>
      </c>
      <c r="CX43">
        <f t="shared" si="175"/>
        <v>0</v>
      </c>
      <c r="CY43">
        <f t="shared" si="56"/>
        <v>0</v>
      </c>
      <c r="CZ43">
        <f t="shared" si="57"/>
        <v>0</v>
      </c>
      <c r="DA43">
        <f t="shared" si="183"/>
        <v>0</v>
      </c>
      <c r="DB43">
        <f t="shared" si="184"/>
        <v>0</v>
      </c>
      <c r="DC43">
        <f t="shared" si="185"/>
        <v>0</v>
      </c>
      <c r="DD43">
        <f t="shared" si="186"/>
        <v>0</v>
      </c>
      <c r="DE43">
        <f t="shared" si="187"/>
        <v>0</v>
      </c>
      <c r="DF43">
        <f t="shared" si="188"/>
        <v>0</v>
      </c>
      <c r="DG43">
        <f t="shared" si="189"/>
        <v>0</v>
      </c>
      <c r="DH43">
        <f t="shared" si="190"/>
        <v>0</v>
      </c>
      <c r="DI43">
        <f t="shared" si="191"/>
        <v>0</v>
      </c>
      <c r="DJ43">
        <f t="shared" si="192"/>
        <v>0</v>
      </c>
      <c r="DK43">
        <f t="shared" si="193"/>
        <v>0</v>
      </c>
      <c r="DL43">
        <f t="shared" si="194"/>
        <v>0</v>
      </c>
      <c r="DM43">
        <f t="shared" si="195"/>
        <v>0</v>
      </c>
      <c r="DN43">
        <f t="shared" si="196"/>
        <v>0</v>
      </c>
      <c r="DO43">
        <f t="shared" si="197"/>
        <v>0</v>
      </c>
      <c r="DP43">
        <f t="shared" si="198"/>
        <v>0</v>
      </c>
      <c r="DQ43">
        <f t="shared" si="199"/>
        <v>0</v>
      </c>
      <c r="DR43">
        <f t="shared" si="200"/>
        <v>0</v>
      </c>
      <c r="DS43">
        <f t="shared" si="201"/>
        <v>0</v>
      </c>
      <c r="DT43">
        <f t="shared" si="202"/>
        <v>0</v>
      </c>
      <c r="DU43">
        <f t="shared" si="203"/>
        <v>0</v>
      </c>
      <c r="DV43">
        <f t="shared" si="204"/>
        <v>0</v>
      </c>
      <c r="DW43">
        <f t="shared" si="205"/>
        <v>0</v>
      </c>
      <c r="DX43">
        <f t="shared" si="206"/>
        <v>0</v>
      </c>
      <c r="DY43">
        <f t="shared" si="207"/>
        <v>0</v>
      </c>
      <c r="DZ43">
        <f t="shared" si="208"/>
        <v>0</v>
      </c>
      <c r="EA43">
        <f t="shared" si="209"/>
        <v>0</v>
      </c>
      <c r="EB43">
        <f t="shared" si="210"/>
        <v>0</v>
      </c>
      <c r="EC43">
        <f t="shared" si="211"/>
        <v>0</v>
      </c>
      <c r="ED43">
        <f t="shared" si="212"/>
        <v>0</v>
      </c>
      <c r="EE43">
        <f t="shared" si="213"/>
        <v>0</v>
      </c>
      <c r="EF43">
        <f t="shared" si="214"/>
        <v>0</v>
      </c>
      <c r="EG43">
        <f t="shared" si="215"/>
        <v>0</v>
      </c>
      <c r="EH43">
        <f t="shared" si="216"/>
        <v>0</v>
      </c>
      <c r="EI43">
        <f t="shared" si="217"/>
        <v>0</v>
      </c>
      <c r="EJ43">
        <f t="shared" si="218"/>
        <v>0</v>
      </c>
      <c r="EK43">
        <f t="shared" si="219"/>
        <v>0</v>
      </c>
      <c r="EL43">
        <f t="shared" si="220"/>
        <v>0</v>
      </c>
      <c r="EM43">
        <f t="shared" si="221"/>
        <v>0</v>
      </c>
      <c r="EN43">
        <f t="shared" si="222"/>
        <v>0</v>
      </c>
      <c r="EO43">
        <f t="shared" si="223"/>
        <v>0</v>
      </c>
      <c r="EP43">
        <f t="shared" si="224"/>
        <v>0</v>
      </c>
    </row>
    <row r="44" spans="1:146" ht="28.5">
      <c r="A44" s="94">
        <v>34</v>
      </c>
      <c r="B44" s="118" t="s">
        <v>171</v>
      </c>
      <c r="C44">
        <v>14335</v>
      </c>
      <c r="D44">
        <v>34833</v>
      </c>
      <c r="E44">
        <f t="shared" si="146"/>
        <v>49168</v>
      </c>
      <c r="H44">
        <f t="shared" si="147"/>
        <v>0</v>
      </c>
      <c r="K44">
        <f t="shared" si="148"/>
        <v>0</v>
      </c>
      <c r="N44">
        <f t="shared" si="149"/>
        <v>0</v>
      </c>
      <c r="Q44">
        <f t="shared" si="150"/>
        <v>0</v>
      </c>
      <c r="AD44">
        <f t="shared" si="152"/>
        <v>14335</v>
      </c>
      <c r="AE44">
        <f t="shared" si="153"/>
        <v>34833</v>
      </c>
      <c r="AF44">
        <f t="shared" si="154"/>
        <v>49168</v>
      </c>
      <c r="AG44">
        <v>12561</v>
      </c>
      <c r="AH44">
        <v>27443</v>
      </c>
      <c r="AI44">
        <f t="shared" si="155"/>
        <v>40004</v>
      </c>
      <c r="AL44">
        <f t="shared" si="156"/>
        <v>0</v>
      </c>
      <c r="AO44">
        <f t="shared" si="157"/>
        <v>0</v>
      </c>
      <c r="AR44">
        <f t="shared" si="158"/>
        <v>0</v>
      </c>
      <c r="AU44">
        <f t="shared" si="159"/>
        <v>0</v>
      </c>
      <c r="BH44">
        <f t="shared" si="161"/>
        <v>12561</v>
      </c>
      <c r="BI44">
        <f t="shared" si="52"/>
        <v>27443</v>
      </c>
      <c r="BJ44">
        <f t="shared" si="53"/>
        <v>40004</v>
      </c>
      <c r="BK44">
        <v>614</v>
      </c>
      <c r="BL44">
        <v>406</v>
      </c>
      <c r="BM44">
        <f t="shared" si="162"/>
        <v>1020</v>
      </c>
      <c r="BP44">
        <f t="shared" si="163"/>
        <v>0</v>
      </c>
      <c r="BS44">
        <f t="shared" si="164"/>
        <v>0</v>
      </c>
      <c r="BV44">
        <f t="shared" si="165"/>
        <v>0</v>
      </c>
      <c r="BY44">
        <f t="shared" si="166"/>
        <v>0</v>
      </c>
      <c r="CB44">
        <f t="shared" si="167"/>
        <v>0</v>
      </c>
      <c r="CC44">
        <f t="shared" si="168"/>
        <v>614</v>
      </c>
      <c r="CD44">
        <f t="shared" si="54"/>
        <v>406</v>
      </c>
      <c r="CE44">
        <f t="shared" si="55"/>
        <v>1020</v>
      </c>
      <c r="CF44">
        <v>567</v>
      </c>
      <c r="CG44">
        <v>315</v>
      </c>
      <c r="CH44">
        <f t="shared" si="169"/>
        <v>882</v>
      </c>
      <c r="CK44">
        <f t="shared" si="170"/>
        <v>0</v>
      </c>
      <c r="CN44">
        <f t="shared" si="171"/>
        <v>0</v>
      </c>
      <c r="CQ44">
        <f t="shared" si="172"/>
        <v>0</v>
      </c>
      <c r="CT44">
        <f t="shared" si="173"/>
        <v>0</v>
      </c>
      <c r="CX44">
        <f t="shared" si="175"/>
        <v>567</v>
      </c>
      <c r="CY44">
        <f t="shared" si="56"/>
        <v>315</v>
      </c>
      <c r="CZ44">
        <f t="shared" si="57"/>
        <v>882</v>
      </c>
      <c r="DA44">
        <f t="shared" si="183"/>
        <v>14949</v>
      </c>
      <c r="DB44">
        <f t="shared" si="184"/>
        <v>35239</v>
      </c>
      <c r="DC44">
        <f t="shared" si="185"/>
        <v>50188</v>
      </c>
      <c r="DD44">
        <f t="shared" si="186"/>
        <v>0</v>
      </c>
      <c r="DE44">
        <f t="shared" si="187"/>
        <v>0</v>
      </c>
      <c r="DF44">
        <f t="shared" si="188"/>
        <v>0</v>
      </c>
      <c r="DG44">
        <f t="shared" si="189"/>
        <v>0</v>
      </c>
      <c r="DH44">
        <f t="shared" si="190"/>
        <v>0</v>
      </c>
      <c r="DI44">
        <f t="shared" si="191"/>
        <v>0</v>
      </c>
      <c r="DJ44">
        <f t="shared" si="192"/>
        <v>0</v>
      </c>
      <c r="DK44">
        <f t="shared" si="193"/>
        <v>0</v>
      </c>
      <c r="DL44">
        <f t="shared" si="194"/>
        <v>0</v>
      </c>
      <c r="DM44">
        <f t="shared" si="195"/>
        <v>0</v>
      </c>
      <c r="DN44">
        <f t="shared" si="196"/>
        <v>0</v>
      </c>
      <c r="DO44">
        <f t="shared" si="197"/>
        <v>0</v>
      </c>
      <c r="DP44">
        <f t="shared" si="198"/>
        <v>0</v>
      </c>
      <c r="DQ44">
        <f t="shared" si="199"/>
        <v>0</v>
      </c>
      <c r="DR44">
        <f t="shared" si="200"/>
        <v>0</v>
      </c>
      <c r="DS44">
        <f t="shared" si="201"/>
        <v>14949</v>
      </c>
      <c r="DT44">
        <f t="shared" si="202"/>
        <v>35239</v>
      </c>
      <c r="DU44">
        <f t="shared" si="203"/>
        <v>50188</v>
      </c>
      <c r="DV44">
        <f t="shared" si="204"/>
        <v>13128</v>
      </c>
      <c r="DW44">
        <f t="shared" si="205"/>
        <v>27758</v>
      </c>
      <c r="DX44">
        <f t="shared" si="206"/>
        <v>40886</v>
      </c>
      <c r="DY44">
        <f t="shared" si="207"/>
        <v>0</v>
      </c>
      <c r="DZ44">
        <f t="shared" si="208"/>
        <v>0</v>
      </c>
      <c r="EA44">
        <f t="shared" si="209"/>
        <v>0</v>
      </c>
      <c r="EB44">
        <f t="shared" si="210"/>
        <v>0</v>
      </c>
      <c r="EC44">
        <f t="shared" si="211"/>
        <v>0</v>
      </c>
      <c r="ED44">
        <f t="shared" si="212"/>
        <v>0</v>
      </c>
      <c r="EE44">
        <f t="shared" si="213"/>
        <v>0</v>
      </c>
      <c r="EF44">
        <f t="shared" si="214"/>
        <v>0</v>
      </c>
      <c r="EG44">
        <f t="shared" si="215"/>
        <v>0</v>
      </c>
      <c r="EH44">
        <f t="shared" si="216"/>
        <v>0</v>
      </c>
      <c r="EI44">
        <f t="shared" si="217"/>
        <v>0</v>
      </c>
      <c r="EJ44">
        <f t="shared" si="218"/>
        <v>0</v>
      </c>
      <c r="EK44">
        <f t="shared" si="219"/>
        <v>0</v>
      </c>
      <c r="EL44">
        <f t="shared" si="220"/>
        <v>0</v>
      </c>
      <c r="EM44">
        <f t="shared" si="221"/>
        <v>0</v>
      </c>
      <c r="EN44">
        <f t="shared" si="222"/>
        <v>13128</v>
      </c>
      <c r="EO44">
        <f t="shared" si="223"/>
        <v>27758</v>
      </c>
      <c r="EP44">
        <f t="shared" si="224"/>
        <v>40886</v>
      </c>
    </row>
    <row r="45" spans="1:146">
      <c r="A45" s="94">
        <v>35</v>
      </c>
      <c r="B45" s="118" t="s">
        <v>163</v>
      </c>
      <c r="E45">
        <f t="shared" si="146"/>
        <v>0</v>
      </c>
      <c r="H45">
        <f t="shared" si="147"/>
        <v>0</v>
      </c>
      <c r="K45">
        <f t="shared" si="148"/>
        <v>0</v>
      </c>
      <c r="N45">
        <f t="shared" si="149"/>
        <v>0</v>
      </c>
      <c r="Q45">
        <f t="shared" si="150"/>
        <v>0</v>
      </c>
      <c r="AD45">
        <f t="shared" si="152"/>
        <v>0</v>
      </c>
      <c r="AE45">
        <f t="shared" si="153"/>
        <v>0</v>
      </c>
      <c r="AF45">
        <f t="shared" si="154"/>
        <v>0</v>
      </c>
      <c r="AI45">
        <f t="shared" si="155"/>
        <v>0</v>
      </c>
      <c r="AL45">
        <f t="shared" si="156"/>
        <v>0</v>
      </c>
      <c r="AO45">
        <f t="shared" si="157"/>
        <v>0</v>
      </c>
      <c r="AR45">
        <f t="shared" si="158"/>
        <v>0</v>
      </c>
      <c r="AU45">
        <f t="shared" si="159"/>
        <v>0</v>
      </c>
      <c r="BH45">
        <f t="shared" si="161"/>
        <v>0</v>
      </c>
      <c r="BI45">
        <f t="shared" si="52"/>
        <v>0</v>
      </c>
      <c r="BJ45">
        <f t="shared" si="53"/>
        <v>0</v>
      </c>
      <c r="BM45">
        <f t="shared" si="162"/>
        <v>0</v>
      </c>
      <c r="BP45">
        <f t="shared" si="163"/>
        <v>0</v>
      </c>
      <c r="BS45">
        <f t="shared" si="164"/>
        <v>0</v>
      </c>
      <c r="BV45">
        <f t="shared" si="165"/>
        <v>0</v>
      </c>
      <c r="BY45">
        <f t="shared" si="166"/>
        <v>0</v>
      </c>
      <c r="CB45">
        <f t="shared" si="167"/>
        <v>0</v>
      </c>
      <c r="CC45">
        <f t="shared" si="168"/>
        <v>0</v>
      </c>
      <c r="CD45">
        <f t="shared" si="54"/>
        <v>0</v>
      </c>
      <c r="CE45">
        <f t="shared" si="55"/>
        <v>0</v>
      </c>
      <c r="CH45">
        <f t="shared" si="169"/>
        <v>0</v>
      </c>
      <c r="CK45">
        <f t="shared" si="170"/>
        <v>0</v>
      </c>
      <c r="CN45">
        <f t="shared" si="171"/>
        <v>0</v>
      </c>
      <c r="CQ45">
        <f t="shared" si="172"/>
        <v>0</v>
      </c>
      <c r="CT45">
        <f t="shared" si="173"/>
        <v>0</v>
      </c>
      <c r="CX45">
        <f t="shared" si="175"/>
        <v>0</v>
      </c>
      <c r="CY45">
        <f t="shared" si="56"/>
        <v>0</v>
      </c>
      <c r="CZ45">
        <f t="shared" si="57"/>
        <v>0</v>
      </c>
      <c r="DA45">
        <f t="shared" si="183"/>
        <v>0</v>
      </c>
      <c r="DB45">
        <f t="shared" si="184"/>
        <v>0</v>
      </c>
      <c r="DC45">
        <f t="shared" si="185"/>
        <v>0</v>
      </c>
      <c r="DD45">
        <f t="shared" si="186"/>
        <v>0</v>
      </c>
      <c r="DE45">
        <f t="shared" si="187"/>
        <v>0</v>
      </c>
      <c r="DF45">
        <f t="shared" si="188"/>
        <v>0</v>
      </c>
      <c r="DG45">
        <f t="shared" si="189"/>
        <v>0</v>
      </c>
      <c r="DH45">
        <f t="shared" si="190"/>
        <v>0</v>
      </c>
      <c r="DI45">
        <f t="shared" si="191"/>
        <v>0</v>
      </c>
      <c r="DJ45">
        <f t="shared" si="192"/>
        <v>0</v>
      </c>
      <c r="DK45">
        <f t="shared" si="193"/>
        <v>0</v>
      </c>
      <c r="DL45">
        <f t="shared" si="194"/>
        <v>0</v>
      </c>
      <c r="DM45">
        <f t="shared" si="195"/>
        <v>0</v>
      </c>
      <c r="DN45">
        <f t="shared" si="196"/>
        <v>0</v>
      </c>
      <c r="DO45">
        <f t="shared" si="197"/>
        <v>0</v>
      </c>
      <c r="DP45">
        <f t="shared" si="198"/>
        <v>0</v>
      </c>
      <c r="DQ45">
        <f t="shared" si="199"/>
        <v>0</v>
      </c>
      <c r="DR45">
        <f t="shared" si="200"/>
        <v>0</v>
      </c>
      <c r="DS45">
        <f t="shared" si="201"/>
        <v>0</v>
      </c>
      <c r="DT45">
        <f t="shared" si="202"/>
        <v>0</v>
      </c>
      <c r="DU45">
        <f t="shared" si="203"/>
        <v>0</v>
      </c>
      <c r="DV45">
        <f t="shared" si="204"/>
        <v>0</v>
      </c>
      <c r="DW45">
        <f t="shared" si="205"/>
        <v>0</v>
      </c>
      <c r="DX45">
        <f t="shared" si="206"/>
        <v>0</v>
      </c>
      <c r="DY45">
        <f t="shared" si="207"/>
        <v>0</v>
      </c>
      <c r="DZ45">
        <f t="shared" si="208"/>
        <v>0</v>
      </c>
      <c r="EA45">
        <f t="shared" si="209"/>
        <v>0</v>
      </c>
      <c r="EB45">
        <f t="shared" si="210"/>
        <v>0</v>
      </c>
      <c r="EC45">
        <f t="shared" si="211"/>
        <v>0</v>
      </c>
      <c r="ED45">
        <f t="shared" si="212"/>
        <v>0</v>
      </c>
      <c r="EE45">
        <f t="shared" si="213"/>
        <v>0</v>
      </c>
      <c r="EF45">
        <f t="shared" si="214"/>
        <v>0</v>
      </c>
      <c r="EG45">
        <f t="shared" si="215"/>
        <v>0</v>
      </c>
      <c r="EH45">
        <f t="shared" si="216"/>
        <v>0</v>
      </c>
      <c r="EI45">
        <f t="shared" si="217"/>
        <v>0</v>
      </c>
      <c r="EJ45">
        <f t="shared" si="218"/>
        <v>0</v>
      </c>
      <c r="EK45">
        <f t="shared" si="219"/>
        <v>0</v>
      </c>
      <c r="EL45">
        <f t="shared" si="220"/>
        <v>0</v>
      </c>
      <c r="EM45">
        <f t="shared" si="221"/>
        <v>0</v>
      </c>
      <c r="EN45">
        <f t="shared" si="222"/>
        <v>0</v>
      </c>
      <c r="EO45">
        <f t="shared" si="223"/>
        <v>0</v>
      </c>
      <c r="EP45">
        <f t="shared" si="224"/>
        <v>0</v>
      </c>
    </row>
    <row r="46" spans="1:146" ht="28.5">
      <c r="A46" s="94">
        <v>36</v>
      </c>
      <c r="B46" s="118" t="s">
        <v>132</v>
      </c>
      <c r="C46">
        <v>759</v>
      </c>
      <c r="D46">
        <v>660</v>
      </c>
      <c r="E46">
        <f t="shared" si="146"/>
        <v>1419</v>
      </c>
      <c r="H46">
        <f t="shared" si="147"/>
        <v>0</v>
      </c>
      <c r="K46">
        <f t="shared" si="148"/>
        <v>0</v>
      </c>
      <c r="N46">
        <f t="shared" si="149"/>
        <v>0</v>
      </c>
      <c r="Q46">
        <f t="shared" si="150"/>
        <v>0</v>
      </c>
      <c r="AD46">
        <f t="shared" si="152"/>
        <v>759</v>
      </c>
      <c r="AE46">
        <f t="shared" si="153"/>
        <v>660</v>
      </c>
      <c r="AF46">
        <f t="shared" si="154"/>
        <v>1419</v>
      </c>
      <c r="AG46">
        <v>665</v>
      </c>
      <c r="AH46">
        <v>625</v>
      </c>
      <c r="AI46">
        <f t="shared" si="155"/>
        <v>1290</v>
      </c>
      <c r="AL46">
        <f t="shared" si="156"/>
        <v>0</v>
      </c>
      <c r="AO46">
        <f t="shared" si="157"/>
        <v>0</v>
      </c>
      <c r="AR46">
        <f t="shared" si="158"/>
        <v>0</v>
      </c>
      <c r="AU46">
        <f t="shared" si="159"/>
        <v>0</v>
      </c>
      <c r="BH46">
        <f t="shared" si="161"/>
        <v>665</v>
      </c>
      <c r="BI46">
        <f t="shared" si="52"/>
        <v>625</v>
      </c>
      <c r="BJ46">
        <f t="shared" si="53"/>
        <v>1290</v>
      </c>
      <c r="BK46">
        <v>0</v>
      </c>
      <c r="BL46">
        <v>329</v>
      </c>
      <c r="BM46">
        <f t="shared" si="162"/>
        <v>329</v>
      </c>
      <c r="BP46">
        <f t="shared" si="163"/>
        <v>0</v>
      </c>
      <c r="BS46">
        <f t="shared" si="164"/>
        <v>0</v>
      </c>
      <c r="BV46">
        <f t="shared" si="165"/>
        <v>0</v>
      </c>
      <c r="BY46">
        <f t="shared" si="166"/>
        <v>0</v>
      </c>
      <c r="CB46">
        <f t="shared" si="167"/>
        <v>0</v>
      </c>
      <c r="CC46">
        <f t="shared" si="168"/>
        <v>0</v>
      </c>
      <c r="CD46">
        <f t="shared" si="54"/>
        <v>329</v>
      </c>
      <c r="CE46">
        <f t="shared" si="55"/>
        <v>329</v>
      </c>
      <c r="CF46">
        <v>0</v>
      </c>
      <c r="CG46">
        <v>217</v>
      </c>
      <c r="CH46">
        <f t="shared" si="169"/>
        <v>217</v>
      </c>
      <c r="CK46">
        <f t="shared" si="170"/>
        <v>0</v>
      </c>
      <c r="CN46">
        <f t="shared" si="171"/>
        <v>0</v>
      </c>
      <c r="CQ46">
        <f t="shared" si="172"/>
        <v>0</v>
      </c>
      <c r="CT46">
        <f t="shared" si="173"/>
        <v>0</v>
      </c>
      <c r="CX46">
        <f t="shared" si="175"/>
        <v>0</v>
      </c>
      <c r="CY46">
        <f t="shared" si="56"/>
        <v>217</v>
      </c>
      <c r="CZ46">
        <f t="shared" si="57"/>
        <v>217</v>
      </c>
      <c r="DA46">
        <f t="shared" si="183"/>
        <v>759</v>
      </c>
      <c r="DB46">
        <f t="shared" si="184"/>
        <v>989</v>
      </c>
      <c r="DC46">
        <f t="shared" si="185"/>
        <v>1748</v>
      </c>
      <c r="DD46">
        <f t="shared" si="186"/>
        <v>0</v>
      </c>
      <c r="DE46">
        <f t="shared" si="187"/>
        <v>0</v>
      </c>
      <c r="DF46">
        <f t="shared" si="188"/>
        <v>0</v>
      </c>
      <c r="DG46">
        <f t="shared" si="189"/>
        <v>0</v>
      </c>
      <c r="DH46">
        <f t="shared" si="190"/>
        <v>0</v>
      </c>
      <c r="DI46">
        <f t="shared" si="191"/>
        <v>0</v>
      </c>
      <c r="DJ46">
        <f t="shared" si="192"/>
        <v>0</v>
      </c>
      <c r="DK46">
        <f t="shared" si="193"/>
        <v>0</v>
      </c>
      <c r="DL46">
        <f t="shared" si="194"/>
        <v>0</v>
      </c>
      <c r="DM46">
        <f t="shared" si="195"/>
        <v>0</v>
      </c>
      <c r="DN46">
        <f t="shared" si="196"/>
        <v>0</v>
      </c>
      <c r="DO46">
        <f t="shared" si="197"/>
        <v>0</v>
      </c>
      <c r="DP46">
        <f t="shared" si="198"/>
        <v>0</v>
      </c>
      <c r="DQ46">
        <f t="shared" si="199"/>
        <v>0</v>
      </c>
      <c r="DR46">
        <f t="shared" si="200"/>
        <v>0</v>
      </c>
      <c r="DS46">
        <f t="shared" si="201"/>
        <v>759</v>
      </c>
      <c r="DT46">
        <f t="shared" si="202"/>
        <v>989</v>
      </c>
      <c r="DU46">
        <f t="shared" si="203"/>
        <v>1748</v>
      </c>
      <c r="DV46">
        <f t="shared" si="204"/>
        <v>665</v>
      </c>
      <c r="DW46">
        <f t="shared" si="205"/>
        <v>842</v>
      </c>
      <c r="DX46">
        <f t="shared" si="206"/>
        <v>1507</v>
      </c>
      <c r="DY46">
        <f t="shared" si="207"/>
        <v>0</v>
      </c>
      <c r="DZ46">
        <f t="shared" si="208"/>
        <v>0</v>
      </c>
      <c r="EA46">
        <f t="shared" si="209"/>
        <v>0</v>
      </c>
      <c r="EB46">
        <f t="shared" si="210"/>
        <v>0</v>
      </c>
      <c r="EC46">
        <f t="shared" si="211"/>
        <v>0</v>
      </c>
      <c r="ED46">
        <f t="shared" si="212"/>
        <v>0</v>
      </c>
      <c r="EE46">
        <f t="shared" si="213"/>
        <v>0</v>
      </c>
      <c r="EF46">
        <f t="shared" si="214"/>
        <v>0</v>
      </c>
      <c r="EG46">
        <f t="shared" si="215"/>
        <v>0</v>
      </c>
      <c r="EH46">
        <f t="shared" si="216"/>
        <v>0</v>
      </c>
      <c r="EI46">
        <f t="shared" si="217"/>
        <v>0</v>
      </c>
      <c r="EJ46">
        <f t="shared" si="218"/>
        <v>0</v>
      </c>
      <c r="EK46">
        <f t="shared" si="219"/>
        <v>0</v>
      </c>
      <c r="EL46">
        <f t="shared" si="220"/>
        <v>0</v>
      </c>
      <c r="EM46">
        <f t="shared" si="221"/>
        <v>0</v>
      </c>
      <c r="EN46">
        <f t="shared" si="222"/>
        <v>665</v>
      </c>
      <c r="EO46">
        <f t="shared" si="223"/>
        <v>842</v>
      </c>
      <c r="EP46">
        <f t="shared" si="224"/>
        <v>1507</v>
      </c>
    </row>
    <row r="47" spans="1:146" ht="28.5">
      <c r="A47" s="94">
        <v>37</v>
      </c>
      <c r="B47" s="118" t="s">
        <v>157</v>
      </c>
      <c r="E47">
        <f t="shared" si="146"/>
        <v>0</v>
      </c>
      <c r="H47">
        <f t="shared" si="147"/>
        <v>0</v>
      </c>
      <c r="K47">
        <f t="shared" si="148"/>
        <v>0</v>
      </c>
      <c r="N47">
        <f t="shared" si="149"/>
        <v>0</v>
      </c>
      <c r="Q47">
        <f t="shared" si="150"/>
        <v>0</v>
      </c>
      <c r="AD47">
        <f t="shared" si="152"/>
        <v>0</v>
      </c>
      <c r="AE47">
        <f t="shared" si="153"/>
        <v>0</v>
      </c>
      <c r="AF47">
        <f t="shared" si="154"/>
        <v>0</v>
      </c>
      <c r="AI47">
        <f t="shared" si="155"/>
        <v>0</v>
      </c>
      <c r="AL47">
        <f t="shared" si="156"/>
        <v>0</v>
      </c>
      <c r="AO47">
        <f t="shared" si="157"/>
        <v>0</v>
      </c>
      <c r="AR47">
        <f t="shared" si="158"/>
        <v>0</v>
      </c>
      <c r="AU47">
        <f t="shared" si="159"/>
        <v>0</v>
      </c>
      <c r="BH47">
        <f t="shared" si="161"/>
        <v>0</v>
      </c>
      <c r="BI47">
        <f t="shared" si="52"/>
        <v>0</v>
      </c>
      <c r="BJ47">
        <f t="shared" si="53"/>
        <v>0</v>
      </c>
      <c r="BM47">
        <f t="shared" si="162"/>
        <v>0</v>
      </c>
      <c r="BP47">
        <f t="shared" si="163"/>
        <v>0</v>
      </c>
      <c r="BS47">
        <f t="shared" si="164"/>
        <v>0</v>
      </c>
      <c r="BV47">
        <f t="shared" si="165"/>
        <v>0</v>
      </c>
      <c r="BY47">
        <f t="shared" si="166"/>
        <v>0</v>
      </c>
      <c r="CB47">
        <f t="shared" si="167"/>
        <v>0</v>
      </c>
      <c r="CC47">
        <f t="shared" si="168"/>
        <v>0</v>
      </c>
      <c r="CD47">
        <f t="shared" si="54"/>
        <v>0</v>
      </c>
      <c r="CE47">
        <f t="shared" si="55"/>
        <v>0</v>
      </c>
      <c r="CH47">
        <f t="shared" si="169"/>
        <v>0</v>
      </c>
      <c r="CK47">
        <f t="shared" si="170"/>
        <v>0</v>
      </c>
      <c r="CN47">
        <f t="shared" si="171"/>
        <v>0</v>
      </c>
      <c r="CQ47">
        <f t="shared" si="172"/>
        <v>0</v>
      </c>
      <c r="CT47">
        <f t="shared" si="173"/>
        <v>0</v>
      </c>
      <c r="CX47">
        <f t="shared" si="175"/>
        <v>0</v>
      </c>
      <c r="CY47">
        <f t="shared" si="56"/>
        <v>0</v>
      </c>
      <c r="CZ47">
        <f t="shared" si="57"/>
        <v>0</v>
      </c>
      <c r="DA47">
        <f t="shared" si="183"/>
        <v>0</v>
      </c>
      <c r="DB47">
        <f t="shared" si="184"/>
        <v>0</v>
      </c>
      <c r="DC47">
        <f t="shared" si="185"/>
        <v>0</v>
      </c>
      <c r="DD47">
        <f t="shared" si="186"/>
        <v>0</v>
      </c>
      <c r="DE47">
        <f t="shared" si="187"/>
        <v>0</v>
      </c>
      <c r="DF47">
        <f t="shared" si="188"/>
        <v>0</v>
      </c>
      <c r="DG47">
        <f t="shared" si="189"/>
        <v>0</v>
      </c>
      <c r="DH47">
        <f t="shared" si="190"/>
        <v>0</v>
      </c>
      <c r="DI47">
        <f t="shared" si="191"/>
        <v>0</v>
      </c>
      <c r="DJ47">
        <f t="shared" si="192"/>
        <v>0</v>
      </c>
      <c r="DK47">
        <f t="shared" si="193"/>
        <v>0</v>
      </c>
      <c r="DL47">
        <f t="shared" si="194"/>
        <v>0</v>
      </c>
      <c r="DM47">
        <f t="shared" si="195"/>
        <v>0</v>
      </c>
      <c r="DN47">
        <f t="shared" si="196"/>
        <v>0</v>
      </c>
      <c r="DO47">
        <f t="shared" si="197"/>
        <v>0</v>
      </c>
      <c r="DP47">
        <f t="shared" si="198"/>
        <v>0</v>
      </c>
      <c r="DQ47">
        <f t="shared" si="199"/>
        <v>0</v>
      </c>
      <c r="DR47">
        <f t="shared" si="200"/>
        <v>0</v>
      </c>
      <c r="DS47">
        <f t="shared" si="201"/>
        <v>0</v>
      </c>
      <c r="DT47">
        <f t="shared" si="202"/>
        <v>0</v>
      </c>
      <c r="DU47">
        <f t="shared" si="203"/>
        <v>0</v>
      </c>
      <c r="DV47">
        <f t="shared" si="204"/>
        <v>0</v>
      </c>
      <c r="DW47">
        <f t="shared" si="205"/>
        <v>0</v>
      </c>
      <c r="DX47">
        <f t="shared" si="206"/>
        <v>0</v>
      </c>
      <c r="DY47">
        <f t="shared" si="207"/>
        <v>0</v>
      </c>
      <c r="DZ47">
        <f t="shared" si="208"/>
        <v>0</v>
      </c>
      <c r="EA47">
        <f t="shared" si="209"/>
        <v>0</v>
      </c>
      <c r="EB47">
        <f t="shared" si="210"/>
        <v>0</v>
      </c>
      <c r="EC47">
        <f t="shared" si="211"/>
        <v>0</v>
      </c>
      <c r="ED47">
        <f t="shared" si="212"/>
        <v>0</v>
      </c>
      <c r="EE47">
        <f t="shared" si="213"/>
        <v>0</v>
      </c>
      <c r="EF47">
        <f t="shared" si="214"/>
        <v>0</v>
      </c>
      <c r="EG47">
        <f t="shared" si="215"/>
        <v>0</v>
      </c>
      <c r="EH47">
        <f t="shared" si="216"/>
        <v>0</v>
      </c>
      <c r="EI47">
        <f t="shared" si="217"/>
        <v>0</v>
      </c>
      <c r="EJ47">
        <f t="shared" si="218"/>
        <v>0</v>
      </c>
      <c r="EK47">
        <f t="shared" si="219"/>
        <v>0</v>
      </c>
      <c r="EL47">
        <f t="shared" si="220"/>
        <v>0</v>
      </c>
      <c r="EM47">
        <f t="shared" si="221"/>
        <v>0</v>
      </c>
      <c r="EN47">
        <f t="shared" si="222"/>
        <v>0</v>
      </c>
      <c r="EO47">
        <f t="shared" si="223"/>
        <v>0</v>
      </c>
      <c r="EP47">
        <f t="shared" si="224"/>
        <v>0</v>
      </c>
    </row>
    <row r="48" spans="1:146">
      <c r="A48" s="94">
        <v>38</v>
      </c>
      <c r="B48" s="118" t="s">
        <v>385</v>
      </c>
      <c r="C48">
        <v>6</v>
      </c>
      <c r="D48">
        <v>4</v>
      </c>
      <c r="E48">
        <f t="shared" si="146"/>
        <v>10</v>
      </c>
      <c r="H48">
        <f t="shared" si="147"/>
        <v>0</v>
      </c>
      <c r="I48">
        <v>1</v>
      </c>
      <c r="J48">
        <v>2</v>
      </c>
      <c r="K48">
        <f t="shared" si="148"/>
        <v>3</v>
      </c>
      <c r="N48">
        <f t="shared" si="149"/>
        <v>0</v>
      </c>
      <c r="Q48">
        <f t="shared" si="150"/>
        <v>0</v>
      </c>
      <c r="AD48">
        <f t="shared" si="152"/>
        <v>7</v>
      </c>
      <c r="AE48">
        <f t="shared" si="153"/>
        <v>6</v>
      </c>
      <c r="AF48">
        <f t="shared" si="154"/>
        <v>13</v>
      </c>
      <c r="AG48">
        <v>6</v>
      </c>
      <c r="AH48">
        <v>3</v>
      </c>
      <c r="AI48">
        <f t="shared" si="155"/>
        <v>9</v>
      </c>
      <c r="AL48">
        <f t="shared" si="156"/>
        <v>0</v>
      </c>
      <c r="AM48">
        <v>2</v>
      </c>
      <c r="AN48">
        <v>3</v>
      </c>
      <c r="AO48">
        <f t="shared" si="157"/>
        <v>5</v>
      </c>
      <c r="AR48">
        <f t="shared" si="158"/>
        <v>0</v>
      </c>
      <c r="AU48">
        <f t="shared" si="159"/>
        <v>0</v>
      </c>
      <c r="BH48">
        <f t="shared" si="161"/>
        <v>8</v>
      </c>
      <c r="BI48">
        <f t="shared" si="52"/>
        <v>6</v>
      </c>
      <c r="BJ48">
        <f t="shared" si="53"/>
        <v>14</v>
      </c>
      <c r="BM48">
        <f t="shared" si="162"/>
        <v>0</v>
      </c>
      <c r="BP48">
        <f t="shared" si="163"/>
        <v>0</v>
      </c>
      <c r="BS48">
        <f t="shared" si="164"/>
        <v>0</v>
      </c>
      <c r="BV48">
        <f t="shared" si="165"/>
        <v>0</v>
      </c>
      <c r="BY48">
        <f t="shared" si="166"/>
        <v>0</v>
      </c>
      <c r="CB48">
        <f t="shared" si="167"/>
        <v>0</v>
      </c>
      <c r="CC48">
        <f t="shared" si="168"/>
        <v>0</v>
      </c>
      <c r="CD48">
        <f t="shared" si="54"/>
        <v>0</v>
      </c>
      <c r="CE48">
        <f t="shared" si="55"/>
        <v>0</v>
      </c>
      <c r="CH48">
        <f t="shared" si="169"/>
        <v>0</v>
      </c>
      <c r="CK48">
        <f t="shared" si="170"/>
        <v>0</v>
      </c>
      <c r="CN48">
        <f t="shared" si="171"/>
        <v>0</v>
      </c>
      <c r="CQ48">
        <f t="shared" si="172"/>
        <v>0</v>
      </c>
      <c r="CT48">
        <f t="shared" si="173"/>
        <v>0</v>
      </c>
      <c r="CX48">
        <f t="shared" si="175"/>
        <v>0</v>
      </c>
      <c r="CY48">
        <f t="shared" si="56"/>
        <v>0</v>
      </c>
      <c r="CZ48">
        <f t="shared" si="57"/>
        <v>0</v>
      </c>
      <c r="DA48">
        <f t="shared" si="183"/>
        <v>6</v>
      </c>
      <c r="DB48">
        <f t="shared" si="184"/>
        <v>4</v>
      </c>
      <c r="DC48">
        <f t="shared" si="185"/>
        <v>10</v>
      </c>
      <c r="DD48">
        <f t="shared" si="186"/>
        <v>0</v>
      </c>
      <c r="DE48">
        <f t="shared" si="187"/>
        <v>0</v>
      </c>
      <c r="DF48">
        <f t="shared" si="188"/>
        <v>0</v>
      </c>
      <c r="DG48">
        <f t="shared" si="189"/>
        <v>1</v>
      </c>
      <c r="DH48">
        <f t="shared" si="190"/>
        <v>2</v>
      </c>
      <c r="DI48">
        <f t="shared" si="191"/>
        <v>3</v>
      </c>
      <c r="DJ48">
        <f t="shared" si="192"/>
        <v>0</v>
      </c>
      <c r="DK48">
        <f t="shared" si="193"/>
        <v>0</v>
      </c>
      <c r="DL48">
        <f t="shared" si="194"/>
        <v>0</v>
      </c>
      <c r="DM48">
        <f t="shared" si="195"/>
        <v>0</v>
      </c>
      <c r="DN48">
        <f t="shared" si="196"/>
        <v>0</v>
      </c>
      <c r="DO48">
        <f t="shared" si="197"/>
        <v>0</v>
      </c>
      <c r="DP48">
        <f t="shared" si="198"/>
        <v>0</v>
      </c>
      <c r="DQ48">
        <f t="shared" si="199"/>
        <v>0</v>
      </c>
      <c r="DR48">
        <f t="shared" si="200"/>
        <v>0</v>
      </c>
      <c r="DS48">
        <f t="shared" si="201"/>
        <v>7</v>
      </c>
      <c r="DT48">
        <f t="shared" si="202"/>
        <v>6</v>
      </c>
      <c r="DU48">
        <f t="shared" si="203"/>
        <v>13</v>
      </c>
      <c r="DV48">
        <f t="shared" si="204"/>
        <v>6</v>
      </c>
      <c r="DW48">
        <f t="shared" si="205"/>
        <v>3</v>
      </c>
      <c r="DX48">
        <f t="shared" si="206"/>
        <v>9</v>
      </c>
      <c r="DY48">
        <f t="shared" si="207"/>
        <v>0</v>
      </c>
      <c r="DZ48">
        <f t="shared" si="208"/>
        <v>0</v>
      </c>
      <c r="EA48">
        <f t="shared" si="209"/>
        <v>0</v>
      </c>
      <c r="EB48">
        <f t="shared" si="210"/>
        <v>2</v>
      </c>
      <c r="EC48">
        <f t="shared" si="211"/>
        <v>3</v>
      </c>
      <c r="ED48">
        <f t="shared" si="212"/>
        <v>5</v>
      </c>
      <c r="EE48">
        <f t="shared" si="213"/>
        <v>0</v>
      </c>
      <c r="EF48">
        <f t="shared" si="214"/>
        <v>0</v>
      </c>
      <c r="EG48">
        <f t="shared" si="215"/>
        <v>0</v>
      </c>
      <c r="EH48">
        <f t="shared" si="216"/>
        <v>0</v>
      </c>
      <c r="EI48">
        <f t="shared" si="217"/>
        <v>0</v>
      </c>
      <c r="EJ48">
        <f t="shared" si="218"/>
        <v>0</v>
      </c>
      <c r="EK48">
        <f t="shared" si="219"/>
        <v>0</v>
      </c>
      <c r="EL48">
        <f t="shared" si="220"/>
        <v>0</v>
      </c>
      <c r="EM48">
        <f t="shared" si="221"/>
        <v>0</v>
      </c>
      <c r="EN48">
        <f t="shared" si="222"/>
        <v>8</v>
      </c>
      <c r="EO48">
        <f t="shared" si="223"/>
        <v>6</v>
      </c>
      <c r="EP48">
        <f t="shared" si="224"/>
        <v>14</v>
      </c>
    </row>
    <row r="49" spans="1:146">
      <c r="A49" s="94">
        <v>39</v>
      </c>
      <c r="B49" s="118" t="s">
        <v>166</v>
      </c>
      <c r="C49">
        <v>1</v>
      </c>
      <c r="D49">
        <v>2</v>
      </c>
      <c r="E49">
        <f t="shared" si="146"/>
        <v>3</v>
      </c>
      <c r="H49">
        <f t="shared" si="147"/>
        <v>0</v>
      </c>
      <c r="K49">
        <f t="shared" si="148"/>
        <v>0</v>
      </c>
      <c r="N49">
        <f t="shared" si="149"/>
        <v>0</v>
      </c>
      <c r="Q49">
        <f t="shared" si="150"/>
        <v>0</v>
      </c>
      <c r="AD49">
        <f t="shared" si="152"/>
        <v>1</v>
      </c>
      <c r="AE49">
        <f t="shared" si="153"/>
        <v>2</v>
      </c>
      <c r="AF49">
        <f t="shared" si="154"/>
        <v>3</v>
      </c>
      <c r="AG49">
        <v>1</v>
      </c>
      <c r="AH49">
        <v>2</v>
      </c>
      <c r="AI49">
        <f t="shared" si="155"/>
        <v>3</v>
      </c>
      <c r="AL49">
        <f t="shared" si="156"/>
        <v>0</v>
      </c>
      <c r="AO49">
        <f t="shared" si="157"/>
        <v>0</v>
      </c>
      <c r="AR49">
        <f t="shared" si="158"/>
        <v>0</v>
      </c>
      <c r="AU49">
        <f t="shared" si="159"/>
        <v>0</v>
      </c>
      <c r="BH49">
        <f t="shared" si="161"/>
        <v>1</v>
      </c>
      <c r="BI49">
        <f t="shared" si="52"/>
        <v>2</v>
      </c>
      <c r="BJ49">
        <f t="shared" si="53"/>
        <v>3</v>
      </c>
      <c r="BM49">
        <f t="shared" si="162"/>
        <v>0</v>
      </c>
      <c r="BP49">
        <f t="shared" si="163"/>
        <v>0</v>
      </c>
      <c r="BS49">
        <f t="shared" si="164"/>
        <v>0</v>
      </c>
      <c r="BV49">
        <f t="shared" si="165"/>
        <v>0</v>
      </c>
      <c r="BY49">
        <f t="shared" si="166"/>
        <v>0</v>
      </c>
      <c r="CB49">
        <f t="shared" si="167"/>
        <v>0</v>
      </c>
      <c r="CC49">
        <f t="shared" si="168"/>
        <v>0</v>
      </c>
      <c r="CD49">
        <f t="shared" si="54"/>
        <v>0</v>
      </c>
      <c r="CE49">
        <f t="shared" si="55"/>
        <v>0</v>
      </c>
      <c r="CH49">
        <f t="shared" si="169"/>
        <v>0</v>
      </c>
      <c r="CK49">
        <f t="shared" si="170"/>
        <v>0</v>
      </c>
      <c r="CN49">
        <f t="shared" si="171"/>
        <v>0</v>
      </c>
      <c r="CQ49">
        <f t="shared" si="172"/>
        <v>0</v>
      </c>
      <c r="CT49">
        <f t="shared" si="173"/>
        <v>0</v>
      </c>
      <c r="CX49">
        <f t="shared" si="175"/>
        <v>0</v>
      </c>
      <c r="CY49">
        <f t="shared" si="56"/>
        <v>0</v>
      </c>
      <c r="CZ49">
        <f t="shared" si="57"/>
        <v>0</v>
      </c>
      <c r="DA49">
        <f t="shared" si="183"/>
        <v>1</v>
      </c>
      <c r="DB49">
        <f t="shared" si="184"/>
        <v>2</v>
      </c>
      <c r="DC49">
        <f t="shared" si="185"/>
        <v>3</v>
      </c>
      <c r="DD49">
        <f t="shared" si="186"/>
        <v>0</v>
      </c>
      <c r="DE49">
        <f t="shared" si="187"/>
        <v>0</v>
      </c>
      <c r="DF49">
        <f t="shared" si="188"/>
        <v>0</v>
      </c>
      <c r="DG49">
        <f t="shared" si="189"/>
        <v>0</v>
      </c>
      <c r="DH49">
        <f t="shared" si="190"/>
        <v>0</v>
      </c>
      <c r="DI49">
        <f t="shared" si="191"/>
        <v>0</v>
      </c>
      <c r="DJ49">
        <f t="shared" si="192"/>
        <v>0</v>
      </c>
      <c r="DK49">
        <f t="shared" si="193"/>
        <v>0</v>
      </c>
      <c r="DL49">
        <f t="shared" si="194"/>
        <v>0</v>
      </c>
      <c r="DM49">
        <f t="shared" si="195"/>
        <v>0</v>
      </c>
      <c r="DN49">
        <f t="shared" si="196"/>
        <v>0</v>
      </c>
      <c r="DO49">
        <f t="shared" si="197"/>
        <v>0</v>
      </c>
      <c r="DP49">
        <f t="shared" si="198"/>
        <v>0</v>
      </c>
      <c r="DQ49">
        <f t="shared" si="199"/>
        <v>0</v>
      </c>
      <c r="DR49">
        <f t="shared" si="200"/>
        <v>0</v>
      </c>
      <c r="DS49">
        <f t="shared" si="201"/>
        <v>1</v>
      </c>
      <c r="DT49">
        <f t="shared" si="202"/>
        <v>2</v>
      </c>
      <c r="DU49">
        <f t="shared" si="203"/>
        <v>3</v>
      </c>
      <c r="DV49">
        <f t="shared" si="204"/>
        <v>1</v>
      </c>
      <c r="DW49">
        <f t="shared" si="205"/>
        <v>2</v>
      </c>
      <c r="DX49">
        <f t="shared" si="206"/>
        <v>3</v>
      </c>
      <c r="DY49">
        <f t="shared" si="207"/>
        <v>0</v>
      </c>
      <c r="DZ49">
        <f t="shared" si="208"/>
        <v>0</v>
      </c>
      <c r="EA49">
        <f t="shared" si="209"/>
        <v>0</v>
      </c>
      <c r="EB49">
        <f t="shared" si="210"/>
        <v>0</v>
      </c>
      <c r="EC49">
        <f t="shared" si="211"/>
        <v>0</v>
      </c>
      <c r="ED49">
        <f t="shared" si="212"/>
        <v>0</v>
      </c>
      <c r="EE49">
        <f t="shared" si="213"/>
        <v>0</v>
      </c>
      <c r="EF49">
        <f t="shared" si="214"/>
        <v>0</v>
      </c>
      <c r="EG49">
        <f t="shared" si="215"/>
        <v>0</v>
      </c>
      <c r="EH49">
        <f t="shared" si="216"/>
        <v>0</v>
      </c>
      <c r="EI49">
        <f t="shared" si="217"/>
        <v>0</v>
      </c>
      <c r="EJ49">
        <f t="shared" si="218"/>
        <v>0</v>
      </c>
      <c r="EK49">
        <f t="shared" si="219"/>
        <v>0</v>
      </c>
      <c r="EL49">
        <f t="shared" si="220"/>
        <v>0</v>
      </c>
      <c r="EM49">
        <f t="shared" si="221"/>
        <v>0</v>
      </c>
      <c r="EN49">
        <f t="shared" si="222"/>
        <v>1</v>
      </c>
      <c r="EO49">
        <f t="shared" si="223"/>
        <v>2</v>
      </c>
      <c r="EP49">
        <f t="shared" si="224"/>
        <v>3</v>
      </c>
    </row>
    <row r="50" spans="1:146" ht="28.5">
      <c r="A50" s="94">
        <v>40</v>
      </c>
      <c r="B50" s="118" t="s">
        <v>167</v>
      </c>
      <c r="E50">
        <f t="shared" si="146"/>
        <v>0</v>
      </c>
      <c r="H50">
        <f t="shared" si="147"/>
        <v>0</v>
      </c>
      <c r="K50">
        <f t="shared" si="148"/>
        <v>0</v>
      </c>
      <c r="N50">
        <f t="shared" si="149"/>
        <v>0</v>
      </c>
      <c r="Q50">
        <f t="shared" si="150"/>
        <v>0</v>
      </c>
      <c r="AD50">
        <f t="shared" si="152"/>
        <v>0</v>
      </c>
      <c r="AE50">
        <f t="shared" si="153"/>
        <v>0</v>
      </c>
      <c r="AF50">
        <f t="shared" si="154"/>
        <v>0</v>
      </c>
      <c r="AI50">
        <f t="shared" si="155"/>
        <v>0</v>
      </c>
      <c r="AL50">
        <f t="shared" si="156"/>
        <v>0</v>
      </c>
      <c r="AO50">
        <f t="shared" si="157"/>
        <v>0</v>
      </c>
      <c r="AR50">
        <f t="shared" si="158"/>
        <v>0</v>
      </c>
      <c r="AU50">
        <f t="shared" si="159"/>
        <v>0</v>
      </c>
      <c r="BH50">
        <f t="shared" si="161"/>
        <v>0</v>
      </c>
      <c r="BI50">
        <f t="shared" si="52"/>
        <v>0</v>
      </c>
      <c r="BJ50">
        <f t="shared" si="53"/>
        <v>0</v>
      </c>
      <c r="BM50">
        <f t="shared" si="162"/>
        <v>0</v>
      </c>
      <c r="BP50">
        <f t="shared" si="163"/>
        <v>0</v>
      </c>
      <c r="BS50">
        <f t="shared" si="164"/>
        <v>0</v>
      </c>
      <c r="BV50">
        <f t="shared" si="165"/>
        <v>0</v>
      </c>
      <c r="BY50">
        <f t="shared" si="166"/>
        <v>0</v>
      </c>
      <c r="CB50">
        <f t="shared" si="167"/>
        <v>0</v>
      </c>
      <c r="CC50">
        <f t="shared" si="168"/>
        <v>0</v>
      </c>
      <c r="CD50">
        <f t="shared" si="54"/>
        <v>0</v>
      </c>
      <c r="CE50">
        <f t="shared" si="55"/>
        <v>0</v>
      </c>
      <c r="CH50">
        <f t="shared" si="169"/>
        <v>0</v>
      </c>
      <c r="CK50">
        <f t="shared" si="170"/>
        <v>0</v>
      </c>
      <c r="CN50">
        <f t="shared" si="171"/>
        <v>0</v>
      </c>
      <c r="CQ50">
        <f t="shared" si="172"/>
        <v>0</v>
      </c>
      <c r="CT50">
        <f t="shared" si="173"/>
        <v>0</v>
      </c>
      <c r="CX50">
        <f t="shared" si="175"/>
        <v>0</v>
      </c>
      <c r="CY50">
        <f t="shared" si="56"/>
        <v>0</v>
      </c>
      <c r="CZ50">
        <f t="shared" si="57"/>
        <v>0</v>
      </c>
      <c r="DA50">
        <f t="shared" si="183"/>
        <v>0</v>
      </c>
      <c r="DB50">
        <f t="shared" si="184"/>
        <v>0</v>
      </c>
      <c r="DC50">
        <f t="shared" si="185"/>
        <v>0</v>
      </c>
      <c r="DD50">
        <f t="shared" si="186"/>
        <v>0</v>
      </c>
      <c r="DE50">
        <f t="shared" si="187"/>
        <v>0</v>
      </c>
      <c r="DF50">
        <f t="shared" si="188"/>
        <v>0</v>
      </c>
      <c r="DG50">
        <f t="shared" si="189"/>
        <v>0</v>
      </c>
      <c r="DH50">
        <f t="shared" si="190"/>
        <v>0</v>
      </c>
      <c r="DI50">
        <f t="shared" si="191"/>
        <v>0</v>
      </c>
      <c r="DJ50">
        <f t="shared" si="192"/>
        <v>0</v>
      </c>
      <c r="DK50">
        <f t="shared" si="193"/>
        <v>0</v>
      </c>
      <c r="DL50">
        <f t="shared" si="194"/>
        <v>0</v>
      </c>
      <c r="DM50">
        <f t="shared" si="195"/>
        <v>0</v>
      </c>
      <c r="DN50">
        <f t="shared" si="196"/>
        <v>0</v>
      </c>
      <c r="DO50">
        <f t="shared" si="197"/>
        <v>0</v>
      </c>
      <c r="DP50">
        <f t="shared" si="198"/>
        <v>0</v>
      </c>
      <c r="DQ50">
        <f t="shared" si="199"/>
        <v>0</v>
      </c>
      <c r="DR50">
        <f t="shared" si="200"/>
        <v>0</v>
      </c>
      <c r="DS50">
        <f t="shared" si="201"/>
        <v>0</v>
      </c>
      <c r="DT50">
        <f t="shared" si="202"/>
        <v>0</v>
      </c>
      <c r="DU50">
        <f t="shared" si="203"/>
        <v>0</v>
      </c>
      <c r="DV50">
        <f t="shared" si="204"/>
        <v>0</v>
      </c>
      <c r="DW50">
        <f t="shared" si="205"/>
        <v>0</v>
      </c>
      <c r="DX50">
        <f t="shared" si="206"/>
        <v>0</v>
      </c>
      <c r="DY50">
        <f t="shared" si="207"/>
        <v>0</v>
      </c>
      <c r="DZ50">
        <f t="shared" si="208"/>
        <v>0</v>
      </c>
      <c r="EA50">
        <f t="shared" si="209"/>
        <v>0</v>
      </c>
      <c r="EB50">
        <f t="shared" si="210"/>
        <v>0</v>
      </c>
      <c r="EC50">
        <f t="shared" si="211"/>
        <v>0</v>
      </c>
      <c r="ED50">
        <f t="shared" si="212"/>
        <v>0</v>
      </c>
      <c r="EE50">
        <f t="shared" si="213"/>
        <v>0</v>
      </c>
      <c r="EF50">
        <f t="shared" si="214"/>
        <v>0</v>
      </c>
      <c r="EG50">
        <f t="shared" si="215"/>
        <v>0</v>
      </c>
      <c r="EH50">
        <f t="shared" si="216"/>
        <v>0</v>
      </c>
      <c r="EI50">
        <f t="shared" si="217"/>
        <v>0</v>
      </c>
      <c r="EJ50">
        <f t="shared" si="218"/>
        <v>0</v>
      </c>
      <c r="EK50">
        <f t="shared" si="219"/>
        <v>0</v>
      </c>
      <c r="EL50">
        <f t="shared" si="220"/>
        <v>0</v>
      </c>
      <c r="EM50">
        <f t="shared" si="221"/>
        <v>0</v>
      </c>
      <c r="EN50">
        <f t="shared" si="222"/>
        <v>0</v>
      </c>
      <c r="EO50">
        <f t="shared" si="223"/>
        <v>0</v>
      </c>
      <c r="EP50">
        <f t="shared" si="224"/>
        <v>0</v>
      </c>
    </row>
    <row r="51" spans="1:146">
      <c r="A51" s="94">
        <v>41</v>
      </c>
      <c r="B51" s="118" t="s">
        <v>214</v>
      </c>
      <c r="E51">
        <f t="shared" si="146"/>
        <v>0</v>
      </c>
      <c r="H51">
        <f t="shared" si="147"/>
        <v>0</v>
      </c>
      <c r="K51">
        <f t="shared" si="148"/>
        <v>0</v>
      </c>
      <c r="N51">
        <f t="shared" si="149"/>
        <v>0</v>
      </c>
      <c r="Q51">
        <f t="shared" si="150"/>
        <v>0</v>
      </c>
      <c r="AD51">
        <f t="shared" si="152"/>
        <v>0</v>
      </c>
      <c r="AE51">
        <f t="shared" si="153"/>
        <v>0</v>
      </c>
      <c r="AF51">
        <f t="shared" si="154"/>
        <v>0</v>
      </c>
      <c r="AI51">
        <f t="shared" si="155"/>
        <v>0</v>
      </c>
      <c r="AL51">
        <f t="shared" si="156"/>
        <v>0</v>
      </c>
      <c r="AO51">
        <f t="shared" si="157"/>
        <v>0</v>
      </c>
      <c r="AR51">
        <f t="shared" si="158"/>
        <v>0</v>
      </c>
      <c r="AU51">
        <f t="shared" si="159"/>
        <v>0</v>
      </c>
      <c r="BH51">
        <f t="shared" si="161"/>
        <v>0</v>
      </c>
      <c r="BI51">
        <f t="shared" si="52"/>
        <v>0</v>
      </c>
      <c r="BJ51">
        <f t="shared" si="53"/>
        <v>0</v>
      </c>
      <c r="BM51">
        <f t="shared" si="162"/>
        <v>0</v>
      </c>
      <c r="BP51">
        <f t="shared" si="163"/>
        <v>0</v>
      </c>
      <c r="BS51">
        <f t="shared" si="164"/>
        <v>0</v>
      </c>
      <c r="BV51">
        <f t="shared" si="165"/>
        <v>0</v>
      </c>
      <c r="BY51">
        <f t="shared" si="166"/>
        <v>0</v>
      </c>
      <c r="CB51">
        <f t="shared" si="167"/>
        <v>0</v>
      </c>
      <c r="CC51">
        <f t="shared" si="168"/>
        <v>0</v>
      </c>
      <c r="CD51">
        <f t="shared" si="54"/>
        <v>0</v>
      </c>
      <c r="CE51">
        <f t="shared" si="55"/>
        <v>0</v>
      </c>
      <c r="CH51">
        <f t="shared" si="169"/>
        <v>0</v>
      </c>
      <c r="CK51">
        <f t="shared" si="170"/>
        <v>0</v>
      </c>
      <c r="CN51">
        <f t="shared" si="171"/>
        <v>0</v>
      </c>
      <c r="CQ51">
        <f t="shared" si="172"/>
        <v>0</v>
      </c>
      <c r="CT51">
        <f t="shared" si="173"/>
        <v>0</v>
      </c>
      <c r="CX51">
        <f t="shared" si="175"/>
        <v>0</v>
      </c>
      <c r="CY51">
        <f t="shared" si="56"/>
        <v>0</v>
      </c>
      <c r="CZ51">
        <f t="shared" si="57"/>
        <v>0</v>
      </c>
      <c r="DA51">
        <f t="shared" si="183"/>
        <v>0</v>
      </c>
      <c r="DB51">
        <f t="shared" si="184"/>
        <v>0</v>
      </c>
      <c r="DC51">
        <f t="shared" si="185"/>
        <v>0</v>
      </c>
      <c r="DD51">
        <f t="shared" si="186"/>
        <v>0</v>
      </c>
      <c r="DE51">
        <f t="shared" si="187"/>
        <v>0</v>
      </c>
      <c r="DF51">
        <f t="shared" si="188"/>
        <v>0</v>
      </c>
      <c r="DG51">
        <f t="shared" si="189"/>
        <v>0</v>
      </c>
      <c r="DH51">
        <f t="shared" si="190"/>
        <v>0</v>
      </c>
      <c r="DI51">
        <f t="shared" si="191"/>
        <v>0</v>
      </c>
      <c r="DJ51">
        <f t="shared" si="192"/>
        <v>0</v>
      </c>
      <c r="DK51">
        <f t="shared" si="193"/>
        <v>0</v>
      </c>
      <c r="DL51">
        <f t="shared" si="194"/>
        <v>0</v>
      </c>
      <c r="DM51">
        <f t="shared" si="195"/>
        <v>0</v>
      </c>
      <c r="DN51">
        <f t="shared" si="196"/>
        <v>0</v>
      </c>
      <c r="DO51">
        <f t="shared" si="197"/>
        <v>0</v>
      </c>
      <c r="DP51">
        <f t="shared" si="198"/>
        <v>0</v>
      </c>
      <c r="DQ51">
        <f t="shared" si="199"/>
        <v>0</v>
      </c>
      <c r="DR51">
        <f t="shared" si="200"/>
        <v>0</v>
      </c>
      <c r="DS51">
        <f t="shared" si="201"/>
        <v>0</v>
      </c>
      <c r="DT51">
        <f t="shared" si="202"/>
        <v>0</v>
      </c>
      <c r="DU51">
        <f t="shared" si="203"/>
        <v>0</v>
      </c>
      <c r="DV51">
        <f t="shared" si="204"/>
        <v>0</v>
      </c>
      <c r="DW51">
        <f t="shared" si="205"/>
        <v>0</v>
      </c>
      <c r="DX51">
        <f t="shared" si="206"/>
        <v>0</v>
      </c>
      <c r="DY51">
        <f t="shared" si="207"/>
        <v>0</v>
      </c>
      <c r="DZ51">
        <f t="shared" si="208"/>
        <v>0</v>
      </c>
      <c r="EA51">
        <f t="shared" si="209"/>
        <v>0</v>
      </c>
      <c r="EB51">
        <f t="shared" si="210"/>
        <v>0</v>
      </c>
      <c r="EC51">
        <f t="shared" si="211"/>
        <v>0</v>
      </c>
      <c r="ED51">
        <f t="shared" si="212"/>
        <v>0</v>
      </c>
      <c r="EE51">
        <f t="shared" si="213"/>
        <v>0</v>
      </c>
      <c r="EF51">
        <f t="shared" si="214"/>
        <v>0</v>
      </c>
      <c r="EG51">
        <f t="shared" si="215"/>
        <v>0</v>
      </c>
      <c r="EH51">
        <f t="shared" si="216"/>
        <v>0</v>
      </c>
      <c r="EI51">
        <f t="shared" si="217"/>
        <v>0</v>
      </c>
      <c r="EJ51">
        <f t="shared" si="218"/>
        <v>0</v>
      </c>
      <c r="EK51">
        <f t="shared" si="219"/>
        <v>0</v>
      </c>
      <c r="EL51">
        <f t="shared" si="220"/>
        <v>0</v>
      </c>
      <c r="EM51">
        <f t="shared" si="221"/>
        <v>0</v>
      </c>
      <c r="EN51">
        <f t="shared" si="222"/>
        <v>0</v>
      </c>
      <c r="EO51">
        <f t="shared" si="223"/>
        <v>0</v>
      </c>
      <c r="EP51">
        <f t="shared" si="224"/>
        <v>0</v>
      </c>
    </row>
    <row r="52" spans="1:146">
      <c r="A52" s="602" t="s">
        <v>3</v>
      </c>
      <c r="B52" s="602"/>
      <c r="E52">
        <f t="shared" si="146"/>
        <v>0</v>
      </c>
      <c r="H52">
        <f t="shared" si="147"/>
        <v>0</v>
      </c>
      <c r="K52">
        <f t="shared" si="148"/>
        <v>0</v>
      </c>
      <c r="N52">
        <f t="shared" si="149"/>
        <v>0</v>
      </c>
      <c r="Q52">
        <f t="shared" si="150"/>
        <v>0</v>
      </c>
      <c r="AD52">
        <f t="shared" si="152"/>
        <v>0</v>
      </c>
      <c r="AE52">
        <f t="shared" si="153"/>
        <v>0</v>
      </c>
      <c r="AF52">
        <f t="shared" si="154"/>
        <v>0</v>
      </c>
      <c r="AI52">
        <f t="shared" si="155"/>
        <v>0</v>
      </c>
      <c r="AL52">
        <f t="shared" si="156"/>
        <v>0</v>
      </c>
      <c r="AO52">
        <f t="shared" si="157"/>
        <v>0</v>
      </c>
      <c r="AR52">
        <f t="shared" si="158"/>
        <v>0</v>
      </c>
      <c r="AU52">
        <f t="shared" si="159"/>
        <v>0</v>
      </c>
      <c r="BH52">
        <f t="shared" si="161"/>
        <v>0</v>
      </c>
      <c r="BI52">
        <f t="shared" si="52"/>
        <v>0</v>
      </c>
      <c r="BJ52">
        <f t="shared" si="53"/>
        <v>0</v>
      </c>
      <c r="BM52">
        <f t="shared" si="162"/>
        <v>0</v>
      </c>
      <c r="BP52">
        <f t="shared" si="163"/>
        <v>0</v>
      </c>
      <c r="BS52">
        <f t="shared" si="164"/>
        <v>0</v>
      </c>
      <c r="BV52">
        <f t="shared" si="165"/>
        <v>0</v>
      </c>
      <c r="BY52">
        <f t="shared" si="166"/>
        <v>0</v>
      </c>
      <c r="CB52">
        <f t="shared" si="167"/>
        <v>0</v>
      </c>
      <c r="CC52">
        <f t="shared" si="168"/>
        <v>0</v>
      </c>
      <c r="CD52">
        <f t="shared" si="54"/>
        <v>0</v>
      </c>
      <c r="CE52">
        <f t="shared" si="55"/>
        <v>0</v>
      </c>
      <c r="CH52">
        <f>+CF52+CG52</f>
        <v>0</v>
      </c>
      <c r="CK52">
        <f t="shared" si="170"/>
        <v>0</v>
      </c>
      <c r="CN52">
        <f t="shared" si="171"/>
        <v>0</v>
      </c>
      <c r="CQ52">
        <f t="shared" si="172"/>
        <v>0</v>
      </c>
      <c r="CT52">
        <f t="shared" si="173"/>
        <v>0</v>
      </c>
      <c r="CX52">
        <f t="shared" si="175"/>
        <v>0</v>
      </c>
      <c r="CY52">
        <f t="shared" si="56"/>
        <v>0</v>
      </c>
      <c r="CZ52">
        <f t="shared" si="57"/>
        <v>0</v>
      </c>
      <c r="DA52">
        <f t="shared" si="183"/>
        <v>0</v>
      </c>
      <c r="DB52">
        <f t="shared" si="184"/>
        <v>0</v>
      </c>
      <c r="DC52">
        <f t="shared" si="185"/>
        <v>0</v>
      </c>
      <c r="DD52">
        <f t="shared" si="186"/>
        <v>0</v>
      </c>
      <c r="DE52">
        <f t="shared" si="187"/>
        <v>0</v>
      </c>
      <c r="DF52">
        <f t="shared" si="188"/>
        <v>0</v>
      </c>
      <c r="DG52">
        <f t="shared" si="189"/>
        <v>0</v>
      </c>
      <c r="DH52">
        <f t="shared" si="190"/>
        <v>0</v>
      </c>
      <c r="DI52">
        <f t="shared" si="191"/>
        <v>0</v>
      </c>
      <c r="DJ52">
        <f t="shared" si="192"/>
        <v>0</v>
      </c>
      <c r="DK52">
        <f t="shared" si="193"/>
        <v>0</v>
      </c>
      <c r="DL52">
        <f t="shared" si="194"/>
        <v>0</v>
      </c>
      <c r="DM52">
        <f t="shared" si="195"/>
        <v>0</v>
      </c>
      <c r="DN52">
        <f t="shared" si="196"/>
        <v>0</v>
      </c>
      <c r="DO52">
        <f t="shared" si="197"/>
        <v>0</v>
      </c>
      <c r="DP52">
        <f t="shared" si="198"/>
        <v>0</v>
      </c>
      <c r="DQ52">
        <f t="shared" si="199"/>
        <v>0</v>
      </c>
      <c r="DR52">
        <f t="shared" si="200"/>
        <v>0</v>
      </c>
      <c r="DS52">
        <f t="shared" si="201"/>
        <v>0</v>
      </c>
      <c r="DT52">
        <f t="shared" si="202"/>
        <v>0</v>
      </c>
      <c r="DU52">
        <f t="shared" si="203"/>
        <v>0</v>
      </c>
      <c r="DV52">
        <f t="shared" si="204"/>
        <v>0</v>
      </c>
      <c r="DW52">
        <f t="shared" si="205"/>
        <v>0</v>
      </c>
      <c r="DX52">
        <f t="shared" si="206"/>
        <v>0</v>
      </c>
      <c r="DY52">
        <f t="shared" si="207"/>
        <v>0</v>
      </c>
      <c r="DZ52">
        <f t="shared" si="208"/>
        <v>0</v>
      </c>
      <c r="EA52">
        <f t="shared" si="209"/>
        <v>0</v>
      </c>
      <c r="EB52">
        <f t="shared" si="210"/>
        <v>0</v>
      </c>
      <c r="EC52">
        <f t="shared" si="211"/>
        <v>0</v>
      </c>
      <c r="ED52">
        <f t="shared" si="212"/>
        <v>0</v>
      </c>
      <c r="EE52">
        <f t="shared" si="213"/>
        <v>0</v>
      </c>
      <c r="EF52">
        <f t="shared" si="214"/>
        <v>0</v>
      </c>
      <c r="EG52">
        <f t="shared" si="215"/>
        <v>0</v>
      </c>
      <c r="EH52">
        <f t="shared" si="216"/>
        <v>0</v>
      </c>
      <c r="EI52">
        <f t="shared" si="217"/>
        <v>0</v>
      </c>
      <c r="EJ52">
        <f t="shared" si="218"/>
        <v>0</v>
      </c>
      <c r="EK52">
        <f t="shared" si="219"/>
        <v>0</v>
      </c>
      <c r="EL52">
        <f t="shared" si="220"/>
        <v>0</v>
      </c>
      <c r="EM52">
        <f t="shared" si="221"/>
        <v>0</v>
      </c>
      <c r="EN52">
        <f t="shared" si="222"/>
        <v>0</v>
      </c>
      <c r="EO52">
        <f t="shared" si="223"/>
        <v>0</v>
      </c>
      <c r="EP52">
        <f t="shared" si="224"/>
        <v>0</v>
      </c>
    </row>
  </sheetData>
  <mergeCells count="71">
    <mergeCell ref="A3:A6"/>
    <mergeCell ref="B3:B6"/>
    <mergeCell ref="A8:B8"/>
    <mergeCell ref="A52:B52"/>
    <mergeCell ref="F5:H5"/>
    <mergeCell ref="C4:AF4"/>
    <mergeCell ref="R5:T5"/>
    <mergeCell ref="U5:W5"/>
    <mergeCell ref="DJ5:DL5"/>
    <mergeCell ref="AG3:BG3"/>
    <mergeCell ref="C3:AC3"/>
    <mergeCell ref="BK5:BM5"/>
    <mergeCell ref="BN5:BP5"/>
    <mergeCell ref="BQ5:BS5"/>
    <mergeCell ref="AS5:AU5"/>
    <mergeCell ref="BE5:BG5"/>
    <mergeCell ref="AG5:AI5"/>
    <mergeCell ref="AJ5:AL5"/>
    <mergeCell ref="AM5:AO5"/>
    <mergeCell ref="AP5:AR5"/>
    <mergeCell ref="L5:N5"/>
    <mergeCell ref="C5:E5"/>
    <mergeCell ref="O5:Q5"/>
    <mergeCell ref="AA5:AC5"/>
    <mergeCell ref="AG4:BJ4"/>
    <mergeCell ref="BK4:CE4"/>
    <mergeCell ref="CF4:CZ4"/>
    <mergeCell ref="BT5:BV5"/>
    <mergeCell ref="BW5:BY5"/>
    <mergeCell ref="BZ5:CB5"/>
    <mergeCell ref="CC5:CE5"/>
    <mergeCell ref="CF5:CH5"/>
    <mergeCell ref="CI5:CK5"/>
    <mergeCell ref="CU5:CW5"/>
    <mergeCell ref="CX5:CZ5"/>
    <mergeCell ref="CL5:CN5"/>
    <mergeCell ref="CO5:CQ5"/>
    <mergeCell ref="CR5:CT5"/>
    <mergeCell ref="AV5:AX5"/>
    <mergeCell ref="AY5:BA5"/>
    <mergeCell ref="DA3:DU3"/>
    <mergeCell ref="DV3:EP3"/>
    <mergeCell ref="BK3:CE3"/>
    <mergeCell ref="CF3:CZ3"/>
    <mergeCell ref="DA4:DU4"/>
    <mergeCell ref="DV4:EP4"/>
    <mergeCell ref="EE5:EG5"/>
    <mergeCell ref="EH5:EJ5"/>
    <mergeCell ref="EK5:EM5"/>
    <mergeCell ref="EN5:EP5"/>
    <mergeCell ref="DM5:DO5"/>
    <mergeCell ref="DP5:DR5"/>
    <mergeCell ref="DS5:DU5"/>
    <mergeCell ref="DV5:DX5"/>
    <mergeCell ref="DY5:EA5"/>
    <mergeCell ref="EB5:ED5"/>
    <mergeCell ref="AG8:BJ8"/>
    <mergeCell ref="C8:AF8"/>
    <mergeCell ref="DA5:DC5"/>
    <mergeCell ref="DD5:DF5"/>
    <mergeCell ref="DG5:DI5"/>
    <mergeCell ref="AD5:AF5"/>
    <mergeCell ref="BH5:BJ5"/>
    <mergeCell ref="I5:K5"/>
    <mergeCell ref="X5:Z5"/>
    <mergeCell ref="BB5:BD5"/>
    <mergeCell ref="DV11:EP11"/>
    <mergeCell ref="DV8:EP8"/>
    <mergeCell ref="DA8:DU8"/>
    <mergeCell ref="CF8:CZ8"/>
    <mergeCell ref="BK8:CE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22"/>
  <sheetViews>
    <sheetView view="pageBreakPreview" topLeftCell="Z1" zoomScale="90" zoomScaleSheetLayoutView="90" workbookViewId="0">
      <selection activeCell="AD2" sqref="AD2:AL2"/>
    </sheetView>
  </sheetViews>
  <sheetFormatPr defaultRowHeight="15"/>
  <cols>
    <col min="2" max="2" width="40.42578125" customWidth="1"/>
    <col min="3" max="56" width="15.42578125" customWidth="1"/>
    <col min="57" max="66" width="0" hidden="1" customWidth="1"/>
    <col min="67" max="67" width="9.5703125" hidden="1" customWidth="1"/>
    <col min="68" max="75" width="0" hidden="1" customWidth="1"/>
    <col min="76" max="76" width="11.28515625" hidden="1" customWidth="1"/>
    <col min="77" max="77" width="13.5703125" hidden="1" customWidth="1"/>
    <col min="78" max="84" width="0" hidden="1" customWidth="1"/>
    <col min="85" max="85" width="10.140625" hidden="1" customWidth="1"/>
    <col min="86" max="86" width="10.42578125" hidden="1" customWidth="1"/>
    <col min="87" max="87" width="9.42578125" hidden="1" customWidth="1"/>
    <col min="88" max="89" width="0" hidden="1" customWidth="1"/>
  </cols>
  <sheetData>
    <row r="1" spans="1:89" ht="23.25" customHeight="1">
      <c r="A1" s="485"/>
      <c r="B1" s="486"/>
      <c r="C1" s="615" t="s">
        <v>379</v>
      </c>
      <c r="D1" s="615"/>
      <c r="E1" s="615"/>
      <c r="F1" s="615"/>
      <c r="G1" s="615"/>
      <c r="H1" s="615"/>
      <c r="I1" s="615"/>
      <c r="J1" s="615"/>
      <c r="K1" s="616"/>
      <c r="L1" s="492"/>
      <c r="M1" s="492"/>
      <c r="N1" s="492"/>
      <c r="O1" s="487"/>
      <c r="P1" s="487"/>
      <c r="Q1" s="487"/>
      <c r="R1" s="487"/>
      <c r="S1" s="487"/>
      <c r="T1" s="488"/>
      <c r="U1" s="617" t="s">
        <v>379</v>
      </c>
      <c r="V1" s="618"/>
      <c r="W1" s="618"/>
      <c r="X1" s="618"/>
      <c r="Y1" s="618"/>
      <c r="Z1" s="618"/>
      <c r="AA1" s="618"/>
      <c r="AB1" s="618"/>
      <c r="AC1" s="619"/>
      <c r="AD1" s="491"/>
      <c r="AE1" s="491"/>
      <c r="AF1" s="491"/>
      <c r="AG1" s="489"/>
      <c r="AH1" s="489"/>
      <c r="AI1" s="489"/>
      <c r="AJ1" s="489"/>
      <c r="AK1" s="489"/>
      <c r="AL1" s="490"/>
      <c r="AM1" s="617" t="s">
        <v>379</v>
      </c>
      <c r="AN1" s="618"/>
      <c r="AO1" s="618"/>
      <c r="AP1" s="618"/>
      <c r="AQ1" s="618"/>
      <c r="AR1" s="618"/>
      <c r="AS1" s="618"/>
      <c r="AT1" s="618"/>
      <c r="AU1" s="618"/>
      <c r="AV1" s="535"/>
      <c r="AW1" s="535"/>
      <c r="AX1" s="535"/>
      <c r="AY1" s="535"/>
      <c r="AZ1" s="535"/>
      <c r="BA1" s="535"/>
      <c r="BB1" s="535"/>
      <c r="BC1" s="535"/>
      <c r="BD1" s="536"/>
      <c r="BE1" s="613"/>
      <c r="BF1" s="613"/>
      <c r="BG1" s="613"/>
      <c r="BH1" s="613"/>
      <c r="BI1" s="613" t="str">
        <f>C1</f>
        <v>RESULTS OF SECONDARY EXAMINATION- 2018</v>
      </c>
      <c r="BJ1" s="613"/>
      <c r="BK1" s="613"/>
      <c r="BL1" s="613"/>
      <c r="BM1" s="613"/>
      <c r="BN1" s="613"/>
      <c r="BO1" s="613"/>
      <c r="BP1" s="613"/>
      <c r="BQ1" s="613"/>
      <c r="BR1" s="613" t="e">
        <f>#REF!</f>
        <v>#REF!</v>
      </c>
      <c r="BS1" s="613"/>
      <c r="BT1" s="613"/>
      <c r="BU1" s="613"/>
      <c r="BV1" s="613"/>
      <c r="BW1" s="613"/>
      <c r="BX1" s="613"/>
      <c r="BY1" s="613"/>
      <c r="BZ1" s="613"/>
      <c r="CA1" s="613" t="e">
        <f>#REF!</f>
        <v>#REF!</v>
      </c>
      <c r="CB1" s="613"/>
      <c r="CC1" s="613"/>
      <c r="CD1" s="613"/>
      <c r="CE1" s="613"/>
      <c r="CF1" s="613"/>
      <c r="CG1" s="613"/>
      <c r="CH1" s="613"/>
      <c r="CI1" s="613"/>
    </row>
    <row r="2" spans="1:89" ht="15.75">
      <c r="A2" s="624" t="s">
        <v>192</v>
      </c>
      <c r="B2" s="624" t="s">
        <v>42</v>
      </c>
      <c r="C2" s="534" t="s">
        <v>428</v>
      </c>
      <c r="D2" s="534"/>
      <c r="E2" s="534"/>
      <c r="F2" s="534"/>
      <c r="G2" s="534"/>
      <c r="H2" s="534"/>
      <c r="I2" s="534"/>
      <c r="J2" s="534"/>
      <c r="K2" s="534"/>
      <c r="L2" s="534" t="s">
        <v>429</v>
      </c>
      <c r="M2" s="534"/>
      <c r="N2" s="534"/>
      <c r="O2" s="534"/>
      <c r="P2" s="534"/>
      <c r="Q2" s="534"/>
      <c r="R2" s="534"/>
      <c r="S2" s="534"/>
      <c r="T2" s="534"/>
      <c r="U2" s="614" t="s">
        <v>431</v>
      </c>
      <c r="V2" s="614"/>
      <c r="W2" s="614"/>
      <c r="X2" s="614"/>
      <c r="Y2" s="614"/>
      <c r="Z2" s="614"/>
      <c r="AA2" s="614"/>
      <c r="AB2" s="614"/>
      <c r="AC2" s="614"/>
      <c r="AD2" s="614" t="s">
        <v>450</v>
      </c>
      <c r="AE2" s="614"/>
      <c r="AF2" s="614"/>
      <c r="AG2" s="614"/>
      <c r="AH2" s="614"/>
      <c r="AI2" s="614"/>
      <c r="AJ2" s="614"/>
      <c r="AK2" s="614"/>
      <c r="AL2" s="614"/>
      <c r="AM2" s="614" t="s">
        <v>433</v>
      </c>
      <c r="AN2" s="614"/>
      <c r="AO2" s="614"/>
      <c r="AP2" s="614"/>
      <c r="AQ2" s="614"/>
      <c r="AR2" s="614"/>
      <c r="AS2" s="614"/>
      <c r="AT2" s="614"/>
      <c r="AU2" s="614"/>
      <c r="AV2" s="614" t="s">
        <v>451</v>
      </c>
      <c r="AW2" s="614"/>
      <c r="AX2" s="614"/>
      <c r="AY2" s="614"/>
      <c r="AZ2" s="614"/>
      <c r="BA2" s="614"/>
      <c r="BB2" s="614"/>
      <c r="BC2" s="614"/>
      <c r="BD2" s="614"/>
      <c r="BE2" s="597"/>
      <c r="BF2" s="597"/>
      <c r="BG2" s="597"/>
      <c r="BH2" s="597"/>
      <c r="BI2" s="597" t="s">
        <v>419</v>
      </c>
      <c r="BJ2" s="597"/>
      <c r="BK2" s="597"/>
      <c r="BL2" s="597"/>
      <c r="BM2" s="597"/>
      <c r="BN2" s="597"/>
      <c r="BO2" s="597"/>
      <c r="BP2" s="597"/>
      <c r="BQ2" s="597"/>
      <c r="BR2" s="597" t="s">
        <v>420</v>
      </c>
      <c r="BS2" s="597"/>
      <c r="BT2" s="597"/>
      <c r="BU2" s="597"/>
      <c r="BV2" s="597"/>
      <c r="BW2" s="597"/>
      <c r="BX2" s="597"/>
      <c r="BY2" s="597"/>
      <c r="BZ2" s="597"/>
      <c r="CA2" s="597" t="s">
        <v>406</v>
      </c>
      <c r="CB2" s="597"/>
      <c r="CC2" s="597"/>
      <c r="CD2" s="597"/>
      <c r="CE2" s="597"/>
      <c r="CF2" s="597"/>
      <c r="CG2" s="597"/>
      <c r="CH2" s="597"/>
      <c r="CI2" s="597"/>
    </row>
    <row r="3" spans="1:89" ht="15" customHeight="1">
      <c r="A3" s="624"/>
      <c r="B3" s="624"/>
      <c r="C3" s="604" t="s">
        <v>418</v>
      </c>
      <c r="D3" s="604"/>
      <c r="E3" s="604"/>
      <c r="F3" s="604"/>
      <c r="G3" s="604"/>
      <c r="H3" s="604"/>
      <c r="I3" s="604"/>
      <c r="J3" s="604"/>
      <c r="K3" s="604"/>
      <c r="L3" s="604" t="s">
        <v>432</v>
      </c>
      <c r="M3" s="604"/>
      <c r="N3" s="604"/>
      <c r="O3" s="604"/>
      <c r="P3" s="604"/>
      <c r="Q3" s="604"/>
      <c r="R3" s="604"/>
      <c r="S3" s="604"/>
      <c r="T3" s="604"/>
      <c r="U3" s="604" t="s">
        <v>423</v>
      </c>
      <c r="V3" s="604"/>
      <c r="W3" s="604"/>
      <c r="X3" s="604"/>
      <c r="Y3" s="604"/>
      <c r="Z3" s="604"/>
      <c r="AA3" s="604"/>
      <c r="AB3" s="604"/>
      <c r="AC3" s="604"/>
      <c r="AD3" s="604" t="s">
        <v>324</v>
      </c>
      <c r="AE3" s="604"/>
      <c r="AF3" s="604"/>
      <c r="AG3" s="604"/>
      <c r="AH3" s="604"/>
      <c r="AI3" s="604"/>
      <c r="AJ3" s="604"/>
      <c r="AK3" s="604"/>
      <c r="AL3" s="604"/>
      <c r="AM3" s="604" t="s">
        <v>434</v>
      </c>
      <c r="AN3" s="604"/>
      <c r="AO3" s="604"/>
      <c r="AP3" s="604"/>
      <c r="AQ3" s="604"/>
      <c r="AR3" s="604"/>
      <c r="AS3" s="604"/>
      <c r="AT3" s="604"/>
      <c r="AU3" s="604"/>
      <c r="AV3" s="604" t="s">
        <v>325</v>
      </c>
      <c r="AW3" s="604"/>
      <c r="AX3" s="604"/>
      <c r="AY3" s="604"/>
      <c r="AZ3" s="604"/>
      <c r="BA3" s="604"/>
      <c r="BB3" s="604"/>
      <c r="BC3" s="604"/>
      <c r="BD3" s="604"/>
      <c r="BE3" s="555"/>
      <c r="BF3" s="599"/>
      <c r="BG3" s="599"/>
      <c r="BH3" s="599"/>
      <c r="BI3" s="599" t="s">
        <v>324</v>
      </c>
      <c r="BJ3" s="599"/>
      <c r="BK3" s="599"/>
      <c r="BL3" s="599"/>
      <c r="BM3" s="599"/>
      <c r="BN3" s="599"/>
      <c r="BO3" s="599"/>
      <c r="BP3" s="599"/>
      <c r="BQ3" s="599"/>
      <c r="BR3" s="599" t="s">
        <v>325</v>
      </c>
      <c r="BS3" s="599"/>
      <c r="BT3" s="599"/>
      <c r="BU3" s="599"/>
      <c r="BV3" s="599"/>
      <c r="BW3" s="599"/>
      <c r="BX3" s="599"/>
      <c r="BY3" s="599"/>
      <c r="BZ3" s="599"/>
      <c r="CA3" s="599" t="s">
        <v>368</v>
      </c>
      <c r="CB3" s="599"/>
      <c r="CC3" s="599"/>
      <c r="CD3" s="599"/>
      <c r="CE3" s="599"/>
      <c r="CF3" s="599"/>
      <c r="CG3" s="599"/>
      <c r="CH3" s="599"/>
      <c r="CI3" s="599"/>
    </row>
    <row r="4" spans="1:89" ht="34.5" customHeight="1">
      <c r="A4" s="624"/>
      <c r="B4" s="624"/>
      <c r="C4" s="604"/>
      <c r="D4" s="604"/>
      <c r="E4" s="604"/>
      <c r="F4" s="604"/>
      <c r="G4" s="604"/>
      <c r="H4" s="604"/>
      <c r="I4" s="604"/>
      <c r="J4" s="604"/>
      <c r="K4" s="604"/>
      <c r="L4" s="604" t="s">
        <v>430</v>
      </c>
      <c r="M4" s="604"/>
      <c r="N4" s="604"/>
      <c r="O4" s="599" t="s">
        <v>421</v>
      </c>
      <c r="P4" s="599"/>
      <c r="Q4" s="599"/>
      <c r="R4" s="599" t="s">
        <v>422</v>
      </c>
      <c r="S4" s="599"/>
      <c r="T4" s="599"/>
      <c r="U4" s="604"/>
      <c r="V4" s="604"/>
      <c r="W4" s="604"/>
      <c r="X4" s="604"/>
      <c r="Y4" s="604"/>
      <c r="Z4" s="604"/>
      <c r="AA4" s="604"/>
      <c r="AB4" s="604"/>
      <c r="AC4" s="604"/>
      <c r="AD4" s="604" t="s">
        <v>430</v>
      </c>
      <c r="AE4" s="604"/>
      <c r="AF4" s="604"/>
      <c r="AG4" s="599" t="s">
        <v>421</v>
      </c>
      <c r="AH4" s="599"/>
      <c r="AI4" s="599"/>
      <c r="AJ4" s="599" t="s">
        <v>422</v>
      </c>
      <c r="AK4" s="599"/>
      <c r="AL4" s="599"/>
      <c r="AM4" s="604"/>
      <c r="AN4" s="604"/>
      <c r="AO4" s="604"/>
      <c r="AP4" s="604"/>
      <c r="AQ4" s="604"/>
      <c r="AR4" s="604"/>
      <c r="AS4" s="604"/>
      <c r="AT4" s="604"/>
      <c r="AU4" s="604"/>
      <c r="AV4" s="604" t="s">
        <v>430</v>
      </c>
      <c r="AW4" s="604"/>
      <c r="AX4" s="604"/>
      <c r="AY4" s="599" t="s">
        <v>421</v>
      </c>
      <c r="AZ4" s="599"/>
      <c r="BA4" s="599"/>
      <c r="BB4" s="599" t="s">
        <v>422</v>
      </c>
      <c r="BC4" s="599"/>
      <c r="BD4" s="599"/>
      <c r="BE4" s="530"/>
      <c r="BF4" s="599" t="s">
        <v>195</v>
      </c>
      <c r="BG4" s="599"/>
      <c r="BH4" s="599"/>
      <c r="BI4" s="599" t="s">
        <v>193</v>
      </c>
      <c r="BJ4" s="599"/>
      <c r="BK4" s="599"/>
      <c r="BL4" s="599" t="s">
        <v>194</v>
      </c>
      <c r="BM4" s="599"/>
      <c r="BN4" s="599"/>
      <c r="BO4" s="599" t="s">
        <v>195</v>
      </c>
      <c r="BP4" s="599"/>
      <c r="BQ4" s="599"/>
      <c r="BR4" s="599" t="s">
        <v>193</v>
      </c>
      <c r="BS4" s="599"/>
      <c r="BT4" s="599"/>
      <c r="BU4" s="599" t="s">
        <v>194</v>
      </c>
      <c r="BV4" s="599"/>
      <c r="BW4" s="599"/>
      <c r="BX4" s="599" t="s">
        <v>195</v>
      </c>
      <c r="BY4" s="599"/>
      <c r="BZ4" s="599"/>
      <c r="CA4" s="599" t="s">
        <v>193</v>
      </c>
      <c r="CB4" s="599"/>
      <c r="CC4" s="599"/>
      <c r="CD4" s="599" t="s">
        <v>194</v>
      </c>
      <c r="CE4" s="599"/>
      <c r="CF4" s="599"/>
      <c r="CG4" s="599" t="s">
        <v>195</v>
      </c>
      <c r="CH4" s="599"/>
      <c r="CI4" s="599"/>
    </row>
    <row r="5" spans="1:89" ht="30.75" customHeight="1">
      <c r="A5" s="624"/>
      <c r="B5" s="624"/>
      <c r="C5" s="604" t="s">
        <v>5</v>
      </c>
      <c r="D5" s="604"/>
      <c r="E5" s="604"/>
      <c r="F5" s="604" t="s">
        <v>6</v>
      </c>
      <c r="G5" s="604"/>
      <c r="H5" s="604"/>
      <c r="I5" s="604" t="s">
        <v>425</v>
      </c>
      <c r="J5" s="604"/>
      <c r="K5" s="604"/>
      <c r="L5" s="604"/>
      <c r="M5" s="604"/>
      <c r="N5" s="604"/>
      <c r="O5" s="599"/>
      <c r="P5" s="599"/>
      <c r="Q5" s="599"/>
      <c r="R5" s="599"/>
      <c r="S5" s="599"/>
      <c r="T5" s="599"/>
      <c r="U5" s="604" t="s">
        <v>5</v>
      </c>
      <c r="V5" s="604"/>
      <c r="W5" s="604"/>
      <c r="X5" s="604" t="s">
        <v>6</v>
      </c>
      <c r="Y5" s="604"/>
      <c r="Z5" s="604"/>
      <c r="AA5" s="604" t="s">
        <v>425</v>
      </c>
      <c r="AB5" s="604"/>
      <c r="AC5" s="604"/>
      <c r="AD5" s="604"/>
      <c r="AE5" s="604"/>
      <c r="AF5" s="604"/>
      <c r="AG5" s="599"/>
      <c r="AH5" s="599"/>
      <c r="AI5" s="599"/>
      <c r="AJ5" s="599"/>
      <c r="AK5" s="599"/>
      <c r="AL5" s="599"/>
      <c r="AM5" s="604" t="s">
        <v>5</v>
      </c>
      <c r="AN5" s="604"/>
      <c r="AO5" s="604"/>
      <c r="AP5" s="604" t="s">
        <v>6</v>
      </c>
      <c r="AQ5" s="604"/>
      <c r="AR5" s="604"/>
      <c r="AS5" s="604" t="s">
        <v>425</v>
      </c>
      <c r="AT5" s="604"/>
      <c r="AU5" s="604"/>
      <c r="AV5" s="604"/>
      <c r="AW5" s="604"/>
      <c r="AX5" s="604"/>
      <c r="AY5" s="599"/>
      <c r="AZ5" s="599"/>
      <c r="BA5" s="599"/>
      <c r="BB5" s="599"/>
      <c r="BC5" s="599"/>
      <c r="BD5" s="599"/>
      <c r="BE5" s="530"/>
      <c r="BF5" s="599" t="s">
        <v>196</v>
      </c>
      <c r="BG5" s="599"/>
      <c r="BH5" s="599"/>
      <c r="BI5" s="599"/>
      <c r="BJ5" s="599"/>
      <c r="BK5" s="599"/>
      <c r="BL5" s="599" t="s">
        <v>196</v>
      </c>
      <c r="BM5" s="599"/>
      <c r="BN5" s="599"/>
      <c r="BO5" s="599" t="s">
        <v>196</v>
      </c>
      <c r="BP5" s="599"/>
      <c r="BQ5" s="599"/>
      <c r="BR5" s="599"/>
      <c r="BS5" s="599"/>
      <c r="BT5" s="599"/>
      <c r="BU5" s="599" t="s">
        <v>196</v>
      </c>
      <c r="BV5" s="599"/>
      <c r="BW5" s="599"/>
      <c r="BX5" s="599" t="s">
        <v>196</v>
      </c>
      <c r="BY5" s="599"/>
      <c r="BZ5" s="599"/>
      <c r="CA5" s="599"/>
      <c r="CB5" s="599"/>
      <c r="CC5" s="599"/>
      <c r="CD5" s="599" t="s">
        <v>196</v>
      </c>
      <c r="CE5" s="599"/>
      <c r="CF5" s="599"/>
      <c r="CG5" s="599" t="s">
        <v>196</v>
      </c>
      <c r="CH5" s="599"/>
      <c r="CI5" s="599"/>
    </row>
    <row r="6" spans="1:89" ht="15" customHeight="1">
      <c r="A6" s="624"/>
      <c r="B6" s="624"/>
      <c r="C6" s="531" t="s">
        <v>43</v>
      </c>
      <c r="D6" s="531" t="s">
        <v>44</v>
      </c>
      <c r="E6" s="531" t="s">
        <v>3</v>
      </c>
      <c r="F6" s="531" t="s">
        <v>43</v>
      </c>
      <c r="G6" s="531" t="s">
        <v>44</v>
      </c>
      <c r="H6" s="531" t="s">
        <v>3</v>
      </c>
      <c r="I6" s="531" t="s">
        <v>43</v>
      </c>
      <c r="J6" s="531" t="s">
        <v>44</v>
      </c>
      <c r="K6" s="531" t="s">
        <v>3</v>
      </c>
      <c r="L6" s="531" t="s">
        <v>43</v>
      </c>
      <c r="M6" s="531" t="s">
        <v>44</v>
      </c>
      <c r="N6" s="531" t="s">
        <v>3</v>
      </c>
      <c r="O6" s="531" t="s">
        <v>43</v>
      </c>
      <c r="P6" s="531" t="s">
        <v>44</v>
      </c>
      <c r="Q6" s="531" t="s">
        <v>3</v>
      </c>
      <c r="R6" s="531" t="s">
        <v>43</v>
      </c>
      <c r="S6" s="531" t="s">
        <v>44</v>
      </c>
      <c r="T6" s="531" t="s">
        <v>3</v>
      </c>
      <c r="U6" s="531" t="s">
        <v>43</v>
      </c>
      <c r="V6" s="531" t="s">
        <v>44</v>
      </c>
      <c r="W6" s="531" t="s">
        <v>3</v>
      </c>
      <c r="X6" s="531" t="s">
        <v>43</v>
      </c>
      <c r="Y6" s="531" t="s">
        <v>44</v>
      </c>
      <c r="Z6" s="531" t="s">
        <v>3</v>
      </c>
      <c r="AA6" s="531" t="s">
        <v>43</v>
      </c>
      <c r="AB6" s="531" t="s">
        <v>44</v>
      </c>
      <c r="AC6" s="531" t="s">
        <v>3</v>
      </c>
      <c r="AD6" s="531"/>
      <c r="AE6" s="531"/>
      <c r="AF6" s="531"/>
      <c r="AG6" s="531" t="s">
        <v>43</v>
      </c>
      <c r="AH6" s="531" t="s">
        <v>44</v>
      </c>
      <c r="AI6" s="531" t="s">
        <v>3</v>
      </c>
      <c r="AJ6" s="531" t="s">
        <v>43</v>
      </c>
      <c r="AK6" s="531" t="s">
        <v>44</v>
      </c>
      <c r="AL6" s="531" t="s">
        <v>3</v>
      </c>
      <c r="AM6" s="531" t="s">
        <v>43</v>
      </c>
      <c r="AN6" s="531" t="s">
        <v>44</v>
      </c>
      <c r="AO6" s="531" t="s">
        <v>3</v>
      </c>
      <c r="AP6" s="531" t="s">
        <v>43</v>
      </c>
      <c r="AQ6" s="531" t="s">
        <v>44</v>
      </c>
      <c r="AR6" s="531" t="s">
        <v>3</v>
      </c>
      <c r="AS6" s="531" t="s">
        <v>43</v>
      </c>
      <c r="AT6" s="531" t="s">
        <v>44</v>
      </c>
      <c r="AU6" s="531" t="s">
        <v>3</v>
      </c>
      <c r="AV6" s="531"/>
      <c r="AW6" s="531"/>
      <c r="AX6" s="531"/>
      <c r="AY6" s="531" t="s">
        <v>43</v>
      </c>
      <c r="AZ6" s="531" t="s">
        <v>44</v>
      </c>
      <c r="BA6" s="531" t="s">
        <v>3</v>
      </c>
      <c r="BB6" s="531" t="s">
        <v>43</v>
      </c>
      <c r="BC6" s="531" t="s">
        <v>44</v>
      </c>
      <c r="BD6" s="531" t="s">
        <v>3</v>
      </c>
      <c r="BE6" s="532" t="s">
        <v>3</v>
      </c>
      <c r="BF6" s="376" t="s">
        <v>43</v>
      </c>
      <c r="BG6" s="376" t="s">
        <v>44</v>
      </c>
      <c r="BH6" s="376" t="s">
        <v>3</v>
      </c>
      <c r="BI6" s="376" t="s">
        <v>43</v>
      </c>
      <c r="BJ6" s="376" t="s">
        <v>44</v>
      </c>
      <c r="BK6" s="376" t="s">
        <v>3</v>
      </c>
      <c r="BL6" s="376" t="s">
        <v>43</v>
      </c>
      <c r="BM6" s="376" t="s">
        <v>44</v>
      </c>
      <c r="BN6" s="376" t="s">
        <v>3</v>
      </c>
      <c r="BO6" s="376" t="s">
        <v>43</v>
      </c>
      <c r="BP6" s="376" t="s">
        <v>44</v>
      </c>
      <c r="BQ6" s="376" t="s">
        <v>3</v>
      </c>
      <c r="BR6" s="376" t="s">
        <v>43</v>
      </c>
      <c r="BS6" s="376" t="s">
        <v>44</v>
      </c>
      <c r="BT6" s="376" t="s">
        <v>3</v>
      </c>
      <c r="BU6" s="376" t="s">
        <v>43</v>
      </c>
      <c r="BV6" s="376" t="s">
        <v>44</v>
      </c>
      <c r="BW6" s="376" t="s">
        <v>3</v>
      </c>
      <c r="BX6" s="376" t="s">
        <v>43</v>
      </c>
      <c r="BY6" s="376" t="s">
        <v>44</v>
      </c>
      <c r="BZ6" s="376" t="s">
        <v>3</v>
      </c>
      <c r="CA6" s="387" t="s">
        <v>43</v>
      </c>
      <c r="CB6" s="387" t="s">
        <v>44</v>
      </c>
      <c r="CC6" s="387" t="s">
        <v>3</v>
      </c>
      <c r="CD6" s="387" t="s">
        <v>43</v>
      </c>
      <c r="CE6" s="387" t="s">
        <v>44</v>
      </c>
      <c r="CF6" s="387" t="s">
        <v>3</v>
      </c>
      <c r="CG6" s="387" t="s">
        <v>43</v>
      </c>
      <c r="CH6" s="387" t="s">
        <v>44</v>
      </c>
      <c r="CI6" s="387" t="s">
        <v>3</v>
      </c>
    </row>
    <row r="7" spans="1:89" s="433" customFormat="1" ht="15.75">
      <c r="A7" s="150">
        <v>1</v>
      </c>
      <c r="B7" s="150">
        <v>2</v>
      </c>
      <c r="C7" s="358">
        <v>3</v>
      </c>
      <c r="D7" s="358">
        <v>4</v>
      </c>
      <c r="E7" s="358">
        <v>5</v>
      </c>
      <c r="F7" s="358">
        <v>6</v>
      </c>
      <c r="G7" s="358">
        <v>7</v>
      </c>
      <c r="H7" s="358">
        <v>8</v>
      </c>
      <c r="I7" s="358">
        <v>9</v>
      </c>
      <c r="J7" s="358">
        <v>10</v>
      </c>
      <c r="K7" s="358">
        <v>11</v>
      </c>
      <c r="L7" s="358">
        <v>3</v>
      </c>
      <c r="M7" s="358">
        <v>4</v>
      </c>
      <c r="N7" s="358">
        <v>5</v>
      </c>
      <c r="O7" s="359">
        <v>6</v>
      </c>
      <c r="P7" s="359">
        <v>7</v>
      </c>
      <c r="Q7" s="359">
        <v>8</v>
      </c>
      <c r="R7" s="359">
        <v>9</v>
      </c>
      <c r="S7" s="359">
        <v>10</v>
      </c>
      <c r="T7" s="359">
        <v>11</v>
      </c>
      <c r="U7" s="358">
        <v>3</v>
      </c>
      <c r="V7" s="358">
        <v>4</v>
      </c>
      <c r="W7" s="358">
        <v>5</v>
      </c>
      <c r="X7" s="358">
        <v>6</v>
      </c>
      <c r="Y7" s="358">
        <v>7</v>
      </c>
      <c r="Z7" s="358">
        <v>8</v>
      </c>
      <c r="AA7" s="358">
        <v>9</v>
      </c>
      <c r="AB7" s="358">
        <v>10</v>
      </c>
      <c r="AC7" s="358">
        <v>11</v>
      </c>
      <c r="AD7" s="358">
        <v>3</v>
      </c>
      <c r="AE7" s="358">
        <v>4</v>
      </c>
      <c r="AF7" s="358">
        <v>5</v>
      </c>
      <c r="AG7" s="358">
        <v>6</v>
      </c>
      <c r="AH7" s="358">
        <v>7</v>
      </c>
      <c r="AI7" s="358">
        <v>8</v>
      </c>
      <c r="AJ7" s="358">
        <v>9</v>
      </c>
      <c r="AK7" s="358">
        <v>10</v>
      </c>
      <c r="AL7" s="358">
        <v>11</v>
      </c>
      <c r="AM7" s="358">
        <v>3</v>
      </c>
      <c r="AN7" s="358">
        <v>4</v>
      </c>
      <c r="AO7" s="358">
        <v>5</v>
      </c>
      <c r="AP7" s="358">
        <v>6</v>
      </c>
      <c r="AQ7" s="358">
        <v>7</v>
      </c>
      <c r="AR7" s="358">
        <v>8</v>
      </c>
      <c r="AS7" s="359">
        <v>9</v>
      </c>
      <c r="AT7" s="359">
        <v>10</v>
      </c>
      <c r="AU7" s="359">
        <v>11</v>
      </c>
      <c r="AV7" s="358">
        <v>3</v>
      </c>
      <c r="AW7" s="358">
        <v>4</v>
      </c>
      <c r="AX7" s="358">
        <v>5</v>
      </c>
      <c r="AY7" s="358">
        <v>6</v>
      </c>
      <c r="AZ7" s="358">
        <v>7</v>
      </c>
      <c r="BA7" s="358">
        <v>8</v>
      </c>
      <c r="BB7" s="359">
        <v>9</v>
      </c>
      <c r="BC7" s="359">
        <v>10</v>
      </c>
      <c r="BD7" s="359">
        <v>11</v>
      </c>
      <c r="BE7" s="533">
        <v>11</v>
      </c>
      <c r="BF7" s="359">
        <v>12</v>
      </c>
      <c r="BG7" s="359">
        <v>13</v>
      </c>
      <c r="BH7" s="359">
        <v>14</v>
      </c>
      <c r="BI7" s="359">
        <v>3</v>
      </c>
      <c r="BJ7" s="359">
        <v>4</v>
      </c>
      <c r="BK7" s="359">
        <v>5</v>
      </c>
      <c r="BL7" s="359">
        <v>6</v>
      </c>
      <c r="BM7" s="359">
        <v>7</v>
      </c>
      <c r="BN7" s="359">
        <v>8</v>
      </c>
      <c r="BO7" s="359">
        <v>12</v>
      </c>
      <c r="BP7" s="359">
        <v>13</v>
      </c>
      <c r="BQ7" s="359">
        <v>14</v>
      </c>
      <c r="BR7" s="359">
        <v>3</v>
      </c>
      <c r="BS7" s="359">
        <v>4</v>
      </c>
      <c r="BT7" s="359">
        <v>5</v>
      </c>
      <c r="BU7" s="359">
        <v>6</v>
      </c>
      <c r="BV7" s="359">
        <v>7</v>
      </c>
      <c r="BW7" s="359">
        <v>8</v>
      </c>
      <c r="BX7" s="359">
        <v>12</v>
      </c>
      <c r="BY7" s="359">
        <v>13</v>
      </c>
      <c r="BZ7" s="359">
        <v>14</v>
      </c>
      <c r="CA7" s="359">
        <v>3</v>
      </c>
      <c r="CB7" s="359">
        <v>4</v>
      </c>
      <c r="CC7" s="359">
        <v>5</v>
      </c>
      <c r="CD7" s="359">
        <v>6</v>
      </c>
      <c r="CE7" s="359">
        <v>7</v>
      </c>
      <c r="CF7" s="359">
        <v>8</v>
      </c>
      <c r="CG7" s="359">
        <v>12</v>
      </c>
      <c r="CH7" s="359">
        <v>13</v>
      </c>
      <c r="CI7" s="359">
        <v>14</v>
      </c>
    </row>
    <row r="8" spans="1:89" ht="33" customHeight="1">
      <c r="A8" s="360">
        <v>1</v>
      </c>
      <c r="B8" s="373" t="s">
        <v>322</v>
      </c>
      <c r="C8" s="361">
        <v>35758</v>
      </c>
      <c r="D8" s="361">
        <v>16159</v>
      </c>
      <c r="E8" s="361">
        <f t="shared" ref="E8:E15" si="0">C8+D8</f>
        <v>51917</v>
      </c>
      <c r="F8" s="361">
        <v>26989</v>
      </c>
      <c r="G8" s="361">
        <v>13283</v>
      </c>
      <c r="H8" s="361">
        <f t="shared" ref="H8:H15" si="1">F8+G8</f>
        <v>40272</v>
      </c>
      <c r="I8" s="495">
        <f>F8/C8*100</f>
        <v>75.476816376754854</v>
      </c>
      <c r="J8" s="495">
        <f t="shared" ref="J8:K8" si="2">G8/D8*100</f>
        <v>82.201868927532644</v>
      </c>
      <c r="K8" s="495">
        <f t="shared" si="2"/>
        <v>77.569967448042064</v>
      </c>
      <c r="L8" s="361">
        <f>F8</f>
        <v>26989</v>
      </c>
      <c r="M8" s="361">
        <f t="shared" ref="M8:N8" si="3">G8</f>
        <v>13283</v>
      </c>
      <c r="N8" s="361">
        <f t="shared" si="3"/>
        <v>40272</v>
      </c>
      <c r="O8" s="361">
        <v>12460</v>
      </c>
      <c r="P8" s="361">
        <v>7143</v>
      </c>
      <c r="Q8" s="361">
        <f t="shared" ref="Q8:Q15" si="4">O8+P8</f>
        <v>19603</v>
      </c>
      <c r="R8" s="495">
        <f>O8/F8%</f>
        <v>46.166956908370082</v>
      </c>
      <c r="S8" s="495">
        <f t="shared" ref="S8:S15" si="5">P8/G8%</f>
        <v>53.775502522020624</v>
      </c>
      <c r="T8" s="495">
        <f>Q8/H8%</f>
        <v>48.676499801350808</v>
      </c>
      <c r="U8" s="361">
        <v>8361</v>
      </c>
      <c r="V8" s="361">
        <v>3993</v>
      </c>
      <c r="W8" s="361">
        <f t="shared" ref="W8:W15" si="6">U8+V8</f>
        <v>12354</v>
      </c>
      <c r="X8" s="361">
        <v>6200</v>
      </c>
      <c r="Y8" s="361">
        <v>3206</v>
      </c>
      <c r="Z8" s="361">
        <f t="shared" ref="Z8:Z15" si="7">X8+Y8</f>
        <v>9406</v>
      </c>
      <c r="AA8" s="495">
        <f>X8/U8*100</f>
        <v>74.153809352948201</v>
      </c>
      <c r="AB8" s="495">
        <f t="shared" ref="AB8:AC8" si="8">Y8/V8*100</f>
        <v>80.290508389681946</v>
      </c>
      <c r="AC8" s="495">
        <f t="shared" si="8"/>
        <v>76.137283470940588</v>
      </c>
      <c r="AD8" s="361">
        <f>X8</f>
        <v>6200</v>
      </c>
      <c r="AE8" s="361">
        <f t="shared" ref="AE8:AF8" si="9">Y8</f>
        <v>3206</v>
      </c>
      <c r="AF8" s="361">
        <f t="shared" si="9"/>
        <v>9406</v>
      </c>
      <c r="AG8" s="361">
        <v>2759</v>
      </c>
      <c r="AH8" s="361">
        <v>1638</v>
      </c>
      <c r="AI8" s="361">
        <f t="shared" ref="AI8:AI14" si="10">AG8+AH8</f>
        <v>4397</v>
      </c>
      <c r="AJ8" s="495">
        <f t="shared" ref="AJ8:AJ14" si="11">AG8/X8%</f>
        <v>44.5</v>
      </c>
      <c r="AK8" s="495">
        <f t="shared" ref="AK8:AK14" si="12">AH8/Y8%</f>
        <v>51.091703056768559</v>
      </c>
      <c r="AL8" s="495">
        <f t="shared" ref="AL8:AL14" si="13">AI8/Z8%</f>
        <v>46.746757388900697</v>
      </c>
      <c r="AM8" s="361">
        <v>2518</v>
      </c>
      <c r="AN8" s="361">
        <v>1300</v>
      </c>
      <c r="AO8" s="361">
        <f>AM8+AN8</f>
        <v>3818</v>
      </c>
      <c r="AP8" s="361">
        <v>1928</v>
      </c>
      <c r="AQ8" s="361">
        <v>1042</v>
      </c>
      <c r="AR8" s="361">
        <f t="shared" ref="AR8:AR15" si="14">AP8+AQ8</f>
        <v>2970</v>
      </c>
      <c r="AS8" s="495">
        <f t="shared" ref="AS8:AU13" si="15">AP8/AM8*100</f>
        <v>76.568705321683865</v>
      </c>
      <c r="AT8" s="495">
        <f t="shared" si="15"/>
        <v>80.15384615384616</v>
      </c>
      <c r="AU8" s="495">
        <f t="shared" si="15"/>
        <v>77.789418543740169</v>
      </c>
      <c r="AV8" s="361">
        <f>AP8</f>
        <v>1928</v>
      </c>
      <c r="AW8" s="361">
        <f t="shared" ref="AW8:AX8" si="16">AQ8</f>
        <v>1042</v>
      </c>
      <c r="AX8" s="361">
        <f t="shared" si="16"/>
        <v>2970</v>
      </c>
      <c r="AY8" s="361">
        <v>1028</v>
      </c>
      <c r="AZ8" s="361">
        <v>611</v>
      </c>
      <c r="BA8" s="361">
        <f t="shared" ref="BA8:BA14" si="17">AY8+AZ8</f>
        <v>1639</v>
      </c>
      <c r="BB8" s="362">
        <f>AY8/AV8%</f>
        <v>53.319502074688792</v>
      </c>
      <c r="BC8" s="362">
        <f t="shared" ref="BC8:CK8" si="18">AZ8/AW8%</f>
        <v>58.637236084452972</v>
      </c>
      <c r="BD8" s="362">
        <f t="shared" si="18"/>
        <v>55.185185185185183</v>
      </c>
      <c r="BE8" s="362" t="e">
        <f>#REF!/BD8%</f>
        <v>#REF!</v>
      </c>
      <c r="BF8" s="362" t="e">
        <f>#REF!/#REF!%</f>
        <v>#REF!</v>
      </c>
      <c r="BG8" s="362" t="e">
        <f>#REF!/#REF!%</f>
        <v>#REF!</v>
      </c>
      <c r="BH8" s="362" t="e">
        <f>BE8/#REF!%</f>
        <v>#REF!</v>
      </c>
      <c r="BI8" s="362" t="e">
        <f>BF8/#REF!%</f>
        <v>#REF!</v>
      </c>
      <c r="BJ8" s="362" t="e">
        <f>BG8/#REF!%</f>
        <v>#REF!</v>
      </c>
      <c r="BK8" s="362" t="e">
        <f t="shared" si="18"/>
        <v>#REF!</v>
      </c>
      <c r="BL8" s="362" t="e">
        <f t="shared" si="18"/>
        <v>#REF!</v>
      </c>
      <c r="BM8" s="362" t="e">
        <f t="shared" si="18"/>
        <v>#REF!</v>
      </c>
      <c r="BN8" s="362" t="e">
        <f t="shared" si="18"/>
        <v>#REF!</v>
      </c>
      <c r="BO8" s="362" t="e">
        <f t="shared" si="18"/>
        <v>#REF!</v>
      </c>
      <c r="BP8" s="362" t="e">
        <f t="shared" si="18"/>
        <v>#REF!</v>
      </c>
      <c r="BQ8" s="362" t="e">
        <f t="shared" si="18"/>
        <v>#REF!</v>
      </c>
      <c r="BR8" s="362" t="e">
        <f t="shared" si="18"/>
        <v>#REF!</v>
      </c>
      <c r="BS8" s="362" t="e">
        <f t="shared" si="18"/>
        <v>#REF!</v>
      </c>
      <c r="BT8" s="362" t="e">
        <f t="shared" si="18"/>
        <v>#REF!</v>
      </c>
      <c r="BU8" s="362" t="e">
        <f t="shared" si="18"/>
        <v>#REF!</v>
      </c>
      <c r="BV8" s="362" t="e">
        <f t="shared" si="18"/>
        <v>#REF!</v>
      </c>
      <c r="BW8" s="362" t="e">
        <f t="shared" si="18"/>
        <v>#REF!</v>
      </c>
      <c r="BX8" s="362" t="e">
        <f t="shared" si="18"/>
        <v>#REF!</v>
      </c>
      <c r="BY8" s="362" t="e">
        <f t="shared" si="18"/>
        <v>#REF!</v>
      </c>
      <c r="BZ8" s="362" t="e">
        <f t="shared" si="18"/>
        <v>#REF!</v>
      </c>
      <c r="CA8" s="362" t="e">
        <f t="shared" si="18"/>
        <v>#REF!</v>
      </c>
      <c r="CB8" s="362" t="e">
        <f t="shared" si="18"/>
        <v>#REF!</v>
      </c>
      <c r="CC8" s="362" t="e">
        <f t="shared" si="18"/>
        <v>#REF!</v>
      </c>
      <c r="CD8" s="362" t="e">
        <f t="shared" si="18"/>
        <v>#REF!</v>
      </c>
      <c r="CE8" s="362" t="e">
        <f t="shared" si="18"/>
        <v>#REF!</v>
      </c>
      <c r="CF8" s="362" t="e">
        <f t="shared" si="18"/>
        <v>#REF!</v>
      </c>
      <c r="CG8" s="362" t="e">
        <f t="shared" si="18"/>
        <v>#REF!</v>
      </c>
      <c r="CH8" s="362" t="e">
        <f t="shared" si="18"/>
        <v>#REF!</v>
      </c>
      <c r="CI8" s="362" t="e">
        <f t="shared" si="18"/>
        <v>#REF!</v>
      </c>
      <c r="CJ8" s="362" t="e">
        <f t="shared" si="18"/>
        <v>#REF!</v>
      </c>
      <c r="CK8" s="362" t="e">
        <f t="shared" si="18"/>
        <v>#REF!</v>
      </c>
    </row>
    <row r="9" spans="1:89" ht="33" customHeight="1">
      <c r="A9" s="360">
        <v>2</v>
      </c>
      <c r="B9" s="373" t="s">
        <v>222</v>
      </c>
      <c r="C9" s="361">
        <v>37664</v>
      </c>
      <c r="D9" s="361">
        <v>15433</v>
      </c>
      <c r="E9" s="361">
        <f t="shared" si="0"/>
        <v>53097</v>
      </c>
      <c r="F9" s="361">
        <v>10803</v>
      </c>
      <c r="G9" s="361">
        <v>5718</v>
      </c>
      <c r="H9" s="361">
        <f t="shared" si="1"/>
        <v>16521</v>
      </c>
      <c r="I9" s="495">
        <f t="shared" ref="I9:I14" si="19">F9/C9*100</f>
        <v>28.682561597281225</v>
      </c>
      <c r="J9" s="495">
        <f t="shared" ref="J9:J15" si="20">G9/D9*100</f>
        <v>37.050476252186868</v>
      </c>
      <c r="K9" s="495">
        <f t="shared" ref="K9:K15" si="21">H9/E9*100</f>
        <v>31.114752245889598</v>
      </c>
      <c r="L9" s="361">
        <f t="shared" ref="L9:L16" si="22">F9</f>
        <v>10803</v>
      </c>
      <c r="M9" s="361">
        <f t="shared" ref="M9:M16" si="23">G9</f>
        <v>5718</v>
      </c>
      <c r="N9" s="361">
        <f t="shared" ref="N9:N16" si="24">H9</f>
        <v>16521</v>
      </c>
      <c r="O9" s="361">
        <v>589</v>
      </c>
      <c r="P9" s="361">
        <v>488</v>
      </c>
      <c r="Q9" s="361">
        <f t="shared" si="4"/>
        <v>1077</v>
      </c>
      <c r="R9" s="495">
        <f t="shared" ref="R9:R11" si="25">O9/F9%</f>
        <v>5.452189206701842</v>
      </c>
      <c r="S9" s="495">
        <f t="shared" si="5"/>
        <v>8.5344526058062264</v>
      </c>
      <c r="T9" s="495">
        <f t="shared" ref="T9:T11" si="26">Q9/H9%</f>
        <v>6.5189758489195562</v>
      </c>
      <c r="U9" s="361">
        <v>7056</v>
      </c>
      <c r="V9" s="361">
        <v>3592</v>
      </c>
      <c r="W9" s="361">
        <f t="shared" si="6"/>
        <v>10648</v>
      </c>
      <c r="X9" s="361">
        <v>2187</v>
      </c>
      <c r="Y9" s="361">
        <v>1381</v>
      </c>
      <c r="Z9" s="361">
        <f t="shared" si="7"/>
        <v>3568</v>
      </c>
      <c r="AA9" s="495">
        <f t="shared" ref="AA9:AA15" si="27">X9/U9*100</f>
        <v>30.994897959183675</v>
      </c>
      <c r="AB9" s="495">
        <f t="shared" ref="AB9:AB15" si="28">Y9/V9*100</f>
        <v>38.446547884187083</v>
      </c>
      <c r="AC9" s="495">
        <f t="shared" ref="AC9:AC15" si="29">Z9/W9*100</f>
        <v>33.508640120210373</v>
      </c>
      <c r="AD9" s="361">
        <f t="shared" ref="AD9:AD16" si="30">X9</f>
        <v>2187</v>
      </c>
      <c r="AE9" s="361">
        <f t="shared" ref="AE9:AE16" si="31">Y9</f>
        <v>1381</v>
      </c>
      <c r="AF9" s="361">
        <f t="shared" ref="AF9:AF16" si="32">Z9</f>
        <v>3568</v>
      </c>
      <c r="AG9" s="361">
        <v>99</v>
      </c>
      <c r="AH9" s="361">
        <v>81</v>
      </c>
      <c r="AI9" s="361">
        <f t="shared" si="10"/>
        <v>180</v>
      </c>
      <c r="AJ9" s="495">
        <f t="shared" si="11"/>
        <v>4.526748971193415</v>
      </c>
      <c r="AK9" s="495">
        <f t="shared" si="12"/>
        <v>5.8653149891383052</v>
      </c>
      <c r="AL9" s="495">
        <f t="shared" si="13"/>
        <v>5.0448430493273539</v>
      </c>
      <c r="AM9" s="361">
        <v>4158</v>
      </c>
      <c r="AN9" s="361">
        <v>1650</v>
      </c>
      <c r="AO9" s="361">
        <f t="shared" ref="AO9:AO15" si="33">AM9+AN9</f>
        <v>5808</v>
      </c>
      <c r="AP9" s="361">
        <v>1216</v>
      </c>
      <c r="AQ9" s="361">
        <v>467</v>
      </c>
      <c r="AR9" s="361">
        <f t="shared" si="14"/>
        <v>1683</v>
      </c>
      <c r="AS9" s="495">
        <f t="shared" si="15"/>
        <v>29.244829244829244</v>
      </c>
      <c r="AT9" s="495">
        <f t="shared" si="15"/>
        <v>28.303030303030301</v>
      </c>
      <c r="AU9" s="495">
        <f t="shared" si="15"/>
        <v>28.97727272727273</v>
      </c>
      <c r="AV9" s="361">
        <f t="shared" ref="AV9:AV16" si="34">AP9</f>
        <v>1216</v>
      </c>
      <c r="AW9" s="361">
        <f>AQ9</f>
        <v>467</v>
      </c>
      <c r="AX9" s="361">
        <f t="shared" ref="AX9:AX16" si="35">AR9</f>
        <v>1683</v>
      </c>
      <c r="AY9" s="361">
        <v>92</v>
      </c>
      <c r="AZ9" s="361">
        <v>45</v>
      </c>
      <c r="BA9" s="361">
        <f t="shared" si="17"/>
        <v>137</v>
      </c>
      <c r="BB9" s="362">
        <f t="shared" ref="BB9:BB14" si="36">AY9/AV9%</f>
        <v>7.5657894736842106</v>
      </c>
      <c r="BC9" s="362">
        <f t="shared" ref="BC9:BC13" si="37">AZ9/AW9%</f>
        <v>9.6359743040685224</v>
      </c>
      <c r="BD9" s="362">
        <f t="shared" ref="BD9:BD14" si="38">BA9/AX9%</f>
        <v>8.1402257872846118</v>
      </c>
      <c r="BE9" s="361" t="e">
        <f>#REF!+#REF!</f>
        <v>#REF!</v>
      </c>
      <c r="BF9" s="362" t="e">
        <f>#REF!/#REF!%</f>
        <v>#REF!</v>
      </c>
      <c r="BG9" s="362" t="e">
        <f>#REF!/#REF!%</f>
        <v>#REF!</v>
      </c>
      <c r="BH9" s="362" t="e">
        <f>BE9/#REF!%</f>
        <v>#REF!</v>
      </c>
      <c r="BI9" s="361">
        <f t="shared" ref="BI9:BK15" si="39">X9</f>
        <v>2187</v>
      </c>
      <c r="BJ9" s="361">
        <f t="shared" si="39"/>
        <v>1381</v>
      </c>
      <c r="BK9" s="361">
        <f t="shared" si="39"/>
        <v>3568</v>
      </c>
      <c r="BL9" s="361">
        <v>99</v>
      </c>
      <c r="BM9" s="361">
        <v>81</v>
      </c>
      <c r="BN9" s="361">
        <f t="shared" ref="BN9:BN14" si="40">BL9+BM9</f>
        <v>180</v>
      </c>
      <c r="BO9" s="362">
        <f t="shared" ref="BO9:BQ16" si="41">BL9/BI9%</f>
        <v>4.526748971193415</v>
      </c>
      <c r="BP9" s="362">
        <f t="shared" si="41"/>
        <v>5.8653149891383052</v>
      </c>
      <c r="BQ9" s="362">
        <f t="shared" si="41"/>
        <v>5.0448430493273539</v>
      </c>
      <c r="BR9" s="361">
        <f t="shared" ref="BR9:BT13" si="42">AP9</f>
        <v>1216</v>
      </c>
      <c r="BS9" s="361">
        <f t="shared" si="42"/>
        <v>467</v>
      </c>
      <c r="BT9" s="361">
        <f t="shared" si="42"/>
        <v>1683</v>
      </c>
      <c r="BU9" s="361">
        <v>92</v>
      </c>
      <c r="BV9" s="361">
        <v>45</v>
      </c>
      <c r="BW9" s="361">
        <f t="shared" ref="BW9:BW14" si="43">BU9+BV9</f>
        <v>137</v>
      </c>
      <c r="BX9" s="362">
        <f t="shared" ref="BX9:BZ16" si="44">BU9/BR9%</f>
        <v>7.5657894736842106</v>
      </c>
      <c r="BY9" s="362">
        <f t="shared" si="44"/>
        <v>9.6359743040685224</v>
      </c>
      <c r="BZ9" s="362">
        <f t="shared" si="44"/>
        <v>8.1402257872846118</v>
      </c>
      <c r="CA9" s="361" t="e">
        <f>#REF!</f>
        <v>#REF!</v>
      </c>
      <c r="CB9" s="361" t="e">
        <f>#REF!</f>
        <v>#REF!</v>
      </c>
      <c r="CC9" s="361" t="e">
        <f t="shared" ref="CC9:CC13" si="45">BE9</f>
        <v>#REF!</v>
      </c>
      <c r="CD9" s="361">
        <v>335</v>
      </c>
      <c r="CE9" s="361">
        <v>316</v>
      </c>
      <c r="CF9" s="361">
        <f t="shared" ref="CF9:CF14" si="46">CD9+CE9</f>
        <v>651</v>
      </c>
      <c r="CG9" s="362" t="e">
        <f t="shared" ref="CG9:CG14" si="47">CD9/CA9%</f>
        <v>#REF!</v>
      </c>
      <c r="CH9" s="362" t="e">
        <f t="shared" ref="CH9:CH14" si="48">CE9/CB9%</f>
        <v>#REF!</v>
      </c>
      <c r="CI9" s="362" t="e">
        <f t="shared" ref="CI9:CI16" si="49">CF9/CC9%</f>
        <v>#REF!</v>
      </c>
    </row>
    <row r="10" spans="1:89" ht="33" customHeight="1">
      <c r="A10" s="360">
        <v>3</v>
      </c>
      <c r="B10" s="373" t="s">
        <v>223</v>
      </c>
      <c r="C10" s="361">
        <v>54484</v>
      </c>
      <c r="D10" s="361">
        <v>43458</v>
      </c>
      <c r="E10" s="361">
        <f t="shared" si="0"/>
        <v>97942</v>
      </c>
      <c r="F10" s="361">
        <v>28229</v>
      </c>
      <c r="G10" s="361">
        <v>24740</v>
      </c>
      <c r="H10" s="361">
        <f t="shared" si="1"/>
        <v>52969</v>
      </c>
      <c r="I10" s="495">
        <f t="shared" si="19"/>
        <v>51.811541002863223</v>
      </c>
      <c r="J10" s="495">
        <f t="shared" si="20"/>
        <v>56.928528694371572</v>
      </c>
      <c r="K10" s="495">
        <f t="shared" si="21"/>
        <v>54.082007718854022</v>
      </c>
      <c r="L10" s="361">
        <f t="shared" si="22"/>
        <v>28229</v>
      </c>
      <c r="M10" s="361">
        <f t="shared" si="23"/>
        <v>24740</v>
      </c>
      <c r="N10" s="361">
        <f t="shared" si="24"/>
        <v>52969</v>
      </c>
      <c r="O10" s="361">
        <v>1542</v>
      </c>
      <c r="P10" s="361">
        <v>1225</v>
      </c>
      <c r="Q10" s="361">
        <f t="shared" si="4"/>
        <v>2767</v>
      </c>
      <c r="R10" s="495">
        <f t="shared" si="25"/>
        <v>5.4624676750859038</v>
      </c>
      <c r="S10" s="495">
        <f t="shared" si="5"/>
        <v>4.9514955537590941</v>
      </c>
      <c r="T10" s="495">
        <f t="shared" si="26"/>
        <v>5.2238101531084213</v>
      </c>
      <c r="U10" s="361">
        <v>8198</v>
      </c>
      <c r="V10" s="361">
        <v>6757</v>
      </c>
      <c r="W10" s="361">
        <f t="shared" si="6"/>
        <v>14955</v>
      </c>
      <c r="X10" s="361">
        <v>4227</v>
      </c>
      <c r="Y10" s="361">
        <v>3832</v>
      </c>
      <c r="Z10" s="361">
        <f t="shared" si="7"/>
        <v>8059</v>
      </c>
      <c r="AA10" s="495">
        <f t="shared" si="27"/>
        <v>51.561356428397161</v>
      </c>
      <c r="AB10" s="495">
        <f t="shared" si="28"/>
        <v>56.711558383898172</v>
      </c>
      <c r="AC10" s="495">
        <f t="shared" si="29"/>
        <v>53.88833166165162</v>
      </c>
      <c r="AD10" s="361">
        <f t="shared" si="30"/>
        <v>4227</v>
      </c>
      <c r="AE10" s="361">
        <f t="shared" si="31"/>
        <v>3832</v>
      </c>
      <c r="AF10" s="361">
        <f t="shared" si="32"/>
        <v>8059</v>
      </c>
      <c r="AG10" s="361">
        <v>213</v>
      </c>
      <c r="AH10" s="361">
        <v>199</v>
      </c>
      <c r="AI10" s="361">
        <f t="shared" si="10"/>
        <v>412</v>
      </c>
      <c r="AJ10" s="495">
        <f t="shared" si="11"/>
        <v>5.0390347764371892</v>
      </c>
      <c r="AK10" s="495">
        <f t="shared" si="12"/>
        <v>5.1931106471816282</v>
      </c>
      <c r="AL10" s="495">
        <f t="shared" si="13"/>
        <v>5.1122968110187363</v>
      </c>
      <c r="AM10" s="361">
        <v>13689</v>
      </c>
      <c r="AN10" s="361">
        <v>12851</v>
      </c>
      <c r="AO10" s="361">
        <f t="shared" si="33"/>
        <v>26540</v>
      </c>
      <c r="AP10" s="361">
        <v>6984</v>
      </c>
      <c r="AQ10" s="361">
        <v>6939</v>
      </c>
      <c r="AR10" s="361">
        <f t="shared" si="14"/>
        <v>13923</v>
      </c>
      <c r="AS10" s="495">
        <f t="shared" si="15"/>
        <v>51.019066403681791</v>
      </c>
      <c r="AT10" s="495">
        <f t="shared" si="15"/>
        <v>53.995797992374136</v>
      </c>
      <c r="AU10" s="495">
        <f t="shared" si="15"/>
        <v>52.460437076111532</v>
      </c>
      <c r="AV10" s="361">
        <f t="shared" si="34"/>
        <v>6984</v>
      </c>
      <c r="AW10" s="361">
        <f>AQ10</f>
        <v>6939</v>
      </c>
      <c r="AX10" s="361">
        <f t="shared" si="35"/>
        <v>13923</v>
      </c>
      <c r="AY10" s="361">
        <v>543</v>
      </c>
      <c r="AZ10" s="361">
        <v>457</v>
      </c>
      <c r="BA10" s="361">
        <f t="shared" si="17"/>
        <v>1000</v>
      </c>
      <c r="BB10" s="362">
        <f t="shared" si="36"/>
        <v>7.7749140893470789</v>
      </c>
      <c r="BC10" s="362">
        <f t="shared" si="37"/>
        <v>6.585963395301917</v>
      </c>
      <c r="BD10" s="362">
        <f t="shared" si="38"/>
        <v>7.1823601235365944</v>
      </c>
      <c r="BE10" s="361" t="e">
        <f>#REF!+#REF!</f>
        <v>#REF!</v>
      </c>
      <c r="BF10" s="362" t="e">
        <f>#REF!/#REF!%</f>
        <v>#REF!</v>
      </c>
      <c r="BG10" s="362" t="e">
        <f>#REF!/#REF!%</f>
        <v>#REF!</v>
      </c>
      <c r="BH10" s="362" t="e">
        <f>BE10/#REF!%</f>
        <v>#REF!</v>
      </c>
      <c r="BI10" s="361">
        <f t="shared" si="39"/>
        <v>4227</v>
      </c>
      <c r="BJ10" s="361">
        <f t="shared" si="39"/>
        <v>3832</v>
      </c>
      <c r="BK10" s="361">
        <f t="shared" si="39"/>
        <v>8059</v>
      </c>
      <c r="BL10" s="361">
        <v>213</v>
      </c>
      <c r="BM10" s="361">
        <v>199</v>
      </c>
      <c r="BN10" s="361">
        <f t="shared" si="40"/>
        <v>412</v>
      </c>
      <c r="BO10" s="362">
        <f t="shared" si="41"/>
        <v>5.0390347764371892</v>
      </c>
      <c r="BP10" s="362">
        <f t="shared" si="41"/>
        <v>5.1931106471816282</v>
      </c>
      <c r="BQ10" s="362">
        <f t="shared" si="41"/>
        <v>5.1122968110187363</v>
      </c>
      <c r="BR10" s="361">
        <f t="shared" si="42"/>
        <v>6984</v>
      </c>
      <c r="BS10" s="361">
        <f t="shared" si="42"/>
        <v>6939</v>
      </c>
      <c r="BT10" s="361">
        <f t="shared" si="42"/>
        <v>13923</v>
      </c>
      <c r="BU10" s="361">
        <v>543</v>
      </c>
      <c r="BV10" s="361">
        <v>457</v>
      </c>
      <c r="BW10" s="361">
        <f t="shared" si="43"/>
        <v>1000</v>
      </c>
      <c r="BX10" s="362">
        <f t="shared" si="44"/>
        <v>7.7749140893470789</v>
      </c>
      <c r="BY10" s="362">
        <f t="shared" si="44"/>
        <v>6.585963395301917</v>
      </c>
      <c r="BZ10" s="362">
        <f t="shared" si="44"/>
        <v>7.1823601235365944</v>
      </c>
      <c r="CA10" s="361" t="e">
        <f>#REF!</f>
        <v>#REF!</v>
      </c>
      <c r="CB10" s="361" t="e">
        <f>#REF!</f>
        <v>#REF!</v>
      </c>
      <c r="CC10" s="361" t="e">
        <f t="shared" si="45"/>
        <v>#REF!</v>
      </c>
      <c r="CD10" s="402"/>
      <c r="CE10" s="402"/>
      <c r="CF10" s="402"/>
      <c r="CG10" s="422"/>
      <c r="CH10" s="422"/>
      <c r="CI10" s="422"/>
    </row>
    <row r="11" spans="1:89" ht="33" customHeight="1">
      <c r="A11" s="360">
        <v>4</v>
      </c>
      <c r="B11" s="373" t="s">
        <v>224</v>
      </c>
      <c r="C11" s="361">
        <v>28933</v>
      </c>
      <c r="D11" s="361">
        <v>25179</v>
      </c>
      <c r="E11" s="361">
        <f t="shared" si="0"/>
        <v>54112</v>
      </c>
      <c r="F11" s="361">
        <v>21644</v>
      </c>
      <c r="G11" s="361">
        <v>21212</v>
      </c>
      <c r="H11" s="361">
        <f t="shared" si="1"/>
        <v>42856</v>
      </c>
      <c r="I11" s="495">
        <f t="shared" si="19"/>
        <v>74.807313448311618</v>
      </c>
      <c r="J11" s="495">
        <f t="shared" si="20"/>
        <v>84.244807180587003</v>
      </c>
      <c r="K11" s="495">
        <f t="shared" si="21"/>
        <v>79.198698994677713</v>
      </c>
      <c r="L11" s="361">
        <f t="shared" si="22"/>
        <v>21644</v>
      </c>
      <c r="M11" s="361">
        <f t="shared" si="23"/>
        <v>21212</v>
      </c>
      <c r="N11" s="361">
        <f t="shared" si="24"/>
        <v>42856</v>
      </c>
      <c r="O11" s="361">
        <v>1657</v>
      </c>
      <c r="P11" s="361">
        <v>1743</v>
      </c>
      <c r="Q11" s="361">
        <f t="shared" si="4"/>
        <v>3400</v>
      </c>
      <c r="R11" s="495">
        <f t="shared" si="25"/>
        <v>7.6557013491036781</v>
      </c>
      <c r="S11" s="495">
        <f t="shared" si="5"/>
        <v>8.217046954554025</v>
      </c>
      <c r="T11" s="495">
        <f t="shared" si="26"/>
        <v>7.9335448945305211</v>
      </c>
      <c r="U11" s="361">
        <v>4860</v>
      </c>
      <c r="V11" s="361">
        <v>2838</v>
      </c>
      <c r="W11" s="361">
        <f t="shared" si="6"/>
        <v>7698</v>
      </c>
      <c r="X11" s="361">
        <v>3506</v>
      </c>
      <c r="Y11" s="361">
        <v>2539</v>
      </c>
      <c r="Z11" s="361">
        <f t="shared" si="7"/>
        <v>6045</v>
      </c>
      <c r="AA11" s="495">
        <f t="shared" si="27"/>
        <v>72.139917695473258</v>
      </c>
      <c r="AB11" s="495">
        <f t="shared" si="28"/>
        <v>89.464411557434815</v>
      </c>
      <c r="AC11" s="495">
        <f t="shared" si="29"/>
        <v>78.526890101325023</v>
      </c>
      <c r="AD11" s="361">
        <f t="shared" si="30"/>
        <v>3506</v>
      </c>
      <c r="AE11" s="361">
        <f t="shared" si="31"/>
        <v>2539</v>
      </c>
      <c r="AF11" s="361">
        <f t="shared" si="32"/>
        <v>6045</v>
      </c>
      <c r="AG11" s="361">
        <v>120</v>
      </c>
      <c r="AH11" s="361">
        <v>134</v>
      </c>
      <c r="AI11" s="361">
        <f t="shared" si="10"/>
        <v>254</v>
      </c>
      <c r="AJ11" s="495">
        <f t="shared" si="11"/>
        <v>3.4227039361095262</v>
      </c>
      <c r="AK11" s="495">
        <f t="shared" si="12"/>
        <v>5.2776683733753442</v>
      </c>
      <c r="AL11" s="495">
        <f t="shared" si="13"/>
        <v>4.2018196856906531</v>
      </c>
      <c r="AM11" s="361">
        <v>3214</v>
      </c>
      <c r="AN11" s="361">
        <v>2295</v>
      </c>
      <c r="AO11" s="361">
        <f t="shared" si="33"/>
        <v>5509</v>
      </c>
      <c r="AP11" s="361">
        <v>2421</v>
      </c>
      <c r="AQ11" s="361">
        <v>2103</v>
      </c>
      <c r="AR11" s="361">
        <f t="shared" si="14"/>
        <v>4524</v>
      </c>
      <c r="AS11" s="495">
        <f t="shared" si="15"/>
        <v>75.326695706285008</v>
      </c>
      <c r="AT11" s="495">
        <f t="shared" si="15"/>
        <v>91.633986928104576</v>
      </c>
      <c r="AU11" s="495">
        <f t="shared" si="15"/>
        <v>82.120166999455435</v>
      </c>
      <c r="AV11" s="361">
        <f t="shared" si="34"/>
        <v>2421</v>
      </c>
      <c r="AW11" s="361">
        <f>AQ11</f>
        <v>2103</v>
      </c>
      <c r="AX11" s="361">
        <f t="shared" si="35"/>
        <v>4524</v>
      </c>
      <c r="AY11" s="361">
        <v>74</v>
      </c>
      <c r="AZ11" s="361">
        <v>60</v>
      </c>
      <c r="BA11" s="361">
        <f t="shared" si="17"/>
        <v>134</v>
      </c>
      <c r="BB11" s="362">
        <f t="shared" si="36"/>
        <v>3.0565881866997109</v>
      </c>
      <c r="BC11" s="362">
        <f t="shared" si="37"/>
        <v>2.8530670470756063</v>
      </c>
      <c r="BD11" s="362">
        <f t="shared" si="38"/>
        <v>2.9619805481874448</v>
      </c>
      <c r="BE11" s="361" t="e">
        <f>#REF!+#REF!</f>
        <v>#REF!</v>
      </c>
      <c r="BF11" s="362" t="e">
        <f>#REF!/#REF!%</f>
        <v>#REF!</v>
      </c>
      <c r="BG11" s="362" t="e">
        <f>#REF!/#REF!%</f>
        <v>#REF!</v>
      </c>
      <c r="BH11" s="362" t="e">
        <f>BE11/#REF!%</f>
        <v>#REF!</v>
      </c>
      <c r="BI11" s="361">
        <f t="shared" si="39"/>
        <v>3506</v>
      </c>
      <c r="BJ11" s="361">
        <f t="shared" si="39"/>
        <v>2539</v>
      </c>
      <c r="BK11" s="361">
        <f t="shared" si="39"/>
        <v>6045</v>
      </c>
      <c r="BL11" s="361">
        <v>120</v>
      </c>
      <c r="BM11" s="361">
        <v>134</v>
      </c>
      <c r="BN11" s="361">
        <f t="shared" si="40"/>
        <v>254</v>
      </c>
      <c r="BO11" s="362">
        <f t="shared" si="41"/>
        <v>3.4227039361095262</v>
      </c>
      <c r="BP11" s="362">
        <f t="shared" si="41"/>
        <v>5.2776683733753442</v>
      </c>
      <c r="BQ11" s="362">
        <f t="shared" si="41"/>
        <v>4.2018196856906531</v>
      </c>
      <c r="BR11" s="361">
        <f t="shared" si="42"/>
        <v>2421</v>
      </c>
      <c r="BS11" s="361">
        <f t="shared" si="42"/>
        <v>2103</v>
      </c>
      <c r="BT11" s="361">
        <f t="shared" si="42"/>
        <v>4524</v>
      </c>
      <c r="BU11" s="361">
        <v>74</v>
      </c>
      <c r="BV11" s="361">
        <v>60</v>
      </c>
      <c r="BW11" s="361">
        <f t="shared" si="43"/>
        <v>134</v>
      </c>
      <c r="BX11" s="362">
        <f t="shared" si="44"/>
        <v>3.0565881866997109</v>
      </c>
      <c r="BY11" s="362">
        <f t="shared" si="44"/>
        <v>2.8530670470756063</v>
      </c>
      <c r="BZ11" s="362">
        <f t="shared" si="44"/>
        <v>2.9619805481874448</v>
      </c>
      <c r="CA11" s="361" t="e">
        <f>#REF!</f>
        <v>#REF!</v>
      </c>
      <c r="CB11" s="361" t="e">
        <f>#REF!</f>
        <v>#REF!</v>
      </c>
      <c r="CC11" s="361" t="e">
        <f t="shared" si="45"/>
        <v>#REF!</v>
      </c>
      <c r="CD11" s="361">
        <v>496</v>
      </c>
      <c r="CE11" s="361">
        <v>629</v>
      </c>
      <c r="CF11" s="361">
        <f t="shared" si="46"/>
        <v>1125</v>
      </c>
      <c r="CG11" s="362" t="e">
        <f t="shared" si="47"/>
        <v>#REF!</v>
      </c>
      <c r="CH11" s="362" t="e">
        <f t="shared" si="48"/>
        <v>#REF!</v>
      </c>
      <c r="CI11" s="362" t="e">
        <f t="shared" si="49"/>
        <v>#REF!</v>
      </c>
    </row>
    <row r="12" spans="1:89" ht="33" customHeight="1">
      <c r="A12" s="360">
        <v>5</v>
      </c>
      <c r="B12" s="373" t="s">
        <v>426</v>
      </c>
      <c r="C12" s="361">
        <v>62532</v>
      </c>
      <c r="D12" s="361">
        <v>41689</v>
      </c>
      <c r="E12" s="361">
        <f t="shared" si="0"/>
        <v>104221</v>
      </c>
      <c r="F12" s="361">
        <v>26482</v>
      </c>
      <c r="G12" s="361">
        <v>17655</v>
      </c>
      <c r="H12" s="361">
        <f t="shared" si="1"/>
        <v>44137</v>
      </c>
      <c r="I12" s="495">
        <f t="shared" si="19"/>
        <v>42.349517047271796</v>
      </c>
      <c r="J12" s="495">
        <f t="shared" si="20"/>
        <v>42.349300774784716</v>
      </c>
      <c r="K12" s="495">
        <f t="shared" si="21"/>
        <v>42.349430537031886</v>
      </c>
      <c r="L12" s="361">
        <f t="shared" si="22"/>
        <v>26482</v>
      </c>
      <c r="M12" s="361">
        <f t="shared" si="23"/>
        <v>17655</v>
      </c>
      <c r="N12" s="361">
        <f t="shared" si="24"/>
        <v>44137</v>
      </c>
      <c r="O12" s="361">
        <v>287</v>
      </c>
      <c r="P12" s="361">
        <v>254</v>
      </c>
      <c r="Q12" s="361">
        <f t="shared" si="4"/>
        <v>541</v>
      </c>
      <c r="R12" s="495">
        <f>O12/F12%</f>
        <v>1.0837550033985348</v>
      </c>
      <c r="S12" s="495">
        <f t="shared" si="5"/>
        <v>1.438685924667233</v>
      </c>
      <c r="T12" s="495">
        <f>Q12/H12%</f>
        <v>1.2257289802206766</v>
      </c>
      <c r="U12" s="361">
        <v>14990</v>
      </c>
      <c r="V12" s="361">
        <v>7504</v>
      </c>
      <c r="W12" s="361">
        <f t="shared" si="6"/>
        <v>22494</v>
      </c>
      <c r="X12" s="361">
        <v>4766</v>
      </c>
      <c r="Y12" s="361">
        <v>3001</v>
      </c>
      <c r="Z12" s="361">
        <f t="shared" si="7"/>
        <v>7767</v>
      </c>
      <c r="AA12" s="495">
        <f t="shared" si="27"/>
        <v>31.79452968645764</v>
      </c>
      <c r="AB12" s="495">
        <f t="shared" si="28"/>
        <v>39.992004264392321</v>
      </c>
      <c r="AC12" s="495">
        <f t="shared" si="29"/>
        <v>34.529207788743662</v>
      </c>
      <c r="AD12" s="361">
        <f t="shared" si="30"/>
        <v>4766</v>
      </c>
      <c r="AE12" s="361">
        <f t="shared" si="31"/>
        <v>3001</v>
      </c>
      <c r="AF12" s="361">
        <f t="shared" si="32"/>
        <v>7767</v>
      </c>
      <c r="AG12" s="361">
        <v>51</v>
      </c>
      <c r="AH12" s="361">
        <v>43</v>
      </c>
      <c r="AI12" s="361">
        <f t="shared" si="10"/>
        <v>94</v>
      </c>
      <c r="AJ12" s="495">
        <f t="shared" si="11"/>
        <v>1.0700797314309693</v>
      </c>
      <c r="AK12" s="495">
        <f t="shared" si="12"/>
        <v>1.432855714761746</v>
      </c>
      <c r="AL12" s="495">
        <f t="shared" si="13"/>
        <v>1.210248487189391</v>
      </c>
      <c r="AM12" s="361">
        <v>8129</v>
      </c>
      <c r="AN12" s="361">
        <v>8337</v>
      </c>
      <c r="AO12" s="361">
        <f t="shared" si="33"/>
        <v>16466</v>
      </c>
      <c r="AP12" s="361">
        <v>3442</v>
      </c>
      <c r="AQ12" s="361">
        <v>3531</v>
      </c>
      <c r="AR12" s="361">
        <f t="shared" si="14"/>
        <v>6973</v>
      </c>
      <c r="AS12" s="495">
        <f t="shared" si="15"/>
        <v>42.342231516791735</v>
      </c>
      <c r="AT12" s="495">
        <f t="shared" si="15"/>
        <v>42.353364519611368</v>
      </c>
      <c r="AU12" s="495">
        <f t="shared" si="15"/>
        <v>42.347868334750395</v>
      </c>
      <c r="AV12" s="361">
        <f t="shared" si="34"/>
        <v>3442</v>
      </c>
      <c r="AW12" s="361">
        <f>AQ12</f>
        <v>3531</v>
      </c>
      <c r="AX12" s="361">
        <f t="shared" si="35"/>
        <v>6973</v>
      </c>
      <c r="AY12" s="361">
        <v>38</v>
      </c>
      <c r="AZ12" s="361">
        <v>33</v>
      </c>
      <c r="BA12" s="361">
        <f t="shared" si="17"/>
        <v>71</v>
      </c>
      <c r="BB12" s="362">
        <f t="shared" si="36"/>
        <v>1.104009296920395</v>
      </c>
      <c r="BC12" s="362">
        <f t="shared" si="37"/>
        <v>0.93457943925233644</v>
      </c>
      <c r="BD12" s="362">
        <f t="shared" si="38"/>
        <v>1.0182131077011329</v>
      </c>
      <c r="BE12" s="361" t="e">
        <f>#REF!+#REF!</f>
        <v>#REF!</v>
      </c>
      <c r="BF12" s="362" t="e">
        <f>#REF!/#REF!%</f>
        <v>#REF!</v>
      </c>
      <c r="BG12" s="362" t="e">
        <f>#REF!/#REF!%</f>
        <v>#REF!</v>
      </c>
      <c r="BH12" s="362" t="e">
        <f>BE12/#REF!%</f>
        <v>#REF!</v>
      </c>
      <c r="BI12" s="361">
        <f t="shared" si="39"/>
        <v>4766</v>
      </c>
      <c r="BJ12" s="361">
        <f t="shared" si="39"/>
        <v>3001</v>
      </c>
      <c r="BK12" s="361">
        <f t="shared" si="39"/>
        <v>7767</v>
      </c>
      <c r="BL12" s="361">
        <v>51</v>
      </c>
      <c r="BM12" s="361">
        <v>43</v>
      </c>
      <c r="BN12" s="361">
        <f t="shared" si="40"/>
        <v>94</v>
      </c>
      <c r="BO12" s="362">
        <f t="shared" si="41"/>
        <v>1.0700797314309693</v>
      </c>
      <c r="BP12" s="362">
        <f t="shared" si="41"/>
        <v>1.432855714761746</v>
      </c>
      <c r="BQ12" s="362">
        <f t="shared" si="41"/>
        <v>1.210248487189391</v>
      </c>
      <c r="BR12" s="361">
        <f t="shared" si="42"/>
        <v>3442</v>
      </c>
      <c r="BS12" s="361">
        <f t="shared" si="42"/>
        <v>3531</v>
      </c>
      <c r="BT12" s="361">
        <f t="shared" si="42"/>
        <v>6973</v>
      </c>
      <c r="BU12" s="361">
        <v>38</v>
      </c>
      <c r="BV12" s="361">
        <v>33</v>
      </c>
      <c r="BW12" s="361">
        <f t="shared" si="43"/>
        <v>71</v>
      </c>
      <c r="BX12" s="362">
        <f t="shared" si="44"/>
        <v>1.104009296920395</v>
      </c>
      <c r="BY12" s="362">
        <f t="shared" si="44"/>
        <v>0.93457943925233644</v>
      </c>
      <c r="BZ12" s="362">
        <f t="shared" si="44"/>
        <v>1.0182131077011329</v>
      </c>
      <c r="CA12" s="361" t="e">
        <f>#REF!</f>
        <v>#REF!</v>
      </c>
      <c r="CB12" s="361" t="e">
        <f>#REF!</f>
        <v>#REF!</v>
      </c>
      <c r="CC12" s="361" t="e">
        <f t="shared" si="45"/>
        <v>#REF!</v>
      </c>
      <c r="CD12" s="361">
        <v>60</v>
      </c>
      <c r="CE12" s="361">
        <v>53</v>
      </c>
      <c r="CF12" s="361">
        <f t="shared" si="46"/>
        <v>113</v>
      </c>
      <c r="CG12" s="362" t="e">
        <f t="shared" si="47"/>
        <v>#REF!</v>
      </c>
      <c r="CH12" s="362" t="e">
        <f t="shared" si="48"/>
        <v>#REF!</v>
      </c>
      <c r="CI12" s="362" t="e">
        <f t="shared" si="49"/>
        <v>#REF!</v>
      </c>
    </row>
    <row r="13" spans="1:89" ht="33" customHeight="1">
      <c r="A13" s="360">
        <v>6</v>
      </c>
      <c r="B13" s="373" t="s">
        <v>226</v>
      </c>
      <c r="C13" s="361">
        <v>195137</v>
      </c>
      <c r="D13" s="361">
        <v>96353</v>
      </c>
      <c r="E13" s="361">
        <f t="shared" si="0"/>
        <v>291490</v>
      </c>
      <c r="F13" s="361">
        <v>73010</v>
      </c>
      <c r="G13" s="361">
        <v>35590</v>
      </c>
      <c r="H13" s="361">
        <f t="shared" si="1"/>
        <v>108600</v>
      </c>
      <c r="I13" s="495">
        <f t="shared" si="19"/>
        <v>37.414739388224682</v>
      </c>
      <c r="J13" s="495">
        <f t="shared" si="20"/>
        <v>36.937095886998847</v>
      </c>
      <c r="K13" s="495">
        <f t="shared" si="21"/>
        <v>37.256852722220316</v>
      </c>
      <c r="L13" s="361">
        <f t="shared" si="22"/>
        <v>73010</v>
      </c>
      <c r="M13" s="361">
        <f t="shared" si="23"/>
        <v>35590</v>
      </c>
      <c r="N13" s="361">
        <f t="shared" si="24"/>
        <v>108600</v>
      </c>
      <c r="O13" s="361">
        <v>24102</v>
      </c>
      <c r="P13" s="361">
        <v>11659</v>
      </c>
      <c r="Q13" s="361">
        <f t="shared" si="4"/>
        <v>35761</v>
      </c>
      <c r="R13" s="495">
        <f t="shared" ref="R13:R15" si="50">O13/F13%</f>
        <v>33.011916175866318</v>
      </c>
      <c r="S13" s="495">
        <f t="shared" si="5"/>
        <v>32.759202023040181</v>
      </c>
      <c r="T13" s="495">
        <f t="shared" ref="T13:T15" si="51">Q13/H13%</f>
        <v>32.929097605893183</v>
      </c>
      <c r="U13" s="361">
        <v>19973</v>
      </c>
      <c r="V13" s="361">
        <v>8520</v>
      </c>
      <c r="W13" s="361">
        <f t="shared" si="6"/>
        <v>28493</v>
      </c>
      <c r="X13" s="361">
        <v>7056</v>
      </c>
      <c r="Y13" s="361">
        <v>3350</v>
      </c>
      <c r="Z13" s="361">
        <f t="shared" si="7"/>
        <v>10406</v>
      </c>
      <c r="AA13" s="495">
        <f t="shared" si="27"/>
        <v>35.32769238471937</v>
      </c>
      <c r="AB13" s="495">
        <f t="shared" si="28"/>
        <v>39.31924882629108</v>
      </c>
      <c r="AC13" s="495">
        <f t="shared" si="29"/>
        <v>36.521250833538062</v>
      </c>
      <c r="AD13" s="361">
        <f t="shared" si="30"/>
        <v>7056</v>
      </c>
      <c r="AE13" s="361">
        <f t="shared" si="31"/>
        <v>3350</v>
      </c>
      <c r="AF13" s="361">
        <f t="shared" si="32"/>
        <v>10406</v>
      </c>
      <c r="AG13" s="361">
        <v>1930</v>
      </c>
      <c r="AH13" s="361">
        <v>872</v>
      </c>
      <c r="AI13" s="361">
        <f t="shared" si="10"/>
        <v>2802</v>
      </c>
      <c r="AJ13" s="495">
        <f t="shared" si="11"/>
        <v>27.352607709750565</v>
      </c>
      <c r="AK13" s="495">
        <f t="shared" si="12"/>
        <v>26.029850746268657</v>
      </c>
      <c r="AL13" s="495">
        <f t="shared" si="13"/>
        <v>26.926773015567942</v>
      </c>
      <c r="AM13" s="361">
        <v>12745</v>
      </c>
      <c r="AN13" s="361">
        <v>10435</v>
      </c>
      <c r="AO13" s="361">
        <f t="shared" si="33"/>
        <v>23180</v>
      </c>
      <c r="AP13" s="361">
        <v>4373</v>
      </c>
      <c r="AQ13" s="361">
        <v>3679</v>
      </c>
      <c r="AR13" s="361">
        <f t="shared" si="14"/>
        <v>8052</v>
      </c>
      <c r="AS13" s="495">
        <f t="shared" si="15"/>
        <v>34.311494703805408</v>
      </c>
      <c r="AT13" s="495">
        <f t="shared" si="15"/>
        <v>35.256348826066123</v>
      </c>
      <c r="AU13" s="495">
        <f t="shared" si="15"/>
        <v>34.736842105263158</v>
      </c>
      <c r="AV13" s="361">
        <f t="shared" si="34"/>
        <v>4373</v>
      </c>
      <c r="AW13" s="361">
        <f>AQ13</f>
        <v>3679</v>
      </c>
      <c r="AX13" s="361">
        <f t="shared" si="35"/>
        <v>8052</v>
      </c>
      <c r="AY13" s="361">
        <v>1123</v>
      </c>
      <c r="AZ13" s="361">
        <v>931</v>
      </c>
      <c r="BA13" s="361">
        <f t="shared" si="17"/>
        <v>2054</v>
      </c>
      <c r="BB13" s="362">
        <f t="shared" si="36"/>
        <v>25.680310999313974</v>
      </c>
      <c r="BC13" s="362">
        <f t="shared" si="37"/>
        <v>25.305789616743681</v>
      </c>
      <c r="BD13" s="362">
        <f t="shared" si="38"/>
        <v>25.509190263288627</v>
      </c>
      <c r="BE13" s="361" t="e">
        <f>#REF!+#REF!</f>
        <v>#REF!</v>
      </c>
      <c r="BF13" s="362" t="e">
        <f>#REF!/#REF!%</f>
        <v>#REF!</v>
      </c>
      <c r="BG13" s="362" t="e">
        <f>#REF!/#REF!%</f>
        <v>#REF!</v>
      </c>
      <c r="BH13" s="362" t="e">
        <f>BE13/#REF!%</f>
        <v>#REF!</v>
      </c>
      <c r="BI13" s="361">
        <f t="shared" si="39"/>
        <v>7056</v>
      </c>
      <c r="BJ13" s="361">
        <f t="shared" si="39"/>
        <v>3350</v>
      </c>
      <c r="BK13" s="361">
        <f t="shared" si="39"/>
        <v>10406</v>
      </c>
      <c r="BL13" s="361">
        <v>1930</v>
      </c>
      <c r="BM13" s="361">
        <v>872</v>
      </c>
      <c r="BN13" s="361">
        <f t="shared" si="40"/>
        <v>2802</v>
      </c>
      <c r="BO13" s="362">
        <f t="shared" si="41"/>
        <v>27.352607709750565</v>
      </c>
      <c r="BP13" s="362">
        <f t="shared" si="41"/>
        <v>26.029850746268657</v>
      </c>
      <c r="BQ13" s="362">
        <f t="shared" si="41"/>
        <v>26.926773015567942</v>
      </c>
      <c r="BR13" s="361">
        <f t="shared" si="42"/>
        <v>4373</v>
      </c>
      <c r="BS13" s="361">
        <f t="shared" si="42"/>
        <v>3679</v>
      </c>
      <c r="BT13" s="361">
        <f t="shared" si="42"/>
        <v>8052</v>
      </c>
      <c r="BU13" s="361">
        <v>1123</v>
      </c>
      <c r="BV13" s="361">
        <v>931</v>
      </c>
      <c r="BW13" s="361">
        <f t="shared" si="43"/>
        <v>2054</v>
      </c>
      <c r="BX13" s="362">
        <f t="shared" si="44"/>
        <v>25.680310999313974</v>
      </c>
      <c r="BY13" s="362">
        <f t="shared" si="44"/>
        <v>25.305789616743681</v>
      </c>
      <c r="BZ13" s="362">
        <f t="shared" si="44"/>
        <v>25.509190263288627</v>
      </c>
      <c r="CA13" s="361" t="e">
        <f>#REF!</f>
        <v>#REF!</v>
      </c>
      <c r="CB13" s="361" t="e">
        <f>#REF!</f>
        <v>#REF!</v>
      </c>
      <c r="CC13" s="361" t="e">
        <f t="shared" si="45"/>
        <v>#REF!</v>
      </c>
      <c r="CD13" s="361">
        <v>3601</v>
      </c>
      <c r="CE13" s="361">
        <v>1763</v>
      </c>
      <c r="CF13" s="361">
        <f t="shared" si="46"/>
        <v>5364</v>
      </c>
      <c r="CG13" s="362" t="e">
        <f t="shared" si="47"/>
        <v>#REF!</v>
      </c>
      <c r="CH13" s="362" t="e">
        <f t="shared" si="48"/>
        <v>#REF!</v>
      </c>
      <c r="CI13" s="362" t="e">
        <f t="shared" si="49"/>
        <v>#REF!</v>
      </c>
    </row>
    <row r="14" spans="1:89" s="394" customFormat="1" ht="33" customHeight="1">
      <c r="A14" s="469">
        <v>7</v>
      </c>
      <c r="B14" s="470" t="s">
        <v>373</v>
      </c>
      <c r="C14" s="471">
        <v>41458</v>
      </c>
      <c r="D14" s="471">
        <v>12694</v>
      </c>
      <c r="E14" s="471">
        <f t="shared" si="0"/>
        <v>54152</v>
      </c>
      <c r="F14" s="471">
        <v>12012</v>
      </c>
      <c r="G14" s="471">
        <v>5366</v>
      </c>
      <c r="H14" s="471">
        <f t="shared" si="1"/>
        <v>17378</v>
      </c>
      <c r="I14" s="495">
        <f t="shared" si="19"/>
        <v>28.97390129769888</v>
      </c>
      <c r="J14" s="495">
        <f t="shared" si="20"/>
        <v>42.271939498975897</v>
      </c>
      <c r="K14" s="495">
        <f t="shared" si="21"/>
        <v>32.091150834687546</v>
      </c>
      <c r="L14" s="361">
        <f t="shared" si="22"/>
        <v>12012</v>
      </c>
      <c r="M14" s="361">
        <f t="shared" si="23"/>
        <v>5366</v>
      </c>
      <c r="N14" s="361">
        <f t="shared" si="24"/>
        <v>17378</v>
      </c>
      <c r="O14" s="471">
        <v>481</v>
      </c>
      <c r="P14" s="471">
        <v>577</v>
      </c>
      <c r="Q14" s="471">
        <f t="shared" si="4"/>
        <v>1058</v>
      </c>
      <c r="R14" s="499">
        <f t="shared" si="50"/>
        <v>4.0043290043290041</v>
      </c>
      <c r="S14" s="499">
        <f t="shared" si="5"/>
        <v>10.752888557584793</v>
      </c>
      <c r="T14" s="499">
        <f t="shared" si="51"/>
        <v>6.0881574404419379</v>
      </c>
      <c r="U14" s="471">
        <v>10463</v>
      </c>
      <c r="V14" s="471">
        <v>3536</v>
      </c>
      <c r="W14" s="471">
        <f t="shared" si="6"/>
        <v>13999</v>
      </c>
      <c r="X14" s="471">
        <v>2684</v>
      </c>
      <c r="Y14" s="471">
        <v>1416</v>
      </c>
      <c r="Z14" s="471">
        <f t="shared" si="7"/>
        <v>4100</v>
      </c>
      <c r="AA14" s="495">
        <f t="shared" si="27"/>
        <v>25.652298575934246</v>
      </c>
      <c r="AB14" s="495">
        <f t="shared" si="28"/>
        <v>40.04524886877828</v>
      </c>
      <c r="AC14" s="495">
        <f t="shared" si="29"/>
        <v>29.287806271876565</v>
      </c>
      <c r="AD14" s="361">
        <f t="shared" si="30"/>
        <v>2684</v>
      </c>
      <c r="AE14" s="361">
        <f t="shared" si="31"/>
        <v>1416</v>
      </c>
      <c r="AF14" s="361">
        <f t="shared" si="32"/>
        <v>4100</v>
      </c>
      <c r="AG14" s="471">
        <v>104</v>
      </c>
      <c r="AH14" s="471">
        <v>131</v>
      </c>
      <c r="AI14" s="471">
        <f t="shared" si="10"/>
        <v>235</v>
      </c>
      <c r="AJ14" s="499">
        <f t="shared" si="11"/>
        <v>3.8748137108792848</v>
      </c>
      <c r="AK14" s="499">
        <f t="shared" si="12"/>
        <v>9.2514124293785311</v>
      </c>
      <c r="AL14" s="499">
        <f t="shared" si="13"/>
        <v>5.7317073170731705</v>
      </c>
      <c r="AM14" s="471">
        <v>18</v>
      </c>
      <c r="AN14" s="471">
        <v>1</v>
      </c>
      <c r="AO14" s="471">
        <f t="shared" si="33"/>
        <v>19</v>
      </c>
      <c r="AP14" s="471">
        <v>4</v>
      </c>
      <c r="AQ14" s="472"/>
      <c r="AR14" s="471">
        <f t="shared" si="14"/>
        <v>4</v>
      </c>
      <c r="AS14" s="495">
        <f>AP14/AM14*100</f>
        <v>22.222222222222221</v>
      </c>
      <c r="AT14" s="472"/>
      <c r="AU14" s="495">
        <f>AR14/AO14*100</f>
        <v>21.052631578947366</v>
      </c>
      <c r="AV14" s="361">
        <f t="shared" si="34"/>
        <v>4</v>
      </c>
      <c r="AW14" s="472"/>
      <c r="AX14" s="361">
        <f t="shared" si="35"/>
        <v>4</v>
      </c>
      <c r="AY14" s="471">
        <v>1</v>
      </c>
      <c r="AZ14" s="472"/>
      <c r="BA14" s="471">
        <f t="shared" si="17"/>
        <v>1</v>
      </c>
      <c r="BB14" s="362">
        <f t="shared" si="36"/>
        <v>25</v>
      </c>
      <c r="BC14" s="472"/>
      <c r="BD14" s="362">
        <f t="shared" si="38"/>
        <v>25</v>
      </c>
      <c r="BE14" s="471" t="e">
        <f>#REF!+#REF!</f>
        <v>#REF!</v>
      </c>
      <c r="BF14" s="473" t="e">
        <f>#REF!/#REF!%</f>
        <v>#REF!</v>
      </c>
      <c r="BG14" s="473" t="e">
        <f>#REF!/#REF!%</f>
        <v>#REF!</v>
      </c>
      <c r="BH14" s="473" t="e">
        <f>BE14/#REF!%</f>
        <v>#REF!</v>
      </c>
      <c r="BI14" s="471">
        <f t="shared" si="39"/>
        <v>2684</v>
      </c>
      <c r="BJ14" s="471">
        <f t="shared" si="39"/>
        <v>1416</v>
      </c>
      <c r="BK14" s="471">
        <f t="shared" si="39"/>
        <v>4100</v>
      </c>
      <c r="BL14" s="471">
        <v>104</v>
      </c>
      <c r="BM14" s="471">
        <v>131</v>
      </c>
      <c r="BN14" s="471">
        <f t="shared" si="40"/>
        <v>235</v>
      </c>
      <c r="BO14" s="473">
        <f t="shared" ref="BO14" si="52">BL14/BI14%</f>
        <v>3.8748137108792848</v>
      </c>
      <c r="BP14" s="473">
        <f t="shared" ref="BP14" si="53">BM14/BJ14%</f>
        <v>9.2514124293785311</v>
      </c>
      <c r="BQ14" s="473">
        <f t="shared" ref="BQ14" si="54">BN14/BK14%</f>
        <v>5.7317073170731705</v>
      </c>
      <c r="BR14" s="471">
        <f>AP14</f>
        <v>4</v>
      </c>
      <c r="BS14" s="472"/>
      <c r="BT14" s="471">
        <f>AR14</f>
        <v>4</v>
      </c>
      <c r="BU14" s="471">
        <v>1</v>
      </c>
      <c r="BV14" s="472"/>
      <c r="BW14" s="471">
        <f t="shared" si="43"/>
        <v>1</v>
      </c>
      <c r="BX14" s="473">
        <f t="shared" ref="BX14" si="55">BU14/BR14%</f>
        <v>25</v>
      </c>
      <c r="BY14" s="474"/>
      <c r="BZ14" s="473">
        <f t="shared" ref="BZ14" si="56">BW14/BT14%</f>
        <v>25</v>
      </c>
      <c r="CA14" s="361" t="e">
        <f>#REF!</f>
        <v>#REF!</v>
      </c>
      <c r="CB14" s="361" t="e">
        <f>#REF!</f>
        <v>#REF!</v>
      </c>
      <c r="CC14" s="361" t="e">
        <f t="shared" ref="CC14" si="57">BE14</f>
        <v>#REF!</v>
      </c>
      <c r="CD14" s="401">
        <v>11</v>
      </c>
      <c r="CE14" s="401">
        <v>15</v>
      </c>
      <c r="CF14" s="401">
        <f t="shared" si="46"/>
        <v>26</v>
      </c>
      <c r="CG14" s="362" t="e">
        <f t="shared" si="47"/>
        <v>#REF!</v>
      </c>
      <c r="CH14" s="362" t="e">
        <f t="shared" si="48"/>
        <v>#REF!</v>
      </c>
      <c r="CI14" s="362" t="e">
        <f t="shared" si="49"/>
        <v>#REF!</v>
      </c>
    </row>
    <row r="15" spans="1:89" ht="33" customHeight="1">
      <c r="A15" s="360">
        <v>8</v>
      </c>
      <c r="B15" s="373" t="s">
        <v>386</v>
      </c>
      <c r="C15" s="361">
        <v>8634</v>
      </c>
      <c r="D15" s="361">
        <v>9919</v>
      </c>
      <c r="E15" s="361">
        <f t="shared" si="0"/>
        <v>18553</v>
      </c>
      <c r="F15" s="361">
        <v>2363</v>
      </c>
      <c r="G15" s="361">
        <v>3067</v>
      </c>
      <c r="H15" s="361">
        <f t="shared" si="1"/>
        <v>5430</v>
      </c>
      <c r="I15" s="495">
        <f>F15/C15*100</f>
        <v>27.368542969654854</v>
      </c>
      <c r="J15" s="495">
        <f t="shared" si="20"/>
        <v>30.920455691097892</v>
      </c>
      <c r="K15" s="495">
        <f t="shared" si="21"/>
        <v>29.267503907723817</v>
      </c>
      <c r="L15" s="361">
        <f t="shared" si="22"/>
        <v>2363</v>
      </c>
      <c r="M15" s="361">
        <f t="shared" si="23"/>
        <v>3067</v>
      </c>
      <c r="N15" s="361">
        <f t="shared" si="24"/>
        <v>5430</v>
      </c>
      <c r="O15" s="471">
        <v>481</v>
      </c>
      <c r="P15" s="471">
        <v>577</v>
      </c>
      <c r="Q15" s="471">
        <f t="shared" si="4"/>
        <v>1058</v>
      </c>
      <c r="R15" s="495">
        <f t="shared" si="50"/>
        <v>20.355480321625055</v>
      </c>
      <c r="S15" s="495">
        <f t="shared" si="5"/>
        <v>18.813172481252035</v>
      </c>
      <c r="T15" s="495">
        <f t="shared" si="51"/>
        <v>19.484346224677719</v>
      </c>
      <c r="U15" s="361">
        <v>1273</v>
      </c>
      <c r="V15" s="361">
        <v>1246</v>
      </c>
      <c r="W15" s="361">
        <f t="shared" si="6"/>
        <v>2519</v>
      </c>
      <c r="X15" s="361">
        <v>301</v>
      </c>
      <c r="Y15" s="361">
        <v>377</v>
      </c>
      <c r="Z15" s="361">
        <f t="shared" si="7"/>
        <v>678</v>
      </c>
      <c r="AA15" s="495">
        <f t="shared" si="27"/>
        <v>23.644933228593874</v>
      </c>
      <c r="AB15" s="495">
        <f t="shared" si="28"/>
        <v>30.256821829855539</v>
      </c>
      <c r="AC15" s="495">
        <f t="shared" si="29"/>
        <v>26.915442635966652</v>
      </c>
      <c r="AD15" s="361">
        <f t="shared" si="30"/>
        <v>301</v>
      </c>
      <c r="AE15" s="361">
        <f t="shared" si="31"/>
        <v>377</v>
      </c>
      <c r="AF15" s="361">
        <f t="shared" si="32"/>
        <v>678</v>
      </c>
      <c r="AG15" s="421"/>
      <c r="AH15" s="421"/>
      <c r="AI15" s="421"/>
      <c r="AJ15" s="500"/>
      <c r="AK15" s="500"/>
      <c r="AL15" s="500"/>
      <c r="AM15" s="361">
        <v>447</v>
      </c>
      <c r="AN15" s="361">
        <v>684</v>
      </c>
      <c r="AO15" s="361">
        <f t="shared" si="33"/>
        <v>1131</v>
      </c>
      <c r="AP15" s="361">
        <v>64</v>
      </c>
      <c r="AQ15" s="361">
        <v>102</v>
      </c>
      <c r="AR15" s="361">
        <f t="shared" si="14"/>
        <v>166</v>
      </c>
      <c r="AS15" s="495">
        <f>AP15/AM15*100</f>
        <v>14.317673378076062</v>
      </c>
      <c r="AT15" s="495">
        <f>AQ15/AN15*100</f>
        <v>14.912280701754385</v>
      </c>
      <c r="AU15" s="495">
        <f>AR15/AO15*100</f>
        <v>14.677276746242264</v>
      </c>
      <c r="AV15" s="361">
        <f t="shared" si="34"/>
        <v>64</v>
      </c>
      <c r="AW15" s="361">
        <f>AQ15</f>
        <v>102</v>
      </c>
      <c r="AX15" s="361">
        <f t="shared" si="35"/>
        <v>166</v>
      </c>
      <c r="AY15" s="421"/>
      <c r="AZ15" s="421"/>
      <c r="BA15" s="421"/>
      <c r="BB15" s="422"/>
      <c r="BC15" s="422"/>
      <c r="BD15" s="422"/>
      <c r="BE15" s="471" t="e">
        <f>#REF!+#REF!</f>
        <v>#REF!</v>
      </c>
      <c r="BF15" s="362" t="e">
        <f>#REF!/#REF!%</f>
        <v>#REF!</v>
      </c>
      <c r="BG15" s="362" t="e">
        <f>#REF!/#REF!%</f>
        <v>#REF!</v>
      </c>
      <c r="BH15" s="362" t="e">
        <f>BE15/#REF!%</f>
        <v>#REF!</v>
      </c>
      <c r="BI15" s="361">
        <f t="shared" si="39"/>
        <v>301</v>
      </c>
      <c r="BJ15" s="361">
        <f t="shared" si="39"/>
        <v>377</v>
      </c>
      <c r="BK15" s="361">
        <f t="shared" si="39"/>
        <v>678</v>
      </c>
      <c r="BL15" s="421"/>
      <c r="BM15" s="421"/>
      <c r="BN15" s="421"/>
      <c r="BO15" s="422"/>
      <c r="BP15" s="422"/>
      <c r="BQ15" s="422"/>
      <c r="BR15" s="361">
        <f>AP15</f>
        <v>64</v>
      </c>
      <c r="BS15" s="361">
        <f>AQ15</f>
        <v>102</v>
      </c>
      <c r="BT15" s="361">
        <f>AR15</f>
        <v>166</v>
      </c>
      <c r="BU15" s="421"/>
      <c r="BV15" s="421"/>
      <c r="BW15" s="421"/>
      <c r="BX15" s="422"/>
      <c r="BY15" s="422"/>
      <c r="BZ15" s="422"/>
      <c r="CA15" s="361" t="e">
        <f>#REF!</f>
        <v>#REF!</v>
      </c>
      <c r="CB15" s="361" t="e">
        <f>#REF!</f>
        <v>#REF!</v>
      </c>
      <c r="CC15" s="361" t="e">
        <f t="shared" ref="CC15" si="58">BE15</f>
        <v>#REF!</v>
      </c>
      <c r="CD15" s="402"/>
      <c r="CE15" s="402"/>
      <c r="CF15" s="402"/>
      <c r="CG15" s="422"/>
      <c r="CH15" s="422"/>
      <c r="CI15" s="422"/>
    </row>
    <row r="16" spans="1:89" ht="33" customHeight="1">
      <c r="A16" s="621" t="s">
        <v>3</v>
      </c>
      <c r="B16" s="622"/>
      <c r="C16" s="529">
        <f t="shared" ref="C16:AR16" si="59">SUM(C8:C15)</f>
        <v>464600</v>
      </c>
      <c r="D16" s="529">
        <f t="shared" si="59"/>
        <v>260884</v>
      </c>
      <c r="E16" s="529">
        <f t="shared" si="59"/>
        <v>725484</v>
      </c>
      <c r="F16" s="529">
        <f t="shared" si="59"/>
        <v>201532</v>
      </c>
      <c r="G16" s="529">
        <f t="shared" si="59"/>
        <v>126631</v>
      </c>
      <c r="H16" s="529">
        <f t="shared" si="59"/>
        <v>328163</v>
      </c>
      <c r="I16" s="528">
        <f>F16/C16*100</f>
        <v>43.377529057253547</v>
      </c>
      <c r="J16" s="528">
        <f t="shared" ref="J16" si="60">G16/D16*100</f>
        <v>48.539197497738456</v>
      </c>
      <c r="K16" s="528">
        <f t="shared" ref="K16" si="61">H16/E16*100</f>
        <v>45.233664698325533</v>
      </c>
      <c r="L16" s="529">
        <f t="shared" si="22"/>
        <v>201532</v>
      </c>
      <c r="M16" s="529">
        <f t="shared" si="23"/>
        <v>126631</v>
      </c>
      <c r="N16" s="529">
        <f t="shared" si="24"/>
        <v>328163</v>
      </c>
      <c r="O16" s="529">
        <f>SUM(O8:O15)</f>
        <v>41599</v>
      </c>
      <c r="P16" s="529">
        <f>SUM(P8:P15)</f>
        <v>23666</v>
      </c>
      <c r="Q16" s="529">
        <f>SUM(Q8:Q15)</f>
        <v>65265</v>
      </c>
      <c r="R16" s="528">
        <f t="shared" ref="R16" si="62">O16/F16%</f>
        <v>20.641386975765634</v>
      </c>
      <c r="S16" s="528">
        <f t="shared" ref="S16" si="63">P16/G16%</f>
        <v>18.688946624444252</v>
      </c>
      <c r="T16" s="528">
        <f t="shared" ref="T16" si="64">Q16/H16%</f>
        <v>19.887982496503263</v>
      </c>
      <c r="U16" s="529">
        <f t="shared" si="59"/>
        <v>75174</v>
      </c>
      <c r="V16" s="529">
        <f t="shared" si="59"/>
        <v>37986</v>
      </c>
      <c r="W16" s="529">
        <f t="shared" si="59"/>
        <v>113160</v>
      </c>
      <c r="X16" s="529">
        <f t="shared" si="59"/>
        <v>30927</v>
      </c>
      <c r="Y16" s="529">
        <f t="shared" si="59"/>
        <v>19102</v>
      </c>
      <c r="Z16" s="529">
        <f t="shared" si="59"/>
        <v>50029</v>
      </c>
      <c r="AA16" s="528">
        <f t="shared" ref="AA16" si="65">X16/U16*100</f>
        <v>41.14055391491739</v>
      </c>
      <c r="AB16" s="528">
        <f t="shared" ref="AB16" si="66">Y16/V16*100</f>
        <v>50.286947822882112</v>
      </c>
      <c r="AC16" s="528">
        <f t="shared" ref="AC16" si="67">Z16/W16*100</f>
        <v>44.210851891127604</v>
      </c>
      <c r="AD16" s="529">
        <f t="shared" si="30"/>
        <v>30927</v>
      </c>
      <c r="AE16" s="529">
        <f t="shared" si="31"/>
        <v>19102</v>
      </c>
      <c r="AF16" s="529">
        <f t="shared" si="32"/>
        <v>50029</v>
      </c>
      <c r="AG16" s="529">
        <f t="shared" ref="AG16:AI16" si="68">SUM(AG8:AG15)</f>
        <v>5276</v>
      </c>
      <c r="AH16" s="529">
        <f t="shared" si="68"/>
        <v>3098</v>
      </c>
      <c r="AI16" s="529">
        <f t="shared" si="68"/>
        <v>8374</v>
      </c>
      <c r="AJ16" s="528">
        <f t="shared" ref="AJ16" si="69">AG16/X16%</f>
        <v>17.059527273903065</v>
      </c>
      <c r="AK16" s="528">
        <f t="shared" ref="AK16" si="70">AH16/Y16%</f>
        <v>16.218197047429587</v>
      </c>
      <c r="AL16" s="528">
        <f t="shared" ref="AL16" si="71">AI16/Z16%</f>
        <v>16.738291790761359</v>
      </c>
      <c r="AM16" s="529">
        <f t="shared" si="59"/>
        <v>44918</v>
      </c>
      <c r="AN16" s="529">
        <f t="shared" si="59"/>
        <v>37553</v>
      </c>
      <c r="AO16" s="529">
        <f t="shared" si="59"/>
        <v>82471</v>
      </c>
      <c r="AP16" s="529">
        <f t="shared" si="59"/>
        <v>20432</v>
      </c>
      <c r="AQ16" s="529">
        <f t="shared" si="59"/>
        <v>17863</v>
      </c>
      <c r="AR16" s="529">
        <f t="shared" si="59"/>
        <v>38295</v>
      </c>
      <c r="AS16" s="528">
        <f>AP16/AM16*100</f>
        <v>45.487332472505457</v>
      </c>
      <c r="AT16" s="528">
        <f>AQ16/AN16*100</f>
        <v>47.567438020930418</v>
      </c>
      <c r="AU16" s="528">
        <f>AR16/AO16*100</f>
        <v>46.434504249978779</v>
      </c>
      <c r="AV16" s="529">
        <f t="shared" si="34"/>
        <v>20432</v>
      </c>
      <c r="AW16" s="529">
        <f>AQ16</f>
        <v>17863</v>
      </c>
      <c r="AX16" s="529">
        <f t="shared" si="35"/>
        <v>38295</v>
      </c>
      <c r="AY16" s="529">
        <f t="shared" ref="AY16:BA16" si="72">SUM(AY8:AY15)</f>
        <v>2899</v>
      </c>
      <c r="AZ16" s="529">
        <f t="shared" si="72"/>
        <v>2137</v>
      </c>
      <c r="BA16" s="529">
        <f t="shared" si="72"/>
        <v>5036</v>
      </c>
      <c r="BB16" s="528">
        <f t="shared" ref="BB16" si="73">AY16/AV16%</f>
        <v>14.188527799530149</v>
      </c>
      <c r="BC16" s="528">
        <f t="shared" ref="BC16" si="74">AZ16/AW16%</f>
        <v>11.963276045457091</v>
      </c>
      <c r="BD16" s="528">
        <f t="shared" ref="BD16" si="75">BA16/AX16%</f>
        <v>13.15054184619402</v>
      </c>
      <c r="BE16" s="364" t="e">
        <f>SUM(BE8:BE15)</f>
        <v>#REF!</v>
      </c>
      <c r="BF16" s="365" t="e">
        <f>#REF!/#REF!%</f>
        <v>#REF!</v>
      </c>
      <c r="BG16" s="365" t="e">
        <f>#REF!/#REF!%</f>
        <v>#REF!</v>
      </c>
      <c r="BH16" s="365" t="e">
        <f>BE16/#REF!%</f>
        <v>#REF!</v>
      </c>
      <c r="BI16" s="364" t="e">
        <f t="shared" ref="BI16:BN16" si="76">SUM(BI8:BI15)</f>
        <v>#REF!</v>
      </c>
      <c r="BJ16" s="364" t="e">
        <f t="shared" si="76"/>
        <v>#REF!</v>
      </c>
      <c r="BK16" s="364" t="e">
        <f t="shared" si="76"/>
        <v>#REF!</v>
      </c>
      <c r="BL16" s="364" t="e">
        <f t="shared" si="76"/>
        <v>#REF!</v>
      </c>
      <c r="BM16" s="364" t="e">
        <f t="shared" si="76"/>
        <v>#REF!</v>
      </c>
      <c r="BN16" s="364" t="e">
        <f t="shared" si="76"/>
        <v>#REF!</v>
      </c>
      <c r="BO16" s="365" t="e">
        <f t="shared" si="41"/>
        <v>#REF!</v>
      </c>
      <c r="BP16" s="365" t="e">
        <f t="shared" si="41"/>
        <v>#REF!</v>
      </c>
      <c r="BQ16" s="365" t="e">
        <f t="shared" si="41"/>
        <v>#REF!</v>
      </c>
      <c r="BR16" s="364" t="e">
        <f t="shared" ref="BR16:BT16" si="77">SUM(BR8:BR15)</f>
        <v>#REF!</v>
      </c>
      <c r="BS16" s="364" t="e">
        <f t="shared" si="77"/>
        <v>#REF!</v>
      </c>
      <c r="BT16" s="364" t="e">
        <f t="shared" si="77"/>
        <v>#REF!</v>
      </c>
      <c r="BU16" s="364" t="e">
        <f t="shared" ref="BU16:BW16" si="78">SUM(BU8:BU15)</f>
        <v>#REF!</v>
      </c>
      <c r="BV16" s="364" t="e">
        <f t="shared" si="78"/>
        <v>#REF!</v>
      </c>
      <c r="BW16" s="364" t="e">
        <f t="shared" si="78"/>
        <v>#REF!</v>
      </c>
      <c r="BX16" s="365" t="e">
        <f t="shared" si="44"/>
        <v>#REF!</v>
      </c>
      <c r="BY16" s="365" t="e">
        <f t="shared" si="44"/>
        <v>#REF!</v>
      </c>
      <c r="BZ16" s="365" t="e">
        <f t="shared" si="44"/>
        <v>#REF!</v>
      </c>
      <c r="CA16" s="364" t="e">
        <f t="shared" ref="CA16:CF16" si="79">SUM(CA8:CA15)</f>
        <v>#REF!</v>
      </c>
      <c r="CB16" s="364" t="e">
        <f t="shared" si="79"/>
        <v>#REF!</v>
      </c>
      <c r="CC16" s="364" t="e">
        <f t="shared" si="79"/>
        <v>#REF!</v>
      </c>
      <c r="CD16" s="364" t="e">
        <f t="shared" si="79"/>
        <v>#REF!</v>
      </c>
      <c r="CE16" s="364" t="e">
        <f t="shared" si="79"/>
        <v>#REF!</v>
      </c>
      <c r="CF16" s="364" t="e">
        <f t="shared" si="79"/>
        <v>#REF!</v>
      </c>
      <c r="CG16" s="365" t="e">
        <f t="shared" ref="CG16" si="80">CD16/CA16%</f>
        <v>#REF!</v>
      </c>
      <c r="CH16" s="365" t="e">
        <f t="shared" ref="CH16" si="81">CE16/CB16%</f>
        <v>#REF!</v>
      </c>
      <c r="CI16" s="365" t="e">
        <f t="shared" si="49"/>
        <v>#REF!</v>
      </c>
    </row>
    <row r="17" spans="1:78" ht="18" customHeight="1">
      <c r="A17" s="623"/>
      <c r="B17" s="623"/>
      <c r="C17" s="494" t="s">
        <v>227</v>
      </c>
      <c r="D17" s="484"/>
      <c r="E17" s="484"/>
      <c r="F17" s="484"/>
      <c r="G17" s="466"/>
      <c r="H17" s="466"/>
      <c r="I17" s="466"/>
      <c r="J17" s="466"/>
      <c r="K17" s="466"/>
      <c r="L17" s="494" t="s">
        <v>227</v>
      </c>
      <c r="M17" s="466"/>
      <c r="N17" s="466"/>
      <c r="O17" s="466"/>
      <c r="P17" s="466"/>
      <c r="Q17" s="466"/>
      <c r="R17" s="466"/>
      <c r="S17" s="466"/>
      <c r="T17" s="466"/>
      <c r="U17" s="494" t="s">
        <v>227</v>
      </c>
      <c r="V17" s="494"/>
      <c r="W17" s="494"/>
      <c r="X17" s="494"/>
      <c r="Y17" s="494"/>
      <c r="Z17" s="494"/>
      <c r="AA17" s="498"/>
      <c r="AB17" s="498"/>
      <c r="AC17" s="498"/>
      <c r="AD17" s="494" t="s">
        <v>227</v>
      </c>
      <c r="AE17" s="498"/>
      <c r="AF17" s="498"/>
      <c r="AG17" s="483"/>
      <c r="AH17" s="483"/>
      <c r="AI17" s="483"/>
      <c r="AJ17" s="483"/>
      <c r="AK17" s="483"/>
      <c r="AL17" s="483"/>
      <c r="AM17" s="494" t="s">
        <v>227</v>
      </c>
      <c r="AN17" s="349"/>
      <c r="AO17" s="349"/>
      <c r="AP17" s="349"/>
      <c r="AQ17" s="349"/>
      <c r="AR17" s="349"/>
      <c r="AS17" s="155"/>
      <c r="AT17" s="155"/>
      <c r="AU17" s="155"/>
      <c r="AV17" s="494" t="s">
        <v>227</v>
      </c>
      <c r="AW17" s="155"/>
      <c r="AX17" s="155"/>
      <c r="AY17" s="155"/>
      <c r="AZ17" s="155"/>
      <c r="BA17" s="155"/>
      <c r="BB17" s="155"/>
      <c r="BC17" s="155"/>
      <c r="BD17" s="155"/>
      <c r="BE17" s="153"/>
      <c r="BF17" s="155"/>
      <c r="BG17" s="155"/>
      <c r="BH17" s="155"/>
      <c r="BI17" s="350"/>
      <c r="BJ17" s="153"/>
      <c r="BK17" s="153"/>
      <c r="BL17" s="154"/>
      <c r="BM17" s="153"/>
      <c r="BN17" s="153"/>
      <c r="BO17" s="155"/>
      <c r="BP17" s="155"/>
      <c r="BQ17" s="155"/>
      <c r="BR17" s="350"/>
      <c r="BS17" s="153"/>
      <c r="BT17" s="153"/>
      <c r="BU17" s="154"/>
      <c r="BV17" s="153"/>
      <c r="BW17" s="153"/>
      <c r="BX17" s="155"/>
      <c r="BY17" s="155"/>
      <c r="BZ17" s="155"/>
    </row>
    <row r="18" spans="1:78" ht="18.75" customHeight="1">
      <c r="A18" s="620"/>
      <c r="B18" s="620"/>
      <c r="C18" s="497" t="s">
        <v>427</v>
      </c>
      <c r="D18" s="467"/>
      <c r="E18" s="467"/>
      <c r="F18" s="366"/>
      <c r="G18" s="366"/>
      <c r="H18" s="366"/>
      <c r="I18" s="366"/>
      <c r="J18" s="366"/>
      <c r="K18" s="366"/>
      <c r="L18" s="497" t="s">
        <v>427</v>
      </c>
      <c r="M18" s="366"/>
      <c r="N18" s="366"/>
      <c r="O18" s="366"/>
      <c r="P18" s="366"/>
      <c r="Q18" s="366"/>
      <c r="R18" s="366"/>
      <c r="S18" s="366"/>
      <c r="T18" s="366"/>
      <c r="U18" s="497" t="s">
        <v>427</v>
      </c>
      <c r="V18" s="497"/>
      <c r="W18" s="497"/>
      <c r="X18" s="497"/>
      <c r="Y18" s="497"/>
      <c r="Z18" s="497"/>
      <c r="AA18" s="497"/>
      <c r="AB18" s="497"/>
      <c r="AC18" s="497"/>
      <c r="AD18" s="497" t="s">
        <v>427</v>
      </c>
      <c r="AE18" s="497"/>
      <c r="AF18" s="497"/>
      <c r="AG18" s="482"/>
      <c r="AH18" s="482"/>
      <c r="AI18" s="482"/>
      <c r="AJ18" s="482"/>
      <c r="AK18" s="482"/>
      <c r="AL18" s="482"/>
      <c r="AM18" s="497" t="s">
        <v>427</v>
      </c>
      <c r="AN18" s="388"/>
      <c r="AO18" s="388"/>
      <c r="AP18" s="388"/>
      <c r="AQ18" s="388"/>
      <c r="AR18" s="388"/>
      <c r="AV18" s="497" t="s">
        <v>427</v>
      </c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</row>
    <row r="20" spans="1:78">
      <c r="E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W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</row>
    <row r="21" spans="1:78">
      <c r="E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W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</row>
    <row r="22" spans="1:78"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</row>
  </sheetData>
  <mergeCells count="65">
    <mergeCell ref="AM1:AU1"/>
    <mergeCell ref="BF4:BH4"/>
    <mergeCell ref="BB4:BD5"/>
    <mergeCell ref="AY4:BA5"/>
    <mergeCell ref="A18:B18"/>
    <mergeCell ref="A16:B16"/>
    <mergeCell ref="AP5:AR5"/>
    <mergeCell ref="A17:B17"/>
    <mergeCell ref="A2:A6"/>
    <mergeCell ref="B2:B6"/>
    <mergeCell ref="C3:K4"/>
    <mergeCell ref="I5:K5"/>
    <mergeCell ref="L3:T3"/>
    <mergeCell ref="L4:N5"/>
    <mergeCell ref="O4:Q5"/>
    <mergeCell ref="R4:T5"/>
    <mergeCell ref="CA3:CI3"/>
    <mergeCell ref="CA4:CC5"/>
    <mergeCell ref="CD4:CF4"/>
    <mergeCell ref="CG4:CI4"/>
    <mergeCell ref="CD5:CF5"/>
    <mergeCell ref="CG5:CI5"/>
    <mergeCell ref="C5:E5"/>
    <mergeCell ref="F5:H5"/>
    <mergeCell ref="U5:W5"/>
    <mergeCell ref="C1:K1"/>
    <mergeCell ref="U1:AC1"/>
    <mergeCell ref="U3:AC4"/>
    <mergeCell ref="AD4:AF5"/>
    <mergeCell ref="AD3:AL3"/>
    <mergeCell ref="U2:AC2"/>
    <mergeCell ref="AD2:AL2"/>
    <mergeCell ref="AV4:AX5"/>
    <mergeCell ref="AM5:AO5"/>
    <mergeCell ref="AG4:AI5"/>
    <mergeCell ref="AJ4:AL5"/>
    <mergeCell ref="AA5:AC5"/>
    <mergeCell ref="AS5:AU5"/>
    <mergeCell ref="AM3:AU4"/>
    <mergeCell ref="AV3:BD3"/>
    <mergeCell ref="AM2:AU2"/>
    <mergeCell ref="AV2:BD2"/>
    <mergeCell ref="X5:Z5"/>
    <mergeCell ref="CA1:CI1"/>
    <mergeCell ref="CA2:CI2"/>
    <mergeCell ref="BE1:BH1"/>
    <mergeCell ref="BE2:BH2"/>
    <mergeCell ref="BI1:BQ1"/>
    <mergeCell ref="BI2:BQ2"/>
    <mergeCell ref="BR1:BZ1"/>
    <mergeCell ref="BR2:BZ2"/>
    <mergeCell ref="BR3:BZ3"/>
    <mergeCell ref="BE3:BH3"/>
    <mergeCell ref="BI3:BQ3"/>
    <mergeCell ref="BX4:BZ4"/>
    <mergeCell ref="BR4:BT5"/>
    <mergeCell ref="BI4:BK5"/>
    <mergeCell ref="BL4:BN4"/>
    <mergeCell ref="BX5:BZ5"/>
    <mergeCell ref="BU4:BW4"/>
    <mergeCell ref="BU5:BW5"/>
    <mergeCell ref="BO4:BQ4"/>
    <mergeCell ref="BL5:BN5"/>
    <mergeCell ref="BO5:BQ5"/>
    <mergeCell ref="BF5:BH5"/>
  </mergeCells>
  <pageMargins left="0.70866141732283472" right="0.70866141732283472" top="0.74803149606299213" bottom="0.74803149606299213" header="0.31496062992125984" footer="0.31496062992125984"/>
  <pageSetup scale="63" firstPageNumber="25" orientation="landscape" useFirstPageNumber="1" r:id="rId1"/>
  <headerFooter>
    <oddFooter>&amp;CX-2018&amp;R&amp;P</oddFooter>
  </headerFooter>
  <colBreaks count="5" manualBreakCount="5">
    <brk id="11" max="17" man="1"/>
    <brk id="20" max="17" man="1"/>
    <brk id="29" max="17" man="1"/>
    <brk id="38" max="1048575" man="1"/>
    <brk id="47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Z63"/>
  <sheetViews>
    <sheetView view="pageBreakPreview" zoomScale="55" zoomScaleSheetLayoutView="55" workbookViewId="0">
      <pane xSplit="2" ySplit="8" topLeftCell="EE17" activePane="bottomRight" state="frozen"/>
      <selection pane="topRight" activeCell="C1" sqref="C1"/>
      <selection pane="bottomLeft" activeCell="A9" sqref="A9"/>
      <selection pane="bottomRight" activeCell="EI26" sqref="EI26"/>
    </sheetView>
  </sheetViews>
  <sheetFormatPr defaultRowHeight="15"/>
  <cols>
    <col min="1" max="1" width="8.5703125" style="121" customWidth="1"/>
    <col min="2" max="2" width="41.7109375" style="122" customWidth="1"/>
    <col min="3" max="14" width="11.5703125" style="121" customWidth="1"/>
    <col min="15" max="15" width="9" style="121" bestFit="1" customWidth="1"/>
    <col min="16" max="17" width="8.5703125" style="121" bestFit="1" customWidth="1"/>
    <col min="18" max="29" width="11.5703125" style="121" customWidth="1"/>
    <col min="30" max="32" width="9" style="121" bestFit="1" customWidth="1"/>
    <col min="33" max="44" width="11.5703125" style="121" customWidth="1"/>
    <col min="45" max="47" width="9" style="121" bestFit="1" customWidth="1"/>
    <col min="48" max="59" width="11.5703125" style="121" customWidth="1"/>
    <col min="60" max="62" width="9" style="121" bestFit="1" customWidth="1"/>
    <col min="63" max="74" width="11.5703125" style="121" customWidth="1"/>
    <col min="75" max="77" width="8.42578125" style="121" bestFit="1" customWidth="1"/>
    <col min="78" max="78" width="12.85546875" style="121" customWidth="1"/>
    <col min="79" max="89" width="11.5703125" style="121" customWidth="1"/>
    <col min="90" max="90" width="9.28515625" style="121" bestFit="1" customWidth="1"/>
    <col min="91" max="92" width="9" style="121" bestFit="1" customWidth="1"/>
    <col min="93" max="104" width="11.5703125" style="121" customWidth="1"/>
    <col min="105" max="105" width="8.42578125" style="121" bestFit="1" customWidth="1"/>
    <col min="106" max="107" width="9" style="121" bestFit="1" customWidth="1"/>
    <col min="108" max="119" width="11.5703125" style="121" customWidth="1"/>
    <col min="120" max="122" width="9" style="121" bestFit="1" customWidth="1"/>
    <col min="123" max="134" width="11.5703125" style="121" customWidth="1"/>
    <col min="135" max="135" width="8.42578125" style="121" bestFit="1" customWidth="1"/>
    <col min="136" max="137" width="9" style="121" bestFit="1" customWidth="1"/>
    <col min="138" max="164" width="11.5703125" style="121" customWidth="1"/>
    <col min="165" max="16384" width="9.140625" style="121"/>
  </cols>
  <sheetData>
    <row r="1" spans="1:182" ht="18" customHeight="1">
      <c r="B1" s="125"/>
      <c r="C1" s="595" t="s">
        <v>208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6" t="str">
        <f>C1</f>
        <v>RESULTS OF SECONDARY EXAMINATION- 2017</v>
      </c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 t="str">
        <f>R1</f>
        <v>RESULTS OF SECONDARY EXAMINATION- 2017</v>
      </c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 t="str">
        <f>AG1</f>
        <v>RESULTS OF SECONDARY EXAMINATION- 2017</v>
      </c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 t="str">
        <f>AV1</f>
        <v>RESULTS OF SECONDARY EXAMINATION- 2017</v>
      </c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 t="str">
        <f>BK1</f>
        <v>RESULTS OF SECONDARY EXAMINATION- 2017</v>
      </c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 t="str">
        <f>AG1</f>
        <v>RESULTS OF SECONDARY EXAMINATION- 2017</v>
      </c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6"/>
      <c r="DC1" s="596"/>
      <c r="DD1" s="596" t="str">
        <f>CO1</f>
        <v>RESULTS OF SECONDARY EXAMINATION- 2017</v>
      </c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 t="str">
        <f>DD1</f>
        <v>RESULTS OF SECONDARY EXAMINATION- 2017</v>
      </c>
      <c r="DT1" s="596"/>
      <c r="DU1" s="596"/>
      <c r="DV1" s="596"/>
      <c r="DW1" s="596"/>
      <c r="DX1" s="596"/>
      <c r="DY1" s="596"/>
      <c r="DZ1" s="596"/>
      <c r="EA1" s="596"/>
      <c r="EB1" s="596"/>
      <c r="EC1" s="596"/>
      <c r="ED1" s="596"/>
      <c r="EE1" s="596"/>
      <c r="EF1" s="596"/>
      <c r="EG1" s="596"/>
      <c r="EH1" s="595" t="str">
        <f>C1</f>
        <v>RESULTS OF SECONDARY EXAMINATION- 2017</v>
      </c>
      <c r="EI1" s="595"/>
      <c r="EJ1" s="595"/>
      <c r="EK1" s="595"/>
      <c r="EL1" s="595"/>
      <c r="EM1" s="595"/>
      <c r="EN1" s="595"/>
      <c r="EO1" s="595"/>
      <c r="EP1" s="595"/>
      <c r="EQ1" s="595" t="str">
        <f>C1</f>
        <v>RESULTS OF SECONDARY EXAMINATION- 2017</v>
      </c>
      <c r="ER1" s="595"/>
      <c r="ES1" s="595"/>
      <c r="ET1" s="595"/>
      <c r="EU1" s="595"/>
      <c r="EV1" s="595"/>
      <c r="EW1" s="595"/>
      <c r="EX1" s="595"/>
      <c r="EY1" s="595"/>
      <c r="EZ1" s="595" t="str">
        <f>C1</f>
        <v>RESULTS OF SECONDARY EXAMINATION- 2017</v>
      </c>
      <c r="FA1" s="595"/>
      <c r="FB1" s="595"/>
      <c r="FC1" s="595"/>
      <c r="FD1" s="595"/>
      <c r="FE1" s="595"/>
      <c r="FF1" s="595"/>
      <c r="FG1" s="595"/>
      <c r="FH1" s="595"/>
    </row>
    <row r="2" spans="1:182" ht="15.75" customHeight="1">
      <c r="B2" s="125"/>
      <c r="C2" s="598" t="s">
        <v>179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 t="s">
        <v>180</v>
      </c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 t="s">
        <v>181</v>
      </c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 t="s">
        <v>182</v>
      </c>
      <c r="AW2" s="598"/>
      <c r="AX2" s="598"/>
      <c r="AY2" s="598"/>
      <c r="AZ2" s="598"/>
      <c r="BA2" s="598"/>
      <c r="BB2" s="598"/>
      <c r="BC2" s="598"/>
      <c r="BD2" s="598"/>
      <c r="BE2" s="598"/>
      <c r="BF2" s="598"/>
      <c r="BG2" s="598"/>
      <c r="BH2" s="598"/>
      <c r="BI2" s="598"/>
      <c r="BJ2" s="598"/>
      <c r="BK2" s="598" t="s">
        <v>183</v>
      </c>
      <c r="BL2" s="598"/>
      <c r="BM2" s="598"/>
      <c r="BN2" s="598"/>
      <c r="BO2" s="598"/>
      <c r="BP2" s="598"/>
      <c r="BQ2" s="598"/>
      <c r="BR2" s="598"/>
      <c r="BS2" s="598"/>
      <c r="BT2" s="598"/>
      <c r="BU2" s="598"/>
      <c r="BV2" s="598"/>
      <c r="BW2" s="598"/>
      <c r="BX2" s="598"/>
      <c r="BY2" s="598"/>
      <c r="BZ2" s="598" t="s">
        <v>184</v>
      </c>
      <c r="CA2" s="598"/>
      <c r="CB2" s="598"/>
      <c r="CC2" s="598"/>
      <c r="CD2" s="598"/>
      <c r="CE2" s="598"/>
      <c r="CF2" s="598"/>
      <c r="CG2" s="598"/>
      <c r="CH2" s="598"/>
      <c r="CI2" s="598"/>
      <c r="CJ2" s="598"/>
      <c r="CK2" s="598"/>
      <c r="CL2" s="598"/>
      <c r="CM2" s="598"/>
      <c r="CN2" s="598"/>
      <c r="CO2" s="598" t="s">
        <v>185</v>
      </c>
      <c r="CP2" s="598"/>
      <c r="CQ2" s="598"/>
      <c r="CR2" s="598"/>
      <c r="CS2" s="598"/>
      <c r="CT2" s="598"/>
      <c r="CU2" s="598"/>
      <c r="CV2" s="598"/>
      <c r="CW2" s="598"/>
      <c r="CX2" s="598"/>
      <c r="CY2" s="598"/>
      <c r="CZ2" s="598"/>
      <c r="DA2" s="598"/>
      <c r="DB2" s="598"/>
      <c r="DC2" s="598"/>
      <c r="DD2" s="626" t="s">
        <v>186</v>
      </c>
      <c r="DE2" s="626"/>
      <c r="DF2" s="626"/>
      <c r="DG2" s="626"/>
      <c r="DH2" s="626"/>
      <c r="DI2" s="626"/>
      <c r="DJ2" s="626"/>
      <c r="DK2" s="626"/>
      <c r="DL2" s="626"/>
      <c r="DM2" s="626"/>
      <c r="DN2" s="626"/>
      <c r="DO2" s="626"/>
      <c r="DP2" s="626"/>
      <c r="DQ2" s="626"/>
      <c r="DR2" s="626"/>
      <c r="DS2" s="598" t="s">
        <v>187</v>
      </c>
      <c r="DT2" s="598"/>
      <c r="DU2" s="598"/>
      <c r="DV2" s="598"/>
      <c r="DW2" s="598"/>
      <c r="DX2" s="598"/>
      <c r="DY2" s="598"/>
      <c r="DZ2" s="598"/>
      <c r="EA2" s="598"/>
      <c r="EB2" s="598"/>
      <c r="EC2" s="598"/>
      <c r="ED2" s="598"/>
      <c r="EE2" s="598"/>
      <c r="EF2" s="598"/>
      <c r="EG2" s="598"/>
      <c r="EH2" s="128" t="s">
        <v>209</v>
      </c>
      <c r="EI2" s="128"/>
      <c r="EJ2" s="128"/>
      <c r="EK2" s="128"/>
      <c r="EL2" s="128"/>
      <c r="EM2" s="128"/>
      <c r="EN2" s="128"/>
      <c r="EO2" s="128"/>
      <c r="EP2" s="128"/>
      <c r="EQ2" s="598" t="s">
        <v>210</v>
      </c>
      <c r="ER2" s="598"/>
      <c r="ES2" s="598"/>
      <c r="ET2" s="598"/>
      <c r="EU2" s="598"/>
      <c r="EV2" s="598"/>
      <c r="EW2" s="598"/>
      <c r="EX2" s="598"/>
      <c r="EY2" s="598"/>
      <c r="EZ2" s="598" t="s">
        <v>211</v>
      </c>
      <c r="FA2" s="598"/>
      <c r="FB2" s="598"/>
      <c r="FC2" s="598"/>
      <c r="FD2" s="598"/>
      <c r="FE2" s="598"/>
      <c r="FF2" s="598"/>
      <c r="FG2" s="598"/>
      <c r="FH2" s="598"/>
    </row>
    <row r="3" spans="1:182">
      <c r="A3" s="604" t="s">
        <v>192</v>
      </c>
      <c r="B3" s="605" t="s">
        <v>42</v>
      </c>
      <c r="C3" s="600" t="s">
        <v>188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1" t="s">
        <v>189</v>
      </c>
      <c r="P3" s="601"/>
      <c r="Q3" s="601"/>
      <c r="R3" s="600" t="s">
        <v>188</v>
      </c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1" t="s">
        <v>189</v>
      </c>
      <c r="AE3" s="601"/>
      <c r="AF3" s="601"/>
      <c r="AG3" s="600" t="s">
        <v>188</v>
      </c>
      <c r="AH3" s="600"/>
      <c r="AI3" s="600"/>
      <c r="AJ3" s="600"/>
      <c r="AK3" s="600"/>
      <c r="AL3" s="600"/>
      <c r="AM3" s="600"/>
      <c r="AN3" s="600"/>
      <c r="AO3" s="600"/>
      <c r="AP3" s="600"/>
      <c r="AQ3" s="600"/>
      <c r="AR3" s="600"/>
      <c r="AS3" s="601" t="s">
        <v>189</v>
      </c>
      <c r="AT3" s="601"/>
      <c r="AU3" s="601"/>
      <c r="AV3" s="600" t="s">
        <v>188</v>
      </c>
      <c r="AW3" s="600"/>
      <c r="AX3" s="600"/>
      <c r="AY3" s="600"/>
      <c r="AZ3" s="600"/>
      <c r="BA3" s="600"/>
      <c r="BB3" s="600"/>
      <c r="BC3" s="600"/>
      <c r="BD3" s="600"/>
      <c r="BE3" s="600"/>
      <c r="BF3" s="600"/>
      <c r="BG3" s="600"/>
      <c r="BH3" s="601" t="s">
        <v>189</v>
      </c>
      <c r="BI3" s="601"/>
      <c r="BJ3" s="601"/>
      <c r="BK3" s="600" t="s">
        <v>188</v>
      </c>
      <c r="BL3" s="600"/>
      <c r="BM3" s="600"/>
      <c r="BN3" s="600"/>
      <c r="BO3" s="600"/>
      <c r="BP3" s="600"/>
      <c r="BQ3" s="600"/>
      <c r="BR3" s="600"/>
      <c r="BS3" s="600"/>
      <c r="BT3" s="600"/>
      <c r="BU3" s="600"/>
      <c r="BV3" s="600"/>
      <c r="BW3" s="601" t="s">
        <v>189</v>
      </c>
      <c r="BX3" s="601"/>
      <c r="BY3" s="601"/>
      <c r="BZ3" s="600" t="s">
        <v>188</v>
      </c>
      <c r="CA3" s="600"/>
      <c r="CB3" s="600"/>
      <c r="CC3" s="600"/>
      <c r="CD3" s="600"/>
      <c r="CE3" s="600"/>
      <c r="CF3" s="600"/>
      <c r="CG3" s="600"/>
      <c r="CH3" s="600"/>
      <c r="CI3" s="600"/>
      <c r="CJ3" s="600"/>
      <c r="CK3" s="600"/>
      <c r="CL3" s="601" t="s">
        <v>189</v>
      </c>
      <c r="CM3" s="601"/>
      <c r="CN3" s="601"/>
      <c r="CO3" s="600" t="s">
        <v>188</v>
      </c>
      <c r="CP3" s="600"/>
      <c r="CQ3" s="600"/>
      <c r="CR3" s="600"/>
      <c r="CS3" s="600"/>
      <c r="CT3" s="600"/>
      <c r="CU3" s="600"/>
      <c r="CV3" s="600"/>
      <c r="CW3" s="600"/>
      <c r="CX3" s="600"/>
      <c r="CY3" s="600"/>
      <c r="CZ3" s="600"/>
      <c r="DA3" s="601" t="s">
        <v>189</v>
      </c>
      <c r="DB3" s="601"/>
      <c r="DC3" s="601"/>
      <c r="DD3" s="600" t="s">
        <v>188</v>
      </c>
      <c r="DE3" s="600"/>
      <c r="DF3" s="600"/>
      <c r="DG3" s="600"/>
      <c r="DH3" s="600"/>
      <c r="DI3" s="600"/>
      <c r="DJ3" s="600"/>
      <c r="DK3" s="600"/>
      <c r="DL3" s="600"/>
      <c r="DM3" s="600"/>
      <c r="DN3" s="600"/>
      <c r="DO3" s="600"/>
      <c r="DP3" s="601" t="s">
        <v>189</v>
      </c>
      <c r="DQ3" s="601"/>
      <c r="DR3" s="601"/>
      <c r="DS3" s="600" t="s">
        <v>188</v>
      </c>
      <c r="DT3" s="600"/>
      <c r="DU3" s="600"/>
      <c r="DV3" s="600"/>
      <c r="DW3" s="600"/>
      <c r="DX3" s="600"/>
      <c r="DY3" s="600"/>
      <c r="DZ3" s="600"/>
      <c r="EA3" s="600"/>
      <c r="EB3" s="600"/>
      <c r="EC3" s="600"/>
      <c r="ED3" s="600"/>
      <c r="EE3" s="601" t="s">
        <v>189</v>
      </c>
      <c r="EF3" s="601"/>
      <c r="EG3" s="601"/>
      <c r="EH3" s="599" t="s">
        <v>193</v>
      </c>
      <c r="EI3" s="599"/>
      <c r="EJ3" s="599"/>
      <c r="EK3" s="599" t="s">
        <v>194</v>
      </c>
      <c r="EL3" s="599"/>
      <c r="EM3" s="599"/>
      <c r="EN3" s="599" t="s">
        <v>195</v>
      </c>
      <c r="EO3" s="599"/>
      <c r="EP3" s="599"/>
      <c r="EQ3" s="599" t="s">
        <v>193</v>
      </c>
      <c r="ER3" s="599"/>
      <c r="ES3" s="599"/>
      <c r="ET3" s="599" t="s">
        <v>194</v>
      </c>
      <c r="EU3" s="599"/>
      <c r="EV3" s="599"/>
      <c r="EW3" s="599" t="s">
        <v>195</v>
      </c>
      <c r="EX3" s="599"/>
      <c r="EY3" s="599"/>
      <c r="EZ3" s="599" t="s">
        <v>193</v>
      </c>
      <c r="FA3" s="599"/>
      <c r="FB3" s="599"/>
      <c r="FC3" s="599" t="s">
        <v>194</v>
      </c>
      <c r="FD3" s="599"/>
      <c r="FE3" s="599"/>
      <c r="FF3" s="599" t="s">
        <v>195</v>
      </c>
      <c r="FG3" s="599"/>
      <c r="FH3" s="599"/>
    </row>
    <row r="4" spans="1:182">
      <c r="A4" s="604"/>
      <c r="B4" s="605"/>
      <c r="C4" s="600" t="s">
        <v>5</v>
      </c>
      <c r="D4" s="600"/>
      <c r="E4" s="600"/>
      <c r="F4" s="600" t="s">
        <v>6</v>
      </c>
      <c r="G4" s="600"/>
      <c r="H4" s="600"/>
      <c r="I4" s="600"/>
      <c r="J4" s="600"/>
      <c r="K4" s="600"/>
      <c r="L4" s="600"/>
      <c r="M4" s="600"/>
      <c r="N4" s="600"/>
      <c r="O4" s="601"/>
      <c r="P4" s="601"/>
      <c r="Q4" s="601"/>
      <c r="R4" s="600" t="s">
        <v>5</v>
      </c>
      <c r="S4" s="600"/>
      <c r="T4" s="600"/>
      <c r="U4" s="600" t="s">
        <v>6</v>
      </c>
      <c r="V4" s="600"/>
      <c r="W4" s="600"/>
      <c r="X4" s="600"/>
      <c r="Y4" s="600"/>
      <c r="Z4" s="600"/>
      <c r="AA4" s="600"/>
      <c r="AB4" s="600"/>
      <c r="AC4" s="600"/>
      <c r="AD4" s="601"/>
      <c r="AE4" s="601"/>
      <c r="AF4" s="601"/>
      <c r="AG4" s="600" t="s">
        <v>5</v>
      </c>
      <c r="AH4" s="600"/>
      <c r="AI4" s="600"/>
      <c r="AJ4" s="600" t="s">
        <v>6</v>
      </c>
      <c r="AK4" s="600"/>
      <c r="AL4" s="600"/>
      <c r="AM4" s="600"/>
      <c r="AN4" s="600"/>
      <c r="AO4" s="600"/>
      <c r="AP4" s="600"/>
      <c r="AQ4" s="600"/>
      <c r="AR4" s="600"/>
      <c r="AS4" s="601"/>
      <c r="AT4" s="601"/>
      <c r="AU4" s="601"/>
      <c r="AV4" s="600" t="s">
        <v>5</v>
      </c>
      <c r="AW4" s="600"/>
      <c r="AX4" s="600"/>
      <c r="AY4" s="600" t="s">
        <v>6</v>
      </c>
      <c r="AZ4" s="600"/>
      <c r="BA4" s="600"/>
      <c r="BB4" s="600"/>
      <c r="BC4" s="600"/>
      <c r="BD4" s="600"/>
      <c r="BE4" s="600"/>
      <c r="BF4" s="600"/>
      <c r="BG4" s="600"/>
      <c r="BH4" s="601"/>
      <c r="BI4" s="601"/>
      <c r="BJ4" s="601"/>
      <c r="BK4" s="600" t="s">
        <v>5</v>
      </c>
      <c r="BL4" s="600"/>
      <c r="BM4" s="600"/>
      <c r="BN4" s="600" t="s">
        <v>6</v>
      </c>
      <c r="BO4" s="600"/>
      <c r="BP4" s="600"/>
      <c r="BQ4" s="600"/>
      <c r="BR4" s="600"/>
      <c r="BS4" s="600"/>
      <c r="BT4" s="600"/>
      <c r="BU4" s="600"/>
      <c r="BV4" s="600"/>
      <c r="BW4" s="601"/>
      <c r="BX4" s="601"/>
      <c r="BY4" s="601"/>
      <c r="BZ4" s="600" t="s">
        <v>5</v>
      </c>
      <c r="CA4" s="600"/>
      <c r="CB4" s="600"/>
      <c r="CC4" s="600" t="s">
        <v>6</v>
      </c>
      <c r="CD4" s="600"/>
      <c r="CE4" s="600"/>
      <c r="CF4" s="600"/>
      <c r="CG4" s="600"/>
      <c r="CH4" s="600"/>
      <c r="CI4" s="600"/>
      <c r="CJ4" s="600"/>
      <c r="CK4" s="600"/>
      <c r="CL4" s="601"/>
      <c r="CM4" s="601"/>
      <c r="CN4" s="601"/>
      <c r="CO4" s="600" t="s">
        <v>5</v>
      </c>
      <c r="CP4" s="600"/>
      <c r="CQ4" s="600"/>
      <c r="CR4" s="600" t="s">
        <v>6</v>
      </c>
      <c r="CS4" s="600"/>
      <c r="CT4" s="600"/>
      <c r="CU4" s="600"/>
      <c r="CV4" s="600"/>
      <c r="CW4" s="600"/>
      <c r="CX4" s="600"/>
      <c r="CY4" s="600"/>
      <c r="CZ4" s="600"/>
      <c r="DA4" s="601"/>
      <c r="DB4" s="601"/>
      <c r="DC4" s="601"/>
      <c r="DD4" s="600" t="s">
        <v>5</v>
      </c>
      <c r="DE4" s="600"/>
      <c r="DF4" s="600"/>
      <c r="DG4" s="600" t="s">
        <v>6</v>
      </c>
      <c r="DH4" s="600"/>
      <c r="DI4" s="600"/>
      <c r="DJ4" s="600"/>
      <c r="DK4" s="600"/>
      <c r="DL4" s="600"/>
      <c r="DM4" s="600"/>
      <c r="DN4" s="600"/>
      <c r="DO4" s="600"/>
      <c r="DP4" s="601"/>
      <c r="DQ4" s="601"/>
      <c r="DR4" s="601"/>
      <c r="DS4" s="600" t="s">
        <v>5</v>
      </c>
      <c r="DT4" s="600"/>
      <c r="DU4" s="600"/>
      <c r="DV4" s="600" t="s">
        <v>6</v>
      </c>
      <c r="DW4" s="600"/>
      <c r="DX4" s="600"/>
      <c r="DY4" s="600"/>
      <c r="DZ4" s="600"/>
      <c r="EA4" s="600"/>
      <c r="EB4" s="600"/>
      <c r="EC4" s="600"/>
      <c r="ED4" s="600"/>
      <c r="EE4" s="601"/>
      <c r="EF4" s="601"/>
      <c r="EG4" s="601"/>
      <c r="EH4" s="599"/>
      <c r="EI4" s="599"/>
      <c r="EJ4" s="599"/>
      <c r="EK4" s="599"/>
      <c r="EL4" s="599"/>
      <c r="EM4" s="599"/>
      <c r="EN4" s="599"/>
      <c r="EO4" s="599"/>
      <c r="EP4" s="599"/>
      <c r="EQ4" s="599"/>
      <c r="ER4" s="599"/>
      <c r="ES4" s="599"/>
      <c r="ET4" s="599"/>
      <c r="EU4" s="599"/>
      <c r="EV4" s="599"/>
      <c r="EW4" s="599"/>
      <c r="EX4" s="599"/>
      <c r="EY4" s="599"/>
      <c r="EZ4" s="599"/>
      <c r="FA4" s="599"/>
      <c r="FB4" s="599"/>
      <c r="FC4" s="599"/>
      <c r="FD4" s="599"/>
      <c r="FE4" s="599"/>
      <c r="FF4" s="599"/>
      <c r="FG4" s="599"/>
      <c r="FH4" s="599"/>
    </row>
    <row r="5" spans="1:182" ht="15" customHeight="1">
      <c r="A5" s="604"/>
      <c r="B5" s="605"/>
      <c r="C5" s="600"/>
      <c r="D5" s="600"/>
      <c r="E5" s="600"/>
      <c r="F5" s="600" t="s">
        <v>51</v>
      </c>
      <c r="G5" s="600"/>
      <c r="H5" s="600"/>
      <c r="I5" s="600" t="s">
        <v>190</v>
      </c>
      <c r="J5" s="600"/>
      <c r="K5" s="600"/>
      <c r="L5" s="600" t="s">
        <v>191</v>
      </c>
      <c r="M5" s="600"/>
      <c r="N5" s="600"/>
      <c r="O5" s="601"/>
      <c r="P5" s="601"/>
      <c r="Q5" s="601"/>
      <c r="R5" s="600"/>
      <c r="S5" s="600"/>
      <c r="T5" s="600"/>
      <c r="U5" s="600" t="s">
        <v>51</v>
      </c>
      <c r="V5" s="600"/>
      <c r="W5" s="600"/>
      <c r="X5" s="600" t="s">
        <v>190</v>
      </c>
      <c r="Y5" s="600"/>
      <c r="Z5" s="600"/>
      <c r="AA5" s="600" t="s">
        <v>191</v>
      </c>
      <c r="AB5" s="600"/>
      <c r="AC5" s="600"/>
      <c r="AD5" s="601"/>
      <c r="AE5" s="601"/>
      <c r="AF5" s="601"/>
      <c r="AG5" s="600"/>
      <c r="AH5" s="600"/>
      <c r="AI5" s="600"/>
      <c r="AJ5" s="600" t="s">
        <v>51</v>
      </c>
      <c r="AK5" s="600"/>
      <c r="AL5" s="600"/>
      <c r="AM5" s="600" t="s">
        <v>190</v>
      </c>
      <c r="AN5" s="600"/>
      <c r="AO5" s="600"/>
      <c r="AP5" s="600" t="s">
        <v>191</v>
      </c>
      <c r="AQ5" s="600"/>
      <c r="AR5" s="600"/>
      <c r="AS5" s="601"/>
      <c r="AT5" s="601"/>
      <c r="AU5" s="601"/>
      <c r="AV5" s="600"/>
      <c r="AW5" s="600"/>
      <c r="AX5" s="600"/>
      <c r="AY5" s="600" t="s">
        <v>51</v>
      </c>
      <c r="AZ5" s="600"/>
      <c r="BA5" s="600"/>
      <c r="BB5" s="600" t="s">
        <v>190</v>
      </c>
      <c r="BC5" s="600"/>
      <c r="BD5" s="600"/>
      <c r="BE5" s="600" t="s">
        <v>191</v>
      </c>
      <c r="BF5" s="600"/>
      <c r="BG5" s="600"/>
      <c r="BH5" s="601"/>
      <c r="BI5" s="601"/>
      <c r="BJ5" s="601"/>
      <c r="BK5" s="600"/>
      <c r="BL5" s="600"/>
      <c r="BM5" s="600"/>
      <c r="BN5" s="600" t="s">
        <v>51</v>
      </c>
      <c r="BO5" s="600"/>
      <c r="BP5" s="600"/>
      <c r="BQ5" s="600" t="s">
        <v>190</v>
      </c>
      <c r="BR5" s="600"/>
      <c r="BS5" s="600"/>
      <c r="BT5" s="600" t="s">
        <v>191</v>
      </c>
      <c r="BU5" s="600"/>
      <c r="BV5" s="600"/>
      <c r="BW5" s="601"/>
      <c r="BX5" s="601"/>
      <c r="BY5" s="601"/>
      <c r="BZ5" s="600"/>
      <c r="CA5" s="600"/>
      <c r="CB5" s="600"/>
      <c r="CC5" s="600" t="s">
        <v>51</v>
      </c>
      <c r="CD5" s="600"/>
      <c r="CE5" s="600"/>
      <c r="CF5" s="600" t="s">
        <v>190</v>
      </c>
      <c r="CG5" s="600"/>
      <c r="CH5" s="600"/>
      <c r="CI5" s="600" t="s">
        <v>191</v>
      </c>
      <c r="CJ5" s="600"/>
      <c r="CK5" s="600"/>
      <c r="CL5" s="601"/>
      <c r="CM5" s="601"/>
      <c r="CN5" s="601"/>
      <c r="CO5" s="600"/>
      <c r="CP5" s="600"/>
      <c r="CQ5" s="600"/>
      <c r="CR5" s="600" t="s">
        <v>51</v>
      </c>
      <c r="CS5" s="600"/>
      <c r="CT5" s="600"/>
      <c r="CU5" s="600" t="s">
        <v>190</v>
      </c>
      <c r="CV5" s="600"/>
      <c r="CW5" s="600"/>
      <c r="CX5" s="600" t="s">
        <v>191</v>
      </c>
      <c r="CY5" s="600"/>
      <c r="CZ5" s="600"/>
      <c r="DA5" s="601"/>
      <c r="DB5" s="601"/>
      <c r="DC5" s="601"/>
      <c r="DD5" s="600"/>
      <c r="DE5" s="600"/>
      <c r="DF5" s="600"/>
      <c r="DG5" s="600" t="s">
        <v>51</v>
      </c>
      <c r="DH5" s="600"/>
      <c r="DI5" s="600"/>
      <c r="DJ5" s="600" t="s">
        <v>190</v>
      </c>
      <c r="DK5" s="600"/>
      <c r="DL5" s="600"/>
      <c r="DM5" s="600" t="s">
        <v>191</v>
      </c>
      <c r="DN5" s="600"/>
      <c r="DO5" s="600"/>
      <c r="DP5" s="601"/>
      <c r="DQ5" s="601"/>
      <c r="DR5" s="601"/>
      <c r="DS5" s="600"/>
      <c r="DT5" s="600"/>
      <c r="DU5" s="600"/>
      <c r="DV5" s="600" t="s">
        <v>51</v>
      </c>
      <c r="DW5" s="600"/>
      <c r="DX5" s="600"/>
      <c r="DY5" s="600" t="s">
        <v>190</v>
      </c>
      <c r="DZ5" s="600"/>
      <c r="EA5" s="600"/>
      <c r="EB5" s="600" t="s">
        <v>191</v>
      </c>
      <c r="EC5" s="600"/>
      <c r="ED5" s="600"/>
      <c r="EE5" s="601"/>
      <c r="EF5" s="601"/>
      <c r="EG5" s="601"/>
      <c r="EH5" s="599"/>
      <c r="EI5" s="599"/>
      <c r="EJ5" s="599"/>
      <c r="EK5" s="599" t="s">
        <v>196</v>
      </c>
      <c r="EL5" s="599"/>
      <c r="EM5" s="599"/>
      <c r="EN5" s="599" t="s">
        <v>196</v>
      </c>
      <c r="EO5" s="599"/>
      <c r="EP5" s="599"/>
      <c r="EQ5" s="599"/>
      <c r="ER5" s="599"/>
      <c r="ES5" s="599"/>
      <c r="ET5" s="599" t="s">
        <v>196</v>
      </c>
      <c r="EU5" s="599"/>
      <c r="EV5" s="599"/>
      <c r="EW5" s="599" t="s">
        <v>196</v>
      </c>
      <c r="EX5" s="599"/>
      <c r="EY5" s="599"/>
      <c r="EZ5" s="599"/>
      <c r="FA5" s="599"/>
      <c r="FB5" s="599"/>
      <c r="FC5" s="599" t="s">
        <v>196</v>
      </c>
      <c r="FD5" s="599"/>
      <c r="FE5" s="599"/>
      <c r="FF5" s="599" t="s">
        <v>196</v>
      </c>
      <c r="FG5" s="599"/>
      <c r="FH5" s="599"/>
    </row>
    <row r="6" spans="1:182">
      <c r="A6" s="604"/>
      <c r="B6" s="605"/>
      <c r="C6" s="126" t="s">
        <v>43</v>
      </c>
      <c r="D6" s="126" t="s">
        <v>44</v>
      </c>
      <c r="E6" s="126" t="s">
        <v>3</v>
      </c>
      <c r="F6" s="126" t="s">
        <v>43</v>
      </c>
      <c r="G6" s="126" t="s">
        <v>44</v>
      </c>
      <c r="H6" s="126" t="s">
        <v>3</v>
      </c>
      <c r="I6" s="126" t="s">
        <v>43</v>
      </c>
      <c r="J6" s="126" t="s">
        <v>44</v>
      </c>
      <c r="K6" s="126" t="s">
        <v>3</v>
      </c>
      <c r="L6" s="126" t="s">
        <v>43</v>
      </c>
      <c r="M6" s="126" t="s">
        <v>44</v>
      </c>
      <c r="N6" s="126" t="s">
        <v>3</v>
      </c>
      <c r="O6" s="127" t="s">
        <v>43</v>
      </c>
      <c r="P6" s="127" t="s">
        <v>44</v>
      </c>
      <c r="Q6" s="127" t="s">
        <v>3</v>
      </c>
      <c r="R6" s="126" t="s">
        <v>43</v>
      </c>
      <c r="S6" s="126" t="s">
        <v>44</v>
      </c>
      <c r="T6" s="126" t="s">
        <v>3</v>
      </c>
      <c r="U6" s="126" t="s">
        <v>43</v>
      </c>
      <c r="V6" s="126" t="s">
        <v>44</v>
      </c>
      <c r="W6" s="126" t="s">
        <v>3</v>
      </c>
      <c r="X6" s="126" t="s">
        <v>43</v>
      </c>
      <c r="Y6" s="126" t="s">
        <v>44</v>
      </c>
      <c r="Z6" s="126" t="s">
        <v>3</v>
      </c>
      <c r="AA6" s="126" t="s">
        <v>43</v>
      </c>
      <c r="AB6" s="126" t="s">
        <v>44</v>
      </c>
      <c r="AC6" s="126" t="s">
        <v>3</v>
      </c>
      <c r="AD6" s="127" t="s">
        <v>43</v>
      </c>
      <c r="AE6" s="127" t="s">
        <v>44</v>
      </c>
      <c r="AF6" s="127" t="s">
        <v>3</v>
      </c>
      <c r="AG6" s="126" t="s">
        <v>43</v>
      </c>
      <c r="AH6" s="126" t="s">
        <v>44</v>
      </c>
      <c r="AI6" s="126" t="s">
        <v>3</v>
      </c>
      <c r="AJ6" s="126" t="s">
        <v>43</v>
      </c>
      <c r="AK6" s="126" t="s">
        <v>44</v>
      </c>
      <c r="AL6" s="126" t="s">
        <v>3</v>
      </c>
      <c r="AM6" s="126" t="s">
        <v>43</v>
      </c>
      <c r="AN6" s="126" t="s">
        <v>44</v>
      </c>
      <c r="AO6" s="126" t="s">
        <v>3</v>
      </c>
      <c r="AP6" s="126" t="s">
        <v>43</v>
      </c>
      <c r="AQ6" s="126" t="s">
        <v>44</v>
      </c>
      <c r="AR6" s="126" t="s">
        <v>3</v>
      </c>
      <c r="AS6" s="127" t="s">
        <v>43</v>
      </c>
      <c r="AT6" s="127" t="s">
        <v>44</v>
      </c>
      <c r="AU6" s="127" t="s">
        <v>3</v>
      </c>
      <c r="AV6" s="126" t="s">
        <v>43</v>
      </c>
      <c r="AW6" s="126" t="s">
        <v>44</v>
      </c>
      <c r="AX6" s="126" t="s">
        <v>3</v>
      </c>
      <c r="AY6" s="126" t="s">
        <v>43</v>
      </c>
      <c r="AZ6" s="126" t="s">
        <v>44</v>
      </c>
      <c r="BA6" s="126" t="s">
        <v>3</v>
      </c>
      <c r="BB6" s="126" t="s">
        <v>43</v>
      </c>
      <c r="BC6" s="126" t="s">
        <v>44</v>
      </c>
      <c r="BD6" s="126" t="s">
        <v>3</v>
      </c>
      <c r="BE6" s="126" t="s">
        <v>43</v>
      </c>
      <c r="BF6" s="126" t="s">
        <v>44</v>
      </c>
      <c r="BG6" s="126" t="s">
        <v>3</v>
      </c>
      <c r="BH6" s="127" t="s">
        <v>43</v>
      </c>
      <c r="BI6" s="127" t="s">
        <v>44</v>
      </c>
      <c r="BJ6" s="127" t="s">
        <v>3</v>
      </c>
      <c r="BK6" s="126" t="s">
        <v>43</v>
      </c>
      <c r="BL6" s="126" t="s">
        <v>44</v>
      </c>
      <c r="BM6" s="126" t="s">
        <v>3</v>
      </c>
      <c r="BN6" s="126" t="s">
        <v>43</v>
      </c>
      <c r="BO6" s="126" t="s">
        <v>44</v>
      </c>
      <c r="BP6" s="126" t="s">
        <v>3</v>
      </c>
      <c r="BQ6" s="126" t="s">
        <v>43</v>
      </c>
      <c r="BR6" s="126" t="s">
        <v>44</v>
      </c>
      <c r="BS6" s="126" t="s">
        <v>3</v>
      </c>
      <c r="BT6" s="126" t="s">
        <v>43</v>
      </c>
      <c r="BU6" s="126" t="s">
        <v>44</v>
      </c>
      <c r="BV6" s="126" t="s">
        <v>3</v>
      </c>
      <c r="BW6" s="127" t="s">
        <v>43</v>
      </c>
      <c r="BX6" s="127" t="s">
        <v>44</v>
      </c>
      <c r="BY6" s="127" t="s">
        <v>3</v>
      </c>
      <c r="BZ6" s="126" t="s">
        <v>43</v>
      </c>
      <c r="CA6" s="126" t="s">
        <v>44</v>
      </c>
      <c r="CB6" s="126" t="s">
        <v>3</v>
      </c>
      <c r="CC6" s="126" t="s">
        <v>43</v>
      </c>
      <c r="CD6" s="126" t="s">
        <v>44</v>
      </c>
      <c r="CE6" s="126" t="s">
        <v>3</v>
      </c>
      <c r="CF6" s="126" t="s">
        <v>43</v>
      </c>
      <c r="CG6" s="126" t="s">
        <v>44</v>
      </c>
      <c r="CH6" s="126" t="s">
        <v>3</v>
      </c>
      <c r="CI6" s="126" t="s">
        <v>43</v>
      </c>
      <c r="CJ6" s="126" t="s">
        <v>44</v>
      </c>
      <c r="CK6" s="126" t="s">
        <v>3</v>
      </c>
      <c r="CL6" s="127" t="s">
        <v>43</v>
      </c>
      <c r="CM6" s="127" t="s">
        <v>44</v>
      </c>
      <c r="CN6" s="127" t="s">
        <v>3</v>
      </c>
      <c r="CO6" s="126" t="s">
        <v>43</v>
      </c>
      <c r="CP6" s="126" t="s">
        <v>44</v>
      </c>
      <c r="CQ6" s="126" t="s">
        <v>3</v>
      </c>
      <c r="CR6" s="126" t="s">
        <v>43</v>
      </c>
      <c r="CS6" s="126" t="s">
        <v>44</v>
      </c>
      <c r="CT6" s="126" t="s">
        <v>3</v>
      </c>
      <c r="CU6" s="126" t="s">
        <v>43</v>
      </c>
      <c r="CV6" s="126" t="s">
        <v>44</v>
      </c>
      <c r="CW6" s="126" t="s">
        <v>3</v>
      </c>
      <c r="CX6" s="126" t="s">
        <v>43</v>
      </c>
      <c r="CY6" s="126" t="s">
        <v>44</v>
      </c>
      <c r="CZ6" s="126" t="s">
        <v>3</v>
      </c>
      <c r="DA6" s="127" t="s">
        <v>43</v>
      </c>
      <c r="DB6" s="127" t="s">
        <v>44</v>
      </c>
      <c r="DC6" s="127" t="s">
        <v>3</v>
      </c>
      <c r="DD6" s="126" t="s">
        <v>43</v>
      </c>
      <c r="DE6" s="126" t="s">
        <v>44</v>
      </c>
      <c r="DF6" s="126" t="s">
        <v>3</v>
      </c>
      <c r="DG6" s="126" t="s">
        <v>43</v>
      </c>
      <c r="DH6" s="126" t="s">
        <v>44</v>
      </c>
      <c r="DI6" s="126" t="s">
        <v>3</v>
      </c>
      <c r="DJ6" s="126" t="s">
        <v>43</v>
      </c>
      <c r="DK6" s="126" t="s">
        <v>44</v>
      </c>
      <c r="DL6" s="126" t="s">
        <v>3</v>
      </c>
      <c r="DM6" s="126" t="s">
        <v>43</v>
      </c>
      <c r="DN6" s="126" t="s">
        <v>44</v>
      </c>
      <c r="DO6" s="126" t="s">
        <v>3</v>
      </c>
      <c r="DP6" s="127" t="s">
        <v>43</v>
      </c>
      <c r="DQ6" s="127" t="s">
        <v>44</v>
      </c>
      <c r="DR6" s="127" t="s">
        <v>3</v>
      </c>
      <c r="DS6" s="126" t="s">
        <v>43</v>
      </c>
      <c r="DT6" s="126" t="s">
        <v>44</v>
      </c>
      <c r="DU6" s="126" t="s">
        <v>3</v>
      </c>
      <c r="DV6" s="126" t="s">
        <v>43</v>
      </c>
      <c r="DW6" s="126" t="s">
        <v>44</v>
      </c>
      <c r="DX6" s="126" t="s">
        <v>3</v>
      </c>
      <c r="DY6" s="126" t="s">
        <v>43</v>
      </c>
      <c r="DZ6" s="126" t="s">
        <v>44</v>
      </c>
      <c r="EA6" s="126" t="s">
        <v>3</v>
      </c>
      <c r="EB6" s="126" t="s">
        <v>43</v>
      </c>
      <c r="EC6" s="126" t="s">
        <v>44</v>
      </c>
      <c r="ED6" s="126" t="s">
        <v>3</v>
      </c>
      <c r="EE6" s="127" t="s">
        <v>43</v>
      </c>
      <c r="EF6" s="127" t="s">
        <v>44</v>
      </c>
      <c r="EG6" s="127" t="s">
        <v>3</v>
      </c>
      <c r="EH6" s="126" t="s">
        <v>43</v>
      </c>
      <c r="EI6" s="126" t="s">
        <v>44</v>
      </c>
      <c r="EJ6" s="126" t="s">
        <v>3</v>
      </c>
      <c r="EK6" s="126" t="s">
        <v>43</v>
      </c>
      <c r="EL6" s="126" t="s">
        <v>44</v>
      </c>
      <c r="EM6" s="126" t="s">
        <v>3</v>
      </c>
      <c r="EN6" s="126" t="s">
        <v>43</v>
      </c>
      <c r="EO6" s="126" t="s">
        <v>44</v>
      </c>
      <c r="EP6" s="126" t="s">
        <v>3</v>
      </c>
      <c r="EQ6" s="126" t="s">
        <v>43</v>
      </c>
      <c r="ER6" s="126" t="s">
        <v>44</v>
      </c>
      <c r="ES6" s="126" t="s">
        <v>3</v>
      </c>
      <c r="ET6" s="126" t="s">
        <v>43</v>
      </c>
      <c r="EU6" s="126" t="s">
        <v>44</v>
      </c>
      <c r="EV6" s="126" t="s">
        <v>3</v>
      </c>
      <c r="EW6" s="126" t="s">
        <v>43</v>
      </c>
      <c r="EX6" s="126" t="s">
        <v>44</v>
      </c>
      <c r="EY6" s="126" t="s">
        <v>3</v>
      </c>
      <c r="EZ6" s="126" t="s">
        <v>43</v>
      </c>
      <c r="FA6" s="126" t="s">
        <v>44</v>
      </c>
      <c r="FB6" s="126" t="s">
        <v>3</v>
      </c>
      <c r="FC6" s="126" t="s">
        <v>43</v>
      </c>
      <c r="FD6" s="126" t="s">
        <v>44</v>
      </c>
      <c r="FE6" s="126" t="s">
        <v>3</v>
      </c>
      <c r="FF6" s="126" t="s">
        <v>43</v>
      </c>
      <c r="FG6" s="126" t="s">
        <v>44</v>
      </c>
      <c r="FH6" s="126" t="s">
        <v>3</v>
      </c>
    </row>
    <row r="7" spans="1:182">
      <c r="A7" s="77">
        <v>1</v>
      </c>
      <c r="B7" s="102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115">
        <v>15</v>
      </c>
      <c r="P7" s="115">
        <v>16</v>
      </c>
      <c r="Q7" s="115">
        <v>17</v>
      </c>
      <c r="R7" s="77">
        <v>3</v>
      </c>
      <c r="S7" s="77">
        <v>4</v>
      </c>
      <c r="T7" s="77">
        <v>5</v>
      </c>
      <c r="U7" s="77">
        <v>6</v>
      </c>
      <c r="V7" s="77">
        <v>7</v>
      </c>
      <c r="W7" s="77">
        <v>8</v>
      </c>
      <c r="X7" s="77">
        <v>9</v>
      </c>
      <c r="Y7" s="77">
        <v>10</v>
      </c>
      <c r="Z7" s="77">
        <v>11</v>
      </c>
      <c r="AA7" s="77">
        <v>12</v>
      </c>
      <c r="AB7" s="77">
        <v>13</v>
      </c>
      <c r="AC7" s="77">
        <v>14</v>
      </c>
      <c r="AD7" s="115">
        <v>15</v>
      </c>
      <c r="AE7" s="115">
        <v>16</v>
      </c>
      <c r="AF7" s="115">
        <v>17</v>
      </c>
      <c r="AG7" s="77">
        <v>3</v>
      </c>
      <c r="AH7" s="77">
        <v>4</v>
      </c>
      <c r="AI7" s="77">
        <v>5</v>
      </c>
      <c r="AJ7" s="77">
        <v>6</v>
      </c>
      <c r="AK7" s="77">
        <v>7</v>
      </c>
      <c r="AL7" s="77">
        <v>8</v>
      </c>
      <c r="AM7" s="77">
        <v>9</v>
      </c>
      <c r="AN7" s="77">
        <v>10</v>
      </c>
      <c r="AO7" s="77">
        <v>11</v>
      </c>
      <c r="AP7" s="77">
        <v>12</v>
      </c>
      <c r="AQ7" s="77">
        <v>13</v>
      </c>
      <c r="AR7" s="77">
        <v>14</v>
      </c>
      <c r="AS7" s="115">
        <v>15</v>
      </c>
      <c r="AT7" s="115">
        <v>16</v>
      </c>
      <c r="AU7" s="115">
        <v>17</v>
      </c>
      <c r="AV7" s="77">
        <v>3</v>
      </c>
      <c r="AW7" s="77">
        <v>4</v>
      </c>
      <c r="AX7" s="77">
        <v>5</v>
      </c>
      <c r="AY7" s="77">
        <v>6</v>
      </c>
      <c r="AZ7" s="77">
        <v>7</v>
      </c>
      <c r="BA7" s="77">
        <v>8</v>
      </c>
      <c r="BB7" s="77">
        <v>9</v>
      </c>
      <c r="BC7" s="77">
        <v>10</v>
      </c>
      <c r="BD7" s="77">
        <v>11</v>
      </c>
      <c r="BE7" s="77">
        <v>12</v>
      </c>
      <c r="BF7" s="77">
        <v>13</v>
      </c>
      <c r="BG7" s="77">
        <v>14</v>
      </c>
      <c r="BH7" s="115">
        <v>15</v>
      </c>
      <c r="BI7" s="115">
        <v>16</v>
      </c>
      <c r="BJ7" s="115">
        <v>17</v>
      </c>
      <c r="BK7" s="77">
        <v>3</v>
      </c>
      <c r="BL7" s="77">
        <v>4</v>
      </c>
      <c r="BM7" s="77">
        <v>5</v>
      </c>
      <c r="BN7" s="77">
        <v>6</v>
      </c>
      <c r="BO7" s="77">
        <v>7</v>
      </c>
      <c r="BP7" s="77">
        <v>8</v>
      </c>
      <c r="BQ7" s="77">
        <v>9</v>
      </c>
      <c r="BR7" s="77">
        <v>10</v>
      </c>
      <c r="BS7" s="77">
        <v>11</v>
      </c>
      <c r="BT7" s="77">
        <v>12</v>
      </c>
      <c r="BU7" s="77">
        <v>13</v>
      </c>
      <c r="BV7" s="77">
        <v>14</v>
      </c>
      <c r="BW7" s="115">
        <v>15</v>
      </c>
      <c r="BX7" s="115">
        <v>16</v>
      </c>
      <c r="BY7" s="115">
        <v>17</v>
      </c>
      <c r="BZ7" s="77">
        <v>3</v>
      </c>
      <c r="CA7" s="77">
        <v>4</v>
      </c>
      <c r="CB7" s="77">
        <v>5</v>
      </c>
      <c r="CC7" s="77">
        <v>6</v>
      </c>
      <c r="CD7" s="77">
        <v>7</v>
      </c>
      <c r="CE7" s="77">
        <v>8</v>
      </c>
      <c r="CF7" s="77">
        <v>9</v>
      </c>
      <c r="CG7" s="77">
        <v>10</v>
      </c>
      <c r="CH7" s="77">
        <v>11</v>
      </c>
      <c r="CI7" s="77">
        <v>12</v>
      </c>
      <c r="CJ7" s="77">
        <v>13</v>
      </c>
      <c r="CK7" s="77">
        <v>14</v>
      </c>
      <c r="CL7" s="115">
        <v>15</v>
      </c>
      <c r="CM7" s="115">
        <v>16</v>
      </c>
      <c r="CN7" s="115">
        <v>17</v>
      </c>
      <c r="CO7" s="77">
        <v>3</v>
      </c>
      <c r="CP7" s="77">
        <v>4</v>
      </c>
      <c r="CQ7" s="77">
        <v>5</v>
      </c>
      <c r="CR7" s="77">
        <v>6</v>
      </c>
      <c r="CS7" s="77">
        <v>7</v>
      </c>
      <c r="CT7" s="77">
        <v>8</v>
      </c>
      <c r="CU7" s="77">
        <v>9</v>
      </c>
      <c r="CV7" s="77">
        <v>10</v>
      </c>
      <c r="CW7" s="77">
        <v>11</v>
      </c>
      <c r="CX7" s="77">
        <v>12</v>
      </c>
      <c r="CY7" s="77">
        <v>13</v>
      </c>
      <c r="CZ7" s="77">
        <v>14</v>
      </c>
      <c r="DA7" s="115">
        <v>15</v>
      </c>
      <c r="DB7" s="115">
        <v>16</v>
      </c>
      <c r="DC7" s="115">
        <v>17</v>
      </c>
      <c r="DD7" s="77">
        <v>3</v>
      </c>
      <c r="DE7" s="77">
        <v>4</v>
      </c>
      <c r="DF7" s="77">
        <v>5</v>
      </c>
      <c r="DG7" s="77">
        <v>6</v>
      </c>
      <c r="DH7" s="77">
        <v>7</v>
      </c>
      <c r="DI7" s="77">
        <v>8</v>
      </c>
      <c r="DJ7" s="77">
        <v>9</v>
      </c>
      <c r="DK7" s="77">
        <v>10</v>
      </c>
      <c r="DL7" s="77">
        <v>11</v>
      </c>
      <c r="DM7" s="77">
        <v>12</v>
      </c>
      <c r="DN7" s="77">
        <v>13</v>
      </c>
      <c r="DO7" s="77">
        <v>14</v>
      </c>
      <c r="DP7" s="115">
        <v>15</v>
      </c>
      <c r="DQ7" s="115">
        <v>16</v>
      </c>
      <c r="DR7" s="115">
        <v>17</v>
      </c>
      <c r="DS7" s="77">
        <v>3</v>
      </c>
      <c r="DT7" s="77">
        <v>4</v>
      </c>
      <c r="DU7" s="77">
        <v>5</v>
      </c>
      <c r="DV7" s="77">
        <v>6</v>
      </c>
      <c r="DW7" s="77">
        <v>7</v>
      </c>
      <c r="DX7" s="77">
        <v>8</v>
      </c>
      <c r="DY7" s="77">
        <v>9</v>
      </c>
      <c r="DZ7" s="77">
        <v>10</v>
      </c>
      <c r="EA7" s="77">
        <v>11</v>
      </c>
      <c r="EB7" s="77">
        <v>12</v>
      </c>
      <c r="EC7" s="77">
        <v>13</v>
      </c>
      <c r="ED7" s="77">
        <v>14</v>
      </c>
      <c r="EE7" s="115">
        <v>15</v>
      </c>
      <c r="EF7" s="115">
        <v>16</v>
      </c>
      <c r="EG7" s="115">
        <v>17</v>
      </c>
      <c r="EH7" s="78">
        <v>3</v>
      </c>
      <c r="EI7" s="78">
        <v>4</v>
      </c>
      <c r="EJ7" s="78">
        <v>5</v>
      </c>
      <c r="EK7" s="78">
        <v>6</v>
      </c>
      <c r="EL7" s="78">
        <v>7</v>
      </c>
      <c r="EM7" s="78">
        <v>8</v>
      </c>
      <c r="EN7" s="78">
        <v>12</v>
      </c>
      <c r="EO7" s="78">
        <v>13</v>
      </c>
      <c r="EP7" s="78">
        <v>14</v>
      </c>
      <c r="EQ7" s="78">
        <v>3</v>
      </c>
      <c r="ER7" s="78">
        <v>4</v>
      </c>
      <c r="ES7" s="78">
        <v>5</v>
      </c>
      <c r="ET7" s="78">
        <v>6</v>
      </c>
      <c r="EU7" s="78">
        <v>7</v>
      </c>
      <c r="EV7" s="78">
        <v>8</v>
      </c>
      <c r="EW7" s="78">
        <v>12</v>
      </c>
      <c r="EX7" s="78">
        <v>13</v>
      </c>
      <c r="EY7" s="78">
        <v>14</v>
      </c>
      <c r="EZ7" s="78">
        <v>3</v>
      </c>
      <c r="FA7" s="78">
        <v>4</v>
      </c>
      <c r="FB7" s="78">
        <v>5</v>
      </c>
      <c r="FC7" s="78">
        <v>6</v>
      </c>
      <c r="FD7" s="78">
        <v>7</v>
      </c>
      <c r="FE7" s="78">
        <v>8</v>
      </c>
      <c r="FF7" s="78">
        <v>12</v>
      </c>
      <c r="FG7" s="78">
        <v>13</v>
      </c>
      <c r="FH7" s="78">
        <v>14</v>
      </c>
    </row>
    <row r="8" spans="1:182" s="119" customFormat="1" ht="15.75" customHeight="1">
      <c r="A8" s="603" t="s">
        <v>216</v>
      </c>
      <c r="B8" s="60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4"/>
      <c r="FJ8" s="124"/>
      <c r="FK8" s="124"/>
      <c r="FL8" s="627"/>
      <c r="FM8" s="627"/>
      <c r="FN8" s="627"/>
      <c r="FO8" s="627"/>
      <c r="FP8" s="627"/>
      <c r="FQ8" s="627"/>
      <c r="FR8" s="627"/>
      <c r="FS8" s="627"/>
      <c r="FT8" s="627"/>
      <c r="FU8" s="627"/>
      <c r="FV8" s="627"/>
      <c r="FW8" s="627"/>
      <c r="FX8" s="627"/>
      <c r="FY8" s="627"/>
      <c r="FZ8" s="627"/>
    </row>
    <row r="9" spans="1:182" ht="28.5">
      <c r="A9" s="94">
        <v>1</v>
      </c>
      <c r="B9" s="118" t="s">
        <v>318</v>
      </c>
      <c r="C9" s="96">
        <v>949381</v>
      </c>
      <c r="D9" s="96">
        <v>639933</v>
      </c>
      <c r="E9" s="96">
        <f t="shared" ref="E9:E10" si="0">C9+D9</f>
        <v>1589314</v>
      </c>
      <c r="F9" s="99">
        <v>919085</v>
      </c>
      <c r="G9" s="96">
        <v>623931</v>
      </c>
      <c r="H9" s="96">
        <f t="shared" ref="H9:H10" si="1">F9+G9</f>
        <v>1543016</v>
      </c>
      <c r="I9" s="96">
        <v>15127</v>
      </c>
      <c r="J9" s="96">
        <v>7988</v>
      </c>
      <c r="K9" s="96">
        <f t="shared" ref="K9" si="2">I9+J9</f>
        <v>23115</v>
      </c>
      <c r="L9" s="97">
        <f t="shared" ref="L9" si="3">F9+I9</f>
        <v>934212</v>
      </c>
      <c r="M9" s="98">
        <f t="shared" ref="M9" si="4">G9+J9</f>
        <v>631919</v>
      </c>
      <c r="N9" s="98">
        <f t="shared" ref="N9" si="5">H9+K9</f>
        <v>1566131</v>
      </c>
      <c r="O9" s="116">
        <f t="shared" ref="O9:O10" si="6">L9/C9</f>
        <v>0.98402222079439128</v>
      </c>
      <c r="P9" s="116">
        <f t="shared" ref="P9:P10" si="7">M9/D9</f>
        <v>0.98747681397896347</v>
      </c>
      <c r="Q9" s="116">
        <f t="shared" ref="Q9:Q10" si="8">N9/E9</f>
        <v>0.98541320343242433</v>
      </c>
      <c r="R9" s="98">
        <v>34720</v>
      </c>
      <c r="S9" s="98">
        <v>35710</v>
      </c>
      <c r="T9" s="98">
        <f t="shared" ref="T9:T10" si="9">R9+S9</f>
        <v>70430</v>
      </c>
      <c r="U9" s="98">
        <v>718</v>
      </c>
      <c r="V9" s="98">
        <v>1132</v>
      </c>
      <c r="W9" s="98">
        <f>U9+V9</f>
        <v>1850</v>
      </c>
      <c r="X9" s="98">
        <v>2117</v>
      </c>
      <c r="Y9" s="98">
        <v>4270</v>
      </c>
      <c r="Z9" s="98">
        <f t="shared" ref="Z9" si="10">X9+Y9</f>
        <v>6387</v>
      </c>
      <c r="AA9" s="98">
        <f>U9+X9</f>
        <v>2835</v>
      </c>
      <c r="AB9" s="98">
        <f t="shared" ref="AB9" si="11">V9+Y9</f>
        <v>5402</v>
      </c>
      <c r="AC9" s="98">
        <f>W9+Z9</f>
        <v>8237</v>
      </c>
      <c r="AD9" s="116">
        <f t="shared" ref="AD9:AD10" si="12">AA9/R9</f>
        <v>8.165322580645161E-2</v>
      </c>
      <c r="AE9" s="116">
        <f t="shared" ref="AE9:AE10" si="13">AB9/S9</f>
        <v>0.15127415289834781</v>
      </c>
      <c r="AF9" s="116">
        <f t="shared" ref="AF9:AF10" si="14">AC9/T9</f>
        <v>0.11695300298168394</v>
      </c>
      <c r="AG9" s="98">
        <f t="shared" ref="AG9:AG10" si="15">C9+R9</f>
        <v>984101</v>
      </c>
      <c r="AH9" s="98">
        <f t="shared" ref="AH9:AH10" si="16">D9+S9</f>
        <v>675643</v>
      </c>
      <c r="AI9" s="98">
        <f t="shared" ref="AI9:AI10" si="17">E9+T9</f>
        <v>1659744</v>
      </c>
      <c r="AJ9" s="98">
        <f t="shared" ref="AJ9:AJ10" si="18">F9+U9</f>
        <v>919803</v>
      </c>
      <c r="AK9" s="98">
        <f t="shared" ref="AK9:AK10" si="19">G9+V9</f>
        <v>625063</v>
      </c>
      <c r="AL9" s="98">
        <f t="shared" ref="AL9:AL10" si="20">H9+W9</f>
        <v>1544866</v>
      </c>
      <c r="AM9" s="98">
        <f t="shared" ref="AM9" si="21">I9+X9</f>
        <v>17244</v>
      </c>
      <c r="AN9" s="98">
        <f t="shared" ref="AN9" si="22">J9+Y9</f>
        <v>12258</v>
      </c>
      <c r="AO9" s="98">
        <f t="shared" ref="AO9" si="23">K9+Z9</f>
        <v>29502</v>
      </c>
      <c r="AP9" s="98">
        <f t="shared" ref="AP9:AP10" si="24">L9+AA9</f>
        <v>937047</v>
      </c>
      <c r="AQ9" s="98">
        <f t="shared" ref="AQ9:AQ10" si="25">M9+AB9</f>
        <v>637321</v>
      </c>
      <c r="AR9" s="98">
        <f>N9+AC9</f>
        <v>1574368</v>
      </c>
      <c r="AS9" s="116">
        <f t="shared" ref="AS9:AS10" si="26">AP9/AG9</f>
        <v>0.95218580206706427</v>
      </c>
      <c r="AT9" s="116">
        <f t="shared" ref="AT9:AT10" si="27">AQ9/AH9</f>
        <v>0.94328069705450956</v>
      </c>
      <c r="AU9" s="116">
        <f t="shared" ref="AU9:AU10" si="28">AR9/AI9</f>
        <v>0.94856074189754569</v>
      </c>
      <c r="AV9" s="99">
        <v>71878</v>
      </c>
      <c r="AW9" s="99">
        <v>50819</v>
      </c>
      <c r="AX9" s="99">
        <f t="shared" ref="AX9:AX10" si="29">+AV9+AW9</f>
        <v>122697</v>
      </c>
      <c r="AY9" s="99">
        <v>68866</v>
      </c>
      <c r="AZ9" s="99">
        <v>49061</v>
      </c>
      <c r="BA9" s="99">
        <f t="shared" ref="BA9:BA10" si="30">+AY9+AZ9</f>
        <v>117927</v>
      </c>
      <c r="BB9" s="99">
        <v>1357</v>
      </c>
      <c r="BC9" s="99">
        <v>810</v>
      </c>
      <c r="BD9" s="99">
        <f t="shared" ref="BD9" si="31">+BB9+BC9</f>
        <v>2167</v>
      </c>
      <c r="BE9" s="99">
        <f t="shared" ref="BE9:BE10" si="32">+AY9+BB9</f>
        <v>70223</v>
      </c>
      <c r="BF9" s="99">
        <f>+AZ9+BC9</f>
        <v>49871</v>
      </c>
      <c r="BG9" s="99">
        <f>+BA9+BD9</f>
        <v>120094</v>
      </c>
      <c r="BH9" s="116">
        <f t="shared" ref="BH9:BH10" si="33">BE9/AV9</f>
        <v>0.97697487409221184</v>
      </c>
      <c r="BI9" s="116">
        <f t="shared" ref="BI9:BI10" si="34">BF9/AW9</f>
        <v>0.98134555973159643</v>
      </c>
      <c r="BJ9" s="116">
        <f t="shared" ref="BJ9:BJ10" si="35">BG9/AX9</f>
        <v>0.97878513737092188</v>
      </c>
      <c r="BK9" s="98">
        <v>6383</v>
      </c>
      <c r="BL9" s="98">
        <v>6485</v>
      </c>
      <c r="BM9" s="98">
        <f t="shared" ref="BM9:BM10" si="36">BK9+BL9</f>
        <v>12868</v>
      </c>
      <c r="BN9" s="99">
        <v>87</v>
      </c>
      <c r="BO9" s="99">
        <v>138</v>
      </c>
      <c r="BP9" s="99">
        <f t="shared" ref="BP9:BP10" si="37">BN9+BO9</f>
        <v>225</v>
      </c>
      <c r="BQ9" s="99">
        <v>318</v>
      </c>
      <c r="BR9" s="99">
        <v>790</v>
      </c>
      <c r="BS9" s="99">
        <f t="shared" ref="BS9" si="38">BQ9+BR9</f>
        <v>1108</v>
      </c>
      <c r="BT9" s="99">
        <f t="shared" ref="BT9" si="39">+BN9+BQ9</f>
        <v>405</v>
      </c>
      <c r="BU9" s="99">
        <f t="shared" ref="BU9" si="40">+BO9+BR9</f>
        <v>928</v>
      </c>
      <c r="BV9" s="99">
        <f t="shared" ref="BV9" si="41">+BP9+BS9</f>
        <v>1333</v>
      </c>
      <c r="BW9" s="116">
        <f t="shared" ref="BW9:BW10" si="42">BT9/BK9</f>
        <v>6.3449788500704998E-2</v>
      </c>
      <c r="BX9" s="116">
        <f t="shared" ref="BX9:BX10" si="43">BU9/BL9</f>
        <v>0.14309946029298382</v>
      </c>
      <c r="BY9" s="116">
        <f t="shared" ref="BY9:BY10" si="44">BV9/BM9</f>
        <v>0.10359030152315822</v>
      </c>
      <c r="BZ9" s="98">
        <f t="shared" ref="BZ9" si="45">AV9+BK9</f>
        <v>78261</v>
      </c>
      <c r="CA9" s="98">
        <f t="shared" ref="CA9" si="46">AW9+BL9</f>
        <v>57304</v>
      </c>
      <c r="CB9" s="98">
        <f t="shared" ref="CB9" si="47">AX9+BM9</f>
        <v>135565</v>
      </c>
      <c r="CC9" s="98">
        <f t="shared" ref="CC9:CC10" si="48">AY9+BN9</f>
        <v>68953</v>
      </c>
      <c r="CD9" s="98">
        <f t="shared" ref="CD9:CD10" si="49">AZ9+BO9</f>
        <v>49199</v>
      </c>
      <c r="CE9" s="98">
        <f t="shared" ref="CE9:CE10" si="50">BA9+BP9</f>
        <v>118152</v>
      </c>
      <c r="CF9" s="98">
        <f t="shared" ref="CF9" si="51">BB9+BQ9</f>
        <v>1675</v>
      </c>
      <c r="CG9" s="98">
        <f t="shared" ref="CG9" si="52">BC9+BR9</f>
        <v>1600</v>
      </c>
      <c r="CH9" s="98">
        <f t="shared" ref="CH9" si="53">BD9+BS9</f>
        <v>3275</v>
      </c>
      <c r="CI9" s="98">
        <f t="shared" ref="CI9:CI10" si="54">BE9+BT9</f>
        <v>70628</v>
      </c>
      <c r="CJ9" s="98">
        <f t="shared" ref="CJ9:CJ10" si="55">BF9+BU9</f>
        <v>50799</v>
      </c>
      <c r="CK9" s="98">
        <f t="shared" ref="CK9:CK10" si="56">BG9+BV9</f>
        <v>121427</v>
      </c>
      <c r="CL9" s="116">
        <f t="shared" ref="CL9:CL10" si="57">CI9/BZ9</f>
        <v>0.90246738477658095</v>
      </c>
      <c r="CM9" s="116">
        <f t="shared" ref="CM9:CM10" si="58">CJ9/CA9</f>
        <v>0.88648261901437941</v>
      </c>
      <c r="CN9" s="116">
        <f t="shared" ref="CN9:CN10" si="59">CK9/CB9</f>
        <v>0.89571054475712752</v>
      </c>
      <c r="CO9" s="99">
        <v>31895</v>
      </c>
      <c r="CP9" s="99">
        <v>26302</v>
      </c>
      <c r="CQ9" s="99">
        <f t="shared" ref="CQ9:CQ10" si="60">+CO9+CP9</f>
        <v>58197</v>
      </c>
      <c r="CR9" s="99">
        <v>28419</v>
      </c>
      <c r="CS9" s="99">
        <v>23055</v>
      </c>
      <c r="CT9" s="99">
        <f t="shared" ref="CT9:CT10" si="61">+CR9+CS9</f>
        <v>51474</v>
      </c>
      <c r="CU9" s="99">
        <v>1710</v>
      </c>
      <c r="CV9" s="99">
        <v>1729</v>
      </c>
      <c r="CW9" s="99">
        <f t="shared" ref="CW9" si="62">+CU9+CV9</f>
        <v>3439</v>
      </c>
      <c r="CX9" s="99">
        <f t="shared" ref="CX9" si="63">+CR9+CU9</f>
        <v>30129</v>
      </c>
      <c r="CY9" s="99">
        <f t="shared" ref="CY9:CY10" si="64">+CS9+CV9</f>
        <v>24784</v>
      </c>
      <c r="CZ9" s="99">
        <f t="shared" ref="CZ9:CZ10" si="65">+CT9+CW9</f>
        <v>54913</v>
      </c>
      <c r="DA9" s="116">
        <f t="shared" ref="DA9:DA10" si="66">CX9/CO9</f>
        <v>0.94463081987772379</v>
      </c>
      <c r="DB9" s="116">
        <f t="shared" ref="DB9:DB10" si="67">CY9/CP9</f>
        <v>0.94228575773705425</v>
      </c>
      <c r="DC9" s="116">
        <f t="shared" ref="DC9:DC10" si="68">CZ9/CQ9</f>
        <v>0.94357097444885474</v>
      </c>
      <c r="DD9" s="98">
        <v>47</v>
      </c>
      <c r="DE9" s="98">
        <v>44</v>
      </c>
      <c r="DF9" s="98">
        <f t="shared" ref="DF9:DF10" si="69">DD9+DE9</f>
        <v>91</v>
      </c>
      <c r="DG9" s="99">
        <v>7</v>
      </c>
      <c r="DH9" s="99">
        <v>5</v>
      </c>
      <c r="DI9" s="99">
        <f t="shared" ref="DI9:DI10" si="70">+DG9+DH9</f>
        <v>12</v>
      </c>
      <c r="DJ9" s="99">
        <v>9</v>
      </c>
      <c r="DK9" s="99">
        <v>6</v>
      </c>
      <c r="DL9" s="99">
        <f t="shared" ref="DL9" si="71">DJ9+DK9</f>
        <v>15</v>
      </c>
      <c r="DM9" s="99">
        <f t="shared" ref="DM9:DM10" si="72">+DG9+DJ9</f>
        <v>16</v>
      </c>
      <c r="DN9" s="99">
        <f t="shared" ref="DN9:DN10" si="73">+DH9+DK9</f>
        <v>11</v>
      </c>
      <c r="DO9" s="99">
        <f t="shared" ref="DO9:DO10" si="74">+DI9+DL9</f>
        <v>27</v>
      </c>
      <c r="DP9" s="116">
        <f t="shared" ref="DP9:DP10" si="75">DM9/DD9</f>
        <v>0.34042553191489361</v>
      </c>
      <c r="DQ9" s="116">
        <f t="shared" ref="DQ9:DQ10" si="76">DN9/DE9</f>
        <v>0.25</v>
      </c>
      <c r="DR9" s="116">
        <f t="shared" ref="DR9:DR10" si="77">DO9/DF9</f>
        <v>0.2967032967032967</v>
      </c>
      <c r="DS9" s="98">
        <f t="shared" ref="DS9:DS10" si="78">CO9+DD9</f>
        <v>31942</v>
      </c>
      <c r="DT9" s="98">
        <f t="shared" ref="DT9:DT10" si="79">CP9+DE9</f>
        <v>26346</v>
      </c>
      <c r="DU9" s="98">
        <f t="shared" ref="DU9:DU10" si="80">CQ9+DF9</f>
        <v>58288</v>
      </c>
      <c r="DV9" s="98">
        <f t="shared" ref="DV9:DV10" si="81">CR9+DG9</f>
        <v>28426</v>
      </c>
      <c r="DW9" s="98">
        <f t="shared" ref="DW9:DW10" si="82">CS9+DH9</f>
        <v>23060</v>
      </c>
      <c r="DX9" s="98">
        <f t="shared" ref="DX9:DX10" si="83">CT9+DI9</f>
        <v>51486</v>
      </c>
      <c r="DY9" s="98">
        <f t="shared" ref="DY9" si="84">CU9+DJ9</f>
        <v>1719</v>
      </c>
      <c r="DZ9" s="98">
        <f t="shared" ref="DZ9" si="85">CV9+DK9</f>
        <v>1735</v>
      </c>
      <c r="EA9" s="98">
        <f t="shared" ref="EA9" si="86">CW9+DL9</f>
        <v>3454</v>
      </c>
      <c r="EB9" s="98">
        <f t="shared" ref="EB9:EB10" si="87">CX9+DM9</f>
        <v>30145</v>
      </c>
      <c r="EC9" s="98">
        <f t="shared" ref="EC9:EC10" si="88">CY9+DN9</f>
        <v>24795</v>
      </c>
      <c r="ED9" s="98">
        <f t="shared" ref="ED9:ED10" si="89">CZ9+DO9</f>
        <v>54940</v>
      </c>
      <c r="EE9" s="116">
        <f t="shared" ref="EE9:EE10" si="90">EB9/DS9</f>
        <v>0.94374178197983849</v>
      </c>
      <c r="EF9" s="116">
        <f t="shared" ref="EF9:EF10" si="91">EC9/DT9</f>
        <v>0.94112958323844231</v>
      </c>
      <c r="EG9" s="116">
        <f t="shared" ref="EG9:EG10" si="92">ED9/DU9</f>
        <v>0.94256107603623385</v>
      </c>
      <c r="EH9" s="98">
        <f t="shared" ref="EH9:EH10" si="93">+AP9</f>
        <v>937047</v>
      </c>
      <c r="EI9" s="98">
        <f t="shared" ref="EI9:EI10" si="94">+AQ9</f>
        <v>637321</v>
      </c>
      <c r="EJ9" s="98">
        <f t="shared" ref="EJ9:EJ10" si="95">+AR9</f>
        <v>1574368</v>
      </c>
      <c r="EK9" s="98">
        <v>722048</v>
      </c>
      <c r="EL9" s="98">
        <v>512621</v>
      </c>
      <c r="EM9" s="98">
        <f t="shared" ref="EM9:EM12" si="96">EK9+EL9</f>
        <v>1234669</v>
      </c>
      <c r="EN9" s="100">
        <f t="shared" ref="EN9:EN10" si="97">+EK9*100/EH9</f>
        <v>77.055686641118328</v>
      </c>
      <c r="EO9" s="100">
        <f t="shared" ref="EO9:EO10" si="98">+EL9*100/EI9</f>
        <v>80.433721782272983</v>
      </c>
      <c r="EP9" s="100">
        <f t="shared" ref="EP9:EP10" si="99">+EM9*100/EJ9</f>
        <v>78.423151385190749</v>
      </c>
      <c r="EQ9" s="98">
        <f t="shared" ref="EQ9:EQ10" si="100">+CI9</f>
        <v>70628</v>
      </c>
      <c r="ER9" s="98">
        <f t="shared" ref="ER9:ER10" si="101">+CJ9</f>
        <v>50799</v>
      </c>
      <c r="ES9" s="98">
        <f t="shared" ref="ES9:ES10" si="102">+CK9</f>
        <v>121427</v>
      </c>
      <c r="ET9" s="98">
        <v>48272</v>
      </c>
      <c r="EU9" s="98">
        <v>33965</v>
      </c>
      <c r="EV9" s="98">
        <f t="shared" ref="EV9:EV10" si="103">ET9+EU9</f>
        <v>82237</v>
      </c>
      <c r="EW9" s="100">
        <f t="shared" ref="EW9:EW10" si="104">+ET9*100/EQ9</f>
        <v>68.346831285042754</v>
      </c>
      <c r="EX9" s="100">
        <f t="shared" ref="EX9:EX10" si="105">+EU9*100/ER9</f>
        <v>66.861552392763642</v>
      </c>
      <c r="EY9" s="100">
        <f t="shared" ref="EY9:EY10" si="106">+EV9*100/ES9</f>
        <v>67.72546468248413</v>
      </c>
      <c r="EZ9" s="98">
        <f t="shared" ref="EZ9:EZ10" si="107">+EB9</f>
        <v>30145</v>
      </c>
      <c r="FA9" s="98">
        <f t="shared" ref="FA9:FA10" si="108">+EC9</f>
        <v>24795</v>
      </c>
      <c r="FB9" s="98">
        <f t="shared" ref="FB9:FB10" si="109">+ED9</f>
        <v>54940</v>
      </c>
      <c r="FC9" s="98">
        <v>18425</v>
      </c>
      <c r="FD9" s="98">
        <v>15088</v>
      </c>
      <c r="FE9" s="98">
        <f t="shared" ref="FE9:FE10" si="110">FC9+FD9</f>
        <v>33513</v>
      </c>
      <c r="FF9" s="100">
        <f t="shared" ref="FF9:FF10" si="111">+FC9*100/EZ9</f>
        <v>61.121247304693981</v>
      </c>
      <c r="FG9" s="100">
        <f t="shared" ref="FG9:FG10" si="112">+FD9*100/FA9</f>
        <v>60.850978019762046</v>
      </c>
      <c r="FH9" s="100">
        <f t="shared" ref="FH9:FH10" si="113">+FE9*100/FB9</f>
        <v>60.999271933017837</v>
      </c>
    </row>
    <row r="10" spans="1:182" ht="28.5">
      <c r="A10" s="94">
        <v>2</v>
      </c>
      <c r="B10" s="118" t="s">
        <v>215</v>
      </c>
      <c r="C10" s="96">
        <v>96566</v>
      </c>
      <c r="D10" s="96">
        <v>78428</v>
      </c>
      <c r="E10" s="96">
        <f t="shared" si="0"/>
        <v>174994</v>
      </c>
      <c r="F10" s="96">
        <v>94841</v>
      </c>
      <c r="G10" s="96">
        <v>77703</v>
      </c>
      <c r="H10" s="96">
        <f t="shared" si="1"/>
        <v>172544</v>
      </c>
      <c r="I10" s="104"/>
      <c r="J10" s="104"/>
      <c r="K10" s="104"/>
      <c r="L10" s="97">
        <f t="shared" ref="L10" si="114">F10+I10</f>
        <v>94841</v>
      </c>
      <c r="M10" s="98">
        <f t="shared" ref="M10" si="115">G10+J10</f>
        <v>77703</v>
      </c>
      <c r="N10" s="98">
        <f t="shared" ref="N10" si="116">H10+K10</f>
        <v>172544</v>
      </c>
      <c r="O10" s="116">
        <f t="shared" si="6"/>
        <v>0.98213656980717856</v>
      </c>
      <c r="P10" s="116">
        <f t="shared" si="7"/>
        <v>0.99075585250165754</v>
      </c>
      <c r="Q10" s="116">
        <f t="shared" si="8"/>
        <v>0.98599951998354229</v>
      </c>
      <c r="R10" s="98">
        <v>203</v>
      </c>
      <c r="S10" s="98">
        <v>102</v>
      </c>
      <c r="T10" s="98">
        <f t="shared" si="9"/>
        <v>305</v>
      </c>
      <c r="U10" s="98">
        <v>121</v>
      </c>
      <c r="V10" s="98">
        <v>67</v>
      </c>
      <c r="W10" s="98">
        <f t="shared" ref="W10" si="117">U10+V10</f>
        <v>188</v>
      </c>
      <c r="X10" s="103"/>
      <c r="Y10" s="103"/>
      <c r="Z10" s="103"/>
      <c r="AA10" s="98">
        <f>U10+X10</f>
        <v>121</v>
      </c>
      <c r="AB10" s="98">
        <f t="shared" ref="AB10" si="118">V10+Y10</f>
        <v>67</v>
      </c>
      <c r="AC10" s="98">
        <f t="shared" ref="AC10" si="119">W10+Z10</f>
        <v>188</v>
      </c>
      <c r="AD10" s="116">
        <f t="shared" si="12"/>
        <v>0.59605911330049266</v>
      </c>
      <c r="AE10" s="116">
        <f t="shared" si="13"/>
        <v>0.65686274509803921</v>
      </c>
      <c r="AF10" s="116">
        <f t="shared" si="14"/>
        <v>0.61639344262295082</v>
      </c>
      <c r="AG10" s="98">
        <f t="shared" si="15"/>
        <v>96769</v>
      </c>
      <c r="AH10" s="98">
        <f t="shared" si="16"/>
        <v>78530</v>
      </c>
      <c r="AI10" s="98">
        <f t="shared" si="17"/>
        <v>175299</v>
      </c>
      <c r="AJ10" s="98">
        <f t="shared" si="18"/>
        <v>94962</v>
      </c>
      <c r="AK10" s="98">
        <f t="shared" si="19"/>
        <v>77770</v>
      </c>
      <c r="AL10" s="98">
        <f t="shared" si="20"/>
        <v>172732</v>
      </c>
      <c r="AM10" s="103"/>
      <c r="AN10" s="103"/>
      <c r="AO10" s="103"/>
      <c r="AP10" s="98">
        <f t="shared" si="24"/>
        <v>94962</v>
      </c>
      <c r="AQ10" s="98">
        <f t="shared" si="25"/>
        <v>77770</v>
      </c>
      <c r="AR10" s="98">
        <f t="shared" ref="AR10" si="120">N10+AC10</f>
        <v>172732</v>
      </c>
      <c r="AS10" s="116">
        <f t="shared" si="26"/>
        <v>0.98132666453099648</v>
      </c>
      <c r="AT10" s="116">
        <f t="shared" si="27"/>
        <v>0.99032216987138677</v>
      </c>
      <c r="AU10" s="116">
        <f t="shared" si="28"/>
        <v>0.98535644812577372</v>
      </c>
      <c r="AV10" s="99">
        <v>4666</v>
      </c>
      <c r="AW10" s="99">
        <v>3537</v>
      </c>
      <c r="AX10" s="99">
        <f t="shared" si="29"/>
        <v>8203</v>
      </c>
      <c r="AY10" s="99">
        <v>4541</v>
      </c>
      <c r="AZ10" s="99">
        <v>3473</v>
      </c>
      <c r="BA10" s="99">
        <f t="shared" si="30"/>
        <v>8014</v>
      </c>
      <c r="BB10" s="104"/>
      <c r="BC10" s="104"/>
      <c r="BD10" s="104"/>
      <c r="BE10" s="99">
        <f t="shared" si="32"/>
        <v>4541</v>
      </c>
      <c r="BF10" s="99">
        <f t="shared" ref="BF10" si="121">+AZ10+BC10</f>
        <v>3473</v>
      </c>
      <c r="BG10" s="99">
        <f t="shared" ref="BG10" si="122">+BA10+BD10</f>
        <v>8014</v>
      </c>
      <c r="BH10" s="116">
        <f t="shared" si="33"/>
        <v>0.97321045863694811</v>
      </c>
      <c r="BI10" s="116">
        <f t="shared" si="34"/>
        <v>0.98190556969182918</v>
      </c>
      <c r="BJ10" s="116">
        <f t="shared" si="35"/>
        <v>0.97695964890893572</v>
      </c>
      <c r="BK10" s="98">
        <v>18</v>
      </c>
      <c r="BL10" s="98">
        <v>7</v>
      </c>
      <c r="BM10" s="98">
        <f t="shared" si="36"/>
        <v>25</v>
      </c>
      <c r="BN10" s="99">
        <v>14</v>
      </c>
      <c r="BO10" s="99">
        <v>6</v>
      </c>
      <c r="BP10" s="99">
        <f t="shared" si="37"/>
        <v>20</v>
      </c>
      <c r="BQ10" s="104"/>
      <c r="BR10" s="104"/>
      <c r="BS10" s="104"/>
      <c r="BT10" s="99">
        <f t="shared" ref="BT10" si="123">+BN10+BQ10</f>
        <v>14</v>
      </c>
      <c r="BU10" s="99">
        <f t="shared" ref="BU10" si="124">+BO10+BR10</f>
        <v>6</v>
      </c>
      <c r="BV10" s="99">
        <f t="shared" ref="BV10" si="125">+BP10+BS10</f>
        <v>20</v>
      </c>
      <c r="BW10" s="116">
        <f t="shared" si="42"/>
        <v>0.77777777777777779</v>
      </c>
      <c r="BX10" s="116">
        <f t="shared" si="43"/>
        <v>0.8571428571428571</v>
      </c>
      <c r="BY10" s="116">
        <f t="shared" si="44"/>
        <v>0.8</v>
      </c>
      <c r="BZ10" s="98">
        <f t="shared" ref="BZ10" si="126">AV10+BK10</f>
        <v>4684</v>
      </c>
      <c r="CA10" s="98">
        <f t="shared" ref="CA10" si="127">AW10+BL10</f>
        <v>3544</v>
      </c>
      <c r="CB10" s="98">
        <f t="shared" ref="CB10" si="128">AX10+BM10</f>
        <v>8228</v>
      </c>
      <c r="CC10" s="98">
        <f t="shared" si="48"/>
        <v>4555</v>
      </c>
      <c r="CD10" s="98">
        <f t="shared" si="49"/>
        <v>3479</v>
      </c>
      <c r="CE10" s="98">
        <f t="shared" si="50"/>
        <v>8034</v>
      </c>
      <c r="CF10" s="103"/>
      <c r="CG10" s="103"/>
      <c r="CH10" s="103"/>
      <c r="CI10" s="98">
        <f t="shared" si="54"/>
        <v>4555</v>
      </c>
      <c r="CJ10" s="98">
        <f t="shared" si="55"/>
        <v>3479</v>
      </c>
      <c r="CK10" s="98">
        <f t="shared" si="56"/>
        <v>8034</v>
      </c>
      <c r="CL10" s="116">
        <f t="shared" si="57"/>
        <v>0.9724594363791631</v>
      </c>
      <c r="CM10" s="116">
        <f t="shared" si="58"/>
        <v>0.98165914221218964</v>
      </c>
      <c r="CN10" s="116">
        <f t="shared" si="59"/>
        <v>0.97642197374817696</v>
      </c>
      <c r="CO10" s="99">
        <v>3058</v>
      </c>
      <c r="CP10" s="99">
        <v>2729</v>
      </c>
      <c r="CQ10" s="99">
        <f t="shared" si="60"/>
        <v>5787</v>
      </c>
      <c r="CR10" s="99">
        <v>2972</v>
      </c>
      <c r="CS10" s="99">
        <v>2661</v>
      </c>
      <c r="CT10" s="99">
        <f t="shared" si="61"/>
        <v>5633</v>
      </c>
      <c r="CU10" s="104"/>
      <c r="CV10" s="104"/>
      <c r="CW10" s="104"/>
      <c r="CX10" s="99">
        <f>+CR10+CU10</f>
        <v>2972</v>
      </c>
      <c r="CY10" s="99">
        <f t="shared" si="64"/>
        <v>2661</v>
      </c>
      <c r="CZ10" s="99">
        <f t="shared" si="65"/>
        <v>5633</v>
      </c>
      <c r="DA10" s="116">
        <f t="shared" si="66"/>
        <v>0.97187704381948992</v>
      </c>
      <c r="DB10" s="116">
        <f t="shared" si="67"/>
        <v>0.97508244778307074</v>
      </c>
      <c r="DC10" s="116">
        <f t="shared" si="68"/>
        <v>0.97338862968722994</v>
      </c>
      <c r="DD10" s="98">
        <v>14</v>
      </c>
      <c r="DE10" s="98">
        <v>9</v>
      </c>
      <c r="DF10" s="98">
        <f t="shared" si="69"/>
        <v>23</v>
      </c>
      <c r="DG10" s="99">
        <v>6</v>
      </c>
      <c r="DH10" s="99">
        <v>7</v>
      </c>
      <c r="DI10" s="99">
        <f t="shared" si="70"/>
        <v>13</v>
      </c>
      <c r="DJ10" s="104"/>
      <c r="DK10" s="104"/>
      <c r="DL10" s="104"/>
      <c r="DM10" s="99">
        <f t="shared" si="72"/>
        <v>6</v>
      </c>
      <c r="DN10" s="99">
        <f t="shared" si="73"/>
        <v>7</v>
      </c>
      <c r="DO10" s="99">
        <f t="shared" si="74"/>
        <v>13</v>
      </c>
      <c r="DP10" s="116">
        <f t="shared" si="75"/>
        <v>0.42857142857142855</v>
      </c>
      <c r="DQ10" s="116">
        <f t="shared" si="76"/>
        <v>0.77777777777777779</v>
      </c>
      <c r="DR10" s="116">
        <f t="shared" si="77"/>
        <v>0.56521739130434778</v>
      </c>
      <c r="DS10" s="98">
        <f t="shared" si="78"/>
        <v>3072</v>
      </c>
      <c r="DT10" s="98">
        <f t="shared" si="79"/>
        <v>2738</v>
      </c>
      <c r="DU10" s="98">
        <f t="shared" si="80"/>
        <v>5810</v>
      </c>
      <c r="DV10" s="98">
        <f t="shared" si="81"/>
        <v>2978</v>
      </c>
      <c r="DW10" s="98">
        <f t="shared" si="82"/>
        <v>2668</v>
      </c>
      <c r="DX10" s="98">
        <f t="shared" si="83"/>
        <v>5646</v>
      </c>
      <c r="DY10" s="103"/>
      <c r="DZ10" s="103"/>
      <c r="EA10" s="103"/>
      <c r="EB10" s="98">
        <f t="shared" si="87"/>
        <v>2978</v>
      </c>
      <c r="EC10" s="98">
        <f t="shared" si="88"/>
        <v>2668</v>
      </c>
      <c r="ED10" s="98">
        <f t="shared" si="89"/>
        <v>5646</v>
      </c>
      <c r="EE10" s="116">
        <f t="shared" si="90"/>
        <v>0.96940104166666663</v>
      </c>
      <c r="EF10" s="116">
        <f t="shared" si="91"/>
        <v>0.97443389335281227</v>
      </c>
      <c r="EG10" s="116">
        <f t="shared" si="92"/>
        <v>0.97177280550774525</v>
      </c>
      <c r="EH10" s="98">
        <f t="shared" si="93"/>
        <v>94962</v>
      </c>
      <c r="EI10" s="98">
        <f t="shared" si="94"/>
        <v>77770</v>
      </c>
      <c r="EJ10" s="98">
        <f t="shared" si="95"/>
        <v>172732</v>
      </c>
      <c r="EK10" s="98">
        <v>83269</v>
      </c>
      <c r="EL10" s="98">
        <v>71783</v>
      </c>
      <c r="EM10" s="98">
        <f t="shared" si="96"/>
        <v>155052</v>
      </c>
      <c r="EN10" s="100">
        <f t="shared" si="97"/>
        <v>87.686653608811952</v>
      </c>
      <c r="EO10" s="100">
        <f t="shared" si="98"/>
        <v>92.301658737302304</v>
      </c>
      <c r="EP10" s="100">
        <f t="shared" si="99"/>
        <v>89.764490656045197</v>
      </c>
      <c r="EQ10" s="98">
        <f t="shared" si="100"/>
        <v>4555</v>
      </c>
      <c r="ER10" s="98">
        <f t="shared" si="101"/>
        <v>3479</v>
      </c>
      <c r="ES10" s="98">
        <f t="shared" si="102"/>
        <v>8034</v>
      </c>
      <c r="ET10" s="98">
        <v>3732</v>
      </c>
      <c r="EU10" s="98">
        <v>2965</v>
      </c>
      <c r="EV10" s="98">
        <f t="shared" si="103"/>
        <v>6697</v>
      </c>
      <c r="EW10" s="100">
        <f t="shared" si="104"/>
        <v>81.931942919868277</v>
      </c>
      <c r="EX10" s="100">
        <f t="shared" si="105"/>
        <v>85.225639551595279</v>
      </c>
      <c r="EY10" s="100">
        <f t="shared" si="106"/>
        <v>83.358227532984813</v>
      </c>
      <c r="EZ10" s="98">
        <f t="shared" si="107"/>
        <v>2978</v>
      </c>
      <c r="FA10" s="98">
        <f t="shared" si="108"/>
        <v>2668</v>
      </c>
      <c r="FB10" s="98">
        <f t="shared" si="109"/>
        <v>5646</v>
      </c>
      <c r="FC10" s="98">
        <v>2150</v>
      </c>
      <c r="FD10" s="98">
        <v>2173</v>
      </c>
      <c r="FE10" s="98">
        <f t="shared" si="110"/>
        <v>4323</v>
      </c>
      <c r="FF10" s="100">
        <f t="shared" si="111"/>
        <v>72.19610476830087</v>
      </c>
      <c r="FG10" s="100">
        <f t="shared" si="112"/>
        <v>81.446776611694148</v>
      </c>
      <c r="FH10" s="100">
        <f t="shared" si="113"/>
        <v>76.567481402763022</v>
      </c>
    </row>
    <row r="11" spans="1:182" s="119" customFormat="1" ht="15.75" customHeight="1">
      <c r="A11" s="603" t="s">
        <v>217</v>
      </c>
      <c r="B11" s="603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161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3"/>
      <c r="AV11" s="628"/>
      <c r="AW11" s="628"/>
      <c r="AX11" s="628"/>
      <c r="AY11" s="628"/>
      <c r="AZ11" s="628"/>
      <c r="BA11" s="628"/>
      <c r="BB11" s="628"/>
      <c r="BC11" s="628"/>
      <c r="BD11" s="628"/>
      <c r="BE11" s="628"/>
      <c r="BF11" s="628"/>
      <c r="BG11" s="628"/>
      <c r="BH11" s="628"/>
      <c r="BI11" s="628"/>
      <c r="BJ11" s="628"/>
      <c r="BK11" s="628"/>
      <c r="BL11" s="628"/>
      <c r="BM11" s="628"/>
      <c r="BN11" s="628"/>
      <c r="BO11" s="628"/>
      <c r="BP11" s="628"/>
      <c r="BQ11" s="628"/>
      <c r="BR11" s="628"/>
      <c r="BS11" s="628"/>
      <c r="BT11" s="628"/>
      <c r="BU11" s="628"/>
      <c r="BV11" s="628"/>
      <c r="BW11" s="628"/>
      <c r="BX11" s="628"/>
      <c r="BY11" s="628"/>
      <c r="BZ11" s="628"/>
      <c r="CA11" s="628"/>
      <c r="CB11" s="628"/>
      <c r="CC11" s="628"/>
      <c r="CD11" s="628"/>
      <c r="CE11" s="628"/>
      <c r="CF11" s="628"/>
      <c r="CG11" s="628"/>
      <c r="CH11" s="628"/>
      <c r="CI11" s="628"/>
      <c r="CJ11" s="628"/>
      <c r="CK11" s="628"/>
      <c r="CL11" s="628"/>
      <c r="CM11" s="628"/>
      <c r="CN11" s="628"/>
      <c r="CO11" s="628"/>
      <c r="CP11" s="628"/>
      <c r="CQ11" s="628"/>
      <c r="CR11" s="628"/>
      <c r="CS11" s="628"/>
      <c r="CT11" s="628"/>
      <c r="CU11" s="628"/>
      <c r="CV11" s="628"/>
      <c r="CW11" s="628"/>
      <c r="CX11" s="628"/>
      <c r="CY11" s="628"/>
      <c r="CZ11" s="628"/>
      <c r="DA11" s="628"/>
      <c r="DB11" s="628"/>
      <c r="DC11" s="628"/>
      <c r="DD11" s="628"/>
      <c r="DE11" s="628"/>
      <c r="DF11" s="628"/>
      <c r="DG11" s="628"/>
      <c r="DH11" s="628"/>
      <c r="DI11" s="628"/>
      <c r="DJ11" s="628"/>
      <c r="DK11" s="628"/>
      <c r="DL11" s="628"/>
      <c r="DM11" s="628"/>
      <c r="DN11" s="628"/>
      <c r="DO11" s="628"/>
      <c r="DP11" s="628"/>
      <c r="DQ11" s="628"/>
      <c r="DR11" s="628"/>
      <c r="DS11" s="628"/>
      <c r="DT11" s="628"/>
      <c r="DU11" s="628"/>
      <c r="DV11" s="628"/>
      <c r="DW11" s="628"/>
      <c r="DX11" s="628"/>
      <c r="DY11" s="628"/>
      <c r="DZ11" s="628"/>
      <c r="EA11" s="628"/>
      <c r="EB11" s="628"/>
      <c r="EC11" s="628"/>
      <c r="ED11" s="628"/>
      <c r="EE11" s="628"/>
      <c r="EF11" s="628"/>
      <c r="EG11" s="628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</row>
    <row r="12" spans="1:182" ht="27" customHeight="1">
      <c r="A12" s="94">
        <v>3</v>
      </c>
      <c r="B12" s="372" t="s">
        <v>133</v>
      </c>
      <c r="C12" s="96">
        <v>314471</v>
      </c>
      <c r="D12" s="96">
        <v>295031</v>
      </c>
      <c r="E12" s="96">
        <f>C12+D12</f>
        <v>609502</v>
      </c>
      <c r="F12" s="96">
        <v>288909</v>
      </c>
      <c r="G12" s="96">
        <v>271344</v>
      </c>
      <c r="H12" s="96">
        <f>F12+G12</f>
        <v>560253</v>
      </c>
      <c r="I12" s="104"/>
      <c r="J12" s="104"/>
      <c r="K12" s="104"/>
      <c r="L12" s="97">
        <f t="shared" ref="L12:N14" si="129">F12+I12</f>
        <v>288909</v>
      </c>
      <c r="M12" s="98">
        <f t="shared" si="129"/>
        <v>271344</v>
      </c>
      <c r="N12" s="98">
        <f t="shared" si="129"/>
        <v>560253</v>
      </c>
      <c r="O12" s="116">
        <f>L12/C12</f>
        <v>0.91871428526000809</v>
      </c>
      <c r="P12" s="116">
        <f>M12/D12</f>
        <v>0.91971352162993036</v>
      </c>
      <c r="Q12" s="116">
        <f>N12/E12</f>
        <v>0.91919796817729882</v>
      </c>
      <c r="R12" s="98">
        <v>8340</v>
      </c>
      <c r="S12" s="98">
        <v>4696</v>
      </c>
      <c r="T12" s="98">
        <f>R12+S12</f>
        <v>13036</v>
      </c>
      <c r="U12" s="98">
        <v>5095</v>
      </c>
      <c r="V12" s="98">
        <v>3167</v>
      </c>
      <c r="W12" s="98">
        <f>U12+V12</f>
        <v>8262</v>
      </c>
      <c r="X12" s="103"/>
      <c r="Y12" s="103"/>
      <c r="Z12" s="103"/>
      <c r="AA12" s="98">
        <f t="shared" ref="AA12:AC13" si="130">U12+X12</f>
        <v>5095</v>
      </c>
      <c r="AB12" s="98">
        <f t="shared" si="130"/>
        <v>3167</v>
      </c>
      <c r="AC12" s="98">
        <f t="shared" si="130"/>
        <v>8262</v>
      </c>
      <c r="AD12" s="116">
        <f t="shared" ref="AD12:AF13" si="131">AA12/R12</f>
        <v>0.61091127098321341</v>
      </c>
      <c r="AE12" s="116">
        <f t="shared" si="131"/>
        <v>0.67440374787052815</v>
      </c>
      <c r="AF12" s="116">
        <f t="shared" si="131"/>
        <v>0.63378336913163547</v>
      </c>
      <c r="AG12" s="98">
        <f t="shared" ref="AG12:AL12" si="132">C12+R12</f>
        <v>322811</v>
      </c>
      <c r="AH12" s="98">
        <f t="shared" si="132"/>
        <v>299727</v>
      </c>
      <c r="AI12" s="98">
        <f t="shared" si="132"/>
        <v>622538</v>
      </c>
      <c r="AJ12" s="98">
        <f t="shared" si="132"/>
        <v>294004</v>
      </c>
      <c r="AK12" s="98">
        <f t="shared" si="132"/>
        <v>274511</v>
      </c>
      <c r="AL12" s="98">
        <f t="shared" si="132"/>
        <v>568515</v>
      </c>
      <c r="AM12" s="103"/>
      <c r="AN12" s="103"/>
      <c r="AO12" s="103"/>
      <c r="AP12" s="98">
        <f t="shared" ref="AP12:AR14" si="133">L12+AA12</f>
        <v>294004</v>
      </c>
      <c r="AQ12" s="98">
        <f t="shared" si="133"/>
        <v>274511</v>
      </c>
      <c r="AR12" s="98">
        <f t="shared" si="133"/>
        <v>568515</v>
      </c>
      <c r="AS12" s="116">
        <f>AP12/AG12</f>
        <v>0.91076202483806312</v>
      </c>
      <c r="AT12" s="116">
        <f>AQ12/AH12</f>
        <v>0.9158701084653702</v>
      </c>
      <c r="AU12" s="116">
        <f>AR12/AI12</f>
        <v>0.91322136158756573</v>
      </c>
      <c r="AV12" s="99">
        <v>58595</v>
      </c>
      <c r="AW12" s="99">
        <v>57980</v>
      </c>
      <c r="AX12" s="99">
        <f>+AV12+AW12</f>
        <v>116575</v>
      </c>
      <c r="AY12" s="99">
        <v>51610</v>
      </c>
      <c r="AZ12" s="99">
        <v>51191</v>
      </c>
      <c r="BA12" s="99">
        <f>+AY12+AZ12</f>
        <v>102801</v>
      </c>
      <c r="BB12" s="104"/>
      <c r="BC12" s="104"/>
      <c r="BD12" s="104"/>
      <c r="BE12" s="99">
        <f t="shared" ref="BE12:BG14" si="134">+AY12+BB12</f>
        <v>51610</v>
      </c>
      <c r="BF12" s="99">
        <f t="shared" si="134"/>
        <v>51191</v>
      </c>
      <c r="BG12" s="99">
        <f t="shared" si="134"/>
        <v>102801</v>
      </c>
      <c r="BH12" s="116">
        <f>BE12/AV12</f>
        <v>0.88079187643996926</v>
      </c>
      <c r="BI12" s="116">
        <f>BF12/AW12</f>
        <v>0.88290789927561231</v>
      </c>
      <c r="BJ12" s="116">
        <f>BG12/AX12</f>
        <v>0.8818443062406176</v>
      </c>
      <c r="BK12" s="98">
        <v>2425</v>
      </c>
      <c r="BL12" s="98">
        <v>1517</v>
      </c>
      <c r="BM12" s="98">
        <f>BK12+BL12</f>
        <v>3942</v>
      </c>
      <c r="BN12" s="99">
        <v>1379</v>
      </c>
      <c r="BO12" s="99">
        <v>964</v>
      </c>
      <c r="BP12" s="99">
        <f>BN12+BO12</f>
        <v>2343</v>
      </c>
      <c r="BQ12" s="104"/>
      <c r="BR12" s="104"/>
      <c r="BS12" s="104"/>
      <c r="BT12" s="99">
        <f>+BN12+BQ12</f>
        <v>1379</v>
      </c>
      <c r="BU12" s="99">
        <f>+BO12+BR12</f>
        <v>964</v>
      </c>
      <c r="BV12" s="99">
        <f>+BP12+BS12</f>
        <v>2343</v>
      </c>
      <c r="BW12" s="116">
        <f>BT12/BK12</f>
        <v>0.56865979381443299</v>
      </c>
      <c r="BX12" s="116">
        <f>BU12/BL12</f>
        <v>0.63546473302570861</v>
      </c>
      <c r="BY12" s="116">
        <f>BV12/BM12</f>
        <v>0.5943683409436834</v>
      </c>
      <c r="BZ12" s="98">
        <f t="shared" ref="BZ12:CE12" si="135">AV12+BK12</f>
        <v>61020</v>
      </c>
      <c r="CA12" s="98">
        <f t="shared" si="135"/>
        <v>59497</v>
      </c>
      <c r="CB12" s="98">
        <f t="shared" si="135"/>
        <v>120517</v>
      </c>
      <c r="CC12" s="98">
        <f t="shared" si="135"/>
        <v>52989</v>
      </c>
      <c r="CD12" s="98">
        <f t="shared" si="135"/>
        <v>52155</v>
      </c>
      <c r="CE12" s="98">
        <f t="shared" si="135"/>
        <v>105144</v>
      </c>
      <c r="CF12" s="103"/>
      <c r="CG12" s="103"/>
      <c r="CH12" s="103"/>
      <c r="CI12" s="98">
        <f t="shared" ref="CI12:CK14" si="136">BE12+BT12</f>
        <v>52989</v>
      </c>
      <c r="CJ12" s="98">
        <f t="shared" si="136"/>
        <v>52155</v>
      </c>
      <c r="CK12" s="98">
        <f t="shared" si="136"/>
        <v>105144</v>
      </c>
      <c r="CL12" s="116">
        <f>CI12/BZ12</f>
        <v>0.86838741396263519</v>
      </c>
      <c r="CM12" s="116">
        <f>CJ12/CA12</f>
        <v>0.87659882010857693</v>
      </c>
      <c r="CN12" s="116">
        <f>CK12/CB12</f>
        <v>0.87244123235726079</v>
      </c>
      <c r="CO12" s="99">
        <v>14898</v>
      </c>
      <c r="CP12" s="99">
        <v>14787</v>
      </c>
      <c r="CQ12" s="99">
        <f>+CO12+CP12</f>
        <v>29685</v>
      </c>
      <c r="CR12" s="99">
        <v>12543</v>
      </c>
      <c r="CS12" s="99">
        <v>12328</v>
      </c>
      <c r="CT12" s="99">
        <f>+CR12+CS12</f>
        <v>24871</v>
      </c>
      <c r="CU12" s="104"/>
      <c r="CV12" s="104"/>
      <c r="CW12" s="104"/>
      <c r="CX12" s="99">
        <f>+CR12+CU12</f>
        <v>12543</v>
      </c>
      <c r="CY12" s="99">
        <f>+CS12+CV12</f>
        <v>12328</v>
      </c>
      <c r="CZ12" s="99">
        <f>+CT12+CW12</f>
        <v>24871</v>
      </c>
      <c r="DA12" s="116">
        <f t="shared" ref="DA12:DC14" si="137">CX12/CO12</f>
        <v>0.84192509061619014</v>
      </c>
      <c r="DB12" s="116">
        <f t="shared" si="137"/>
        <v>0.83370528166632851</v>
      </c>
      <c r="DC12" s="116">
        <f t="shared" si="137"/>
        <v>0.83783055415192853</v>
      </c>
      <c r="DD12" s="98">
        <v>441</v>
      </c>
      <c r="DE12" s="98">
        <v>336</v>
      </c>
      <c r="DF12" s="98">
        <f>DD12+DE12</f>
        <v>777</v>
      </c>
      <c r="DG12" s="99">
        <v>256</v>
      </c>
      <c r="DH12" s="99">
        <v>209</v>
      </c>
      <c r="DI12" s="99">
        <f>+DG12+DH12</f>
        <v>465</v>
      </c>
      <c r="DJ12" s="104"/>
      <c r="DK12" s="104"/>
      <c r="DL12" s="104"/>
      <c r="DM12" s="99">
        <f>+DG12+DJ12</f>
        <v>256</v>
      </c>
      <c r="DN12" s="99">
        <f>+DH12+DK12</f>
        <v>209</v>
      </c>
      <c r="DO12" s="99">
        <f>+DI12+DL12</f>
        <v>465</v>
      </c>
      <c r="DP12" s="116">
        <f t="shared" ref="DP12:DR13" si="138">DM12/DD12</f>
        <v>0.58049886621315194</v>
      </c>
      <c r="DQ12" s="116">
        <f t="shared" si="138"/>
        <v>0.62202380952380953</v>
      </c>
      <c r="DR12" s="116">
        <f t="shared" si="138"/>
        <v>0.59845559845559848</v>
      </c>
      <c r="DS12" s="98">
        <f t="shared" ref="DS12:DX12" si="139">CO12+DD12</f>
        <v>15339</v>
      </c>
      <c r="DT12" s="98">
        <f t="shared" si="139"/>
        <v>15123</v>
      </c>
      <c r="DU12" s="98">
        <f t="shared" si="139"/>
        <v>30462</v>
      </c>
      <c r="DV12" s="98">
        <f t="shared" si="139"/>
        <v>12799</v>
      </c>
      <c r="DW12" s="98">
        <f t="shared" si="139"/>
        <v>12537</v>
      </c>
      <c r="DX12" s="98">
        <f t="shared" si="139"/>
        <v>25336</v>
      </c>
      <c r="DY12" s="103"/>
      <c r="DZ12" s="103"/>
      <c r="EA12" s="103"/>
      <c r="EB12" s="98">
        <f>CX12+DM12</f>
        <v>12799</v>
      </c>
      <c r="EC12" s="98">
        <f>CY12+DN12</f>
        <v>12537</v>
      </c>
      <c r="ED12" s="98">
        <f>CZ12+DO12</f>
        <v>25336</v>
      </c>
      <c r="EE12" s="116">
        <f>EB12/DS12</f>
        <v>0.83440902275246109</v>
      </c>
      <c r="EF12" s="116">
        <f>EC12/DT12</f>
        <v>0.82900218210672483</v>
      </c>
      <c r="EG12" s="116">
        <f>ED12/DU12</f>
        <v>0.8317247718468912</v>
      </c>
      <c r="EH12" s="98">
        <f>+AP12</f>
        <v>294004</v>
      </c>
      <c r="EI12" s="98">
        <f>+AQ12</f>
        <v>274511</v>
      </c>
      <c r="EJ12" s="98">
        <f>+AR12</f>
        <v>568515</v>
      </c>
      <c r="EK12" s="98">
        <v>275181</v>
      </c>
      <c r="EL12" s="98">
        <v>262344</v>
      </c>
      <c r="EM12" s="98">
        <f t="shared" si="96"/>
        <v>537525</v>
      </c>
      <c r="EN12" s="379">
        <f t="shared" ref="EN12" si="140">+EK12*100/EH12</f>
        <v>93.597706153657768</v>
      </c>
      <c r="EO12" s="379">
        <f t="shared" ref="EO12" si="141">+EL12*100/EI12</f>
        <v>95.56775502621025</v>
      </c>
      <c r="EP12" s="379">
        <f t="shared" ref="EP12" si="142">+EM12*100/EJ12</f>
        <v>94.548956491913145</v>
      </c>
      <c r="EQ12" s="98">
        <f>+CI12</f>
        <v>52989</v>
      </c>
      <c r="ER12" s="98">
        <f>+CJ12</f>
        <v>52155</v>
      </c>
      <c r="ES12" s="98">
        <f>+CK12</f>
        <v>105144</v>
      </c>
      <c r="ET12" s="380">
        <v>47638</v>
      </c>
      <c r="EU12" s="380">
        <v>48498</v>
      </c>
      <c r="EV12" s="380">
        <f t="shared" ref="EV12" si="143">ET12+EU12</f>
        <v>96136</v>
      </c>
      <c r="EW12" s="381">
        <f t="shared" ref="EW12" si="144">+ET12*100/EQ12</f>
        <v>89.901677706693846</v>
      </c>
      <c r="EX12" s="381">
        <f t="shared" ref="EX12" si="145">+EU12*100/ER12</f>
        <v>92.988208225481742</v>
      </c>
      <c r="EY12" s="381">
        <f t="shared" ref="EY12" si="146">+EV12*100/ES12</f>
        <v>91.432701818458497</v>
      </c>
      <c r="EZ12" s="98">
        <f>+EB12</f>
        <v>12799</v>
      </c>
      <c r="FA12" s="98">
        <f>+EC12</f>
        <v>12537</v>
      </c>
      <c r="FB12" s="98">
        <f>+ED12</f>
        <v>25336</v>
      </c>
      <c r="FC12" s="380">
        <v>11534</v>
      </c>
      <c r="FD12" s="380">
        <v>11576</v>
      </c>
      <c r="FE12" s="380">
        <f t="shared" ref="FE12" si="147">FC12+FD12</f>
        <v>23110</v>
      </c>
      <c r="FF12" s="381">
        <f t="shared" ref="FF12" si="148">+FC12*100/EZ12</f>
        <v>90.11641534494882</v>
      </c>
      <c r="FG12" s="381">
        <f t="shared" ref="FG12" si="149">+FD12*100/FA12</f>
        <v>92.334689319613943</v>
      </c>
      <c r="FH12" s="381">
        <f t="shared" ref="FH12" si="150">+FE12*100/FB12</f>
        <v>91.214082728133874</v>
      </c>
    </row>
    <row r="13" spans="1:182" ht="27" customHeight="1">
      <c r="A13" s="94">
        <v>4</v>
      </c>
      <c r="B13" s="118" t="s">
        <v>213</v>
      </c>
      <c r="C13" s="96">
        <v>257095</v>
      </c>
      <c r="D13" s="96">
        <v>250843</v>
      </c>
      <c r="E13" s="96">
        <f>C13+D13</f>
        <v>507938</v>
      </c>
      <c r="F13" s="96">
        <v>213264</v>
      </c>
      <c r="G13" s="96">
        <v>214150</v>
      </c>
      <c r="H13" s="96">
        <f>F13+G13</f>
        <v>427414</v>
      </c>
      <c r="I13" s="96">
        <v>29122</v>
      </c>
      <c r="J13" s="96">
        <v>24333</v>
      </c>
      <c r="K13" s="96">
        <f>I13+J13</f>
        <v>53455</v>
      </c>
      <c r="L13" s="97">
        <f t="shared" si="129"/>
        <v>242386</v>
      </c>
      <c r="M13" s="98">
        <f t="shared" si="129"/>
        <v>238483</v>
      </c>
      <c r="N13" s="98">
        <f t="shared" si="129"/>
        <v>480869</v>
      </c>
      <c r="O13" s="116">
        <f t="shared" ref="O13" si="151">L13/C13</f>
        <v>0.94278768548590985</v>
      </c>
      <c r="P13" s="116">
        <f>M13/D13</f>
        <v>0.95072615141742045</v>
      </c>
      <c r="Q13" s="116">
        <f>N13/E13</f>
        <v>0.94670806279506559</v>
      </c>
      <c r="R13" s="98">
        <v>16034</v>
      </c>
      <c r="S13" s="98">
        <v>9729</v>
      </c>
      <c r="T13" s="98">
        <f>R13+S13</f>
        <v>25763</v>
      </c>
      <c r="U13" s="98">
        <v>5466</v>
      </c>
      <c r="V13" s="98">
        <v>3788</v>
      </c>
      <c r="W13" s="98">
        <f>U13+V13</f>
        <v>9254</v>
      </c>
      <c r="X13" s="103"/>
      <c r="Y13" s="103"/>
      <c r="Z13" s="103"/>
      <c r="AA13" s="98">
        <f t="shared" si="130"/>
        <v>5466</v>
      </c>
      <c r="AB13" s="98">
        <f t="shared" si="130"/>
        <v>3788</v>
      </c>
      <c r="AC13" s="98">
        <f t="shared" si="130"/>
        <v>9254</v>
      </c>
      <c r="AD13" s="116">
        <f t="shared" si="131"/>
        <v>0.34090058625420983</v>
      </c>
      <c r="AE13" s="116">
        <f t="shared" si="131"/>
        <v>0.38935142357899066</v>
      </c>
      <c r="AF13" s="116">
        <f t="shared" si="131"/>
        <v>0.3591972984512673</v>
      </c>
      <c r="AG13" s="98">
        <f t="shared" ref="AG13" si="152">C13+R13</f>
        <v>273129</v>
      </c>
      <c r="AH13" s="98">
        <f t="shared" ref="AH13:AO14" si="153">D13+S13</f>
        <v>260572</v>
      </c>
      <c r="AI13" s="98">
        <f t="shared" si="153"/>
        <v>533701</v>
      </c>
      <c r="AJ13" s="98">
        <f t="shared" si="153"/>
        <v>218730</v>
      </c>
      <c r="AK13" s="98">
        <f t="shared" si="153"/>
        <v>217938</v>
      </c>
      <c r="AL13" s="98">
        <f t="shared" si="153"/>
        <v>436668</v>
      </c>
      <c r="AM13" s="98">
        <f t="shared" si="153"/>
        <v>29122</v>
      </c>
      <c r="AN13" s="98">
        <f t="shared" si="153"/>
        <v>24333</v>
      </c>
      <c r="AO13" s="98">
        <f t="shared" si="153"/>
        <v>53455</v>
      </c>
      <c r="AP13" s="98">
        <f t="shared" si="133"/>
        <v>247852</v>
      </c>
      <c r="AQ13" s="98">
        <f t="shared" si="133"/>
        <v>242271</v>
      </c>
      <c r="AR13" s="98">
        <f t="shared" si="133"/>
        <v>490123</v>
      </c>
      <c r="AS13" s="116">
        <f t="shared" ref="AS13" si="154">AP13/AG13</f>
        <v>0.90745398694389834</v>
      </c>
      <c r="AT13" s="116">
        <f>AQ13/AH13</f>
        <v>0.92976605314462024</v>
      </c>
      <c r="AU13" s="116">
        <f>AR13/AI13</f>
        <v>0.91834753916518796</v>
      </c>
      <c r="AV13" s="99">
        <v>44539</v>
      </c>
      <c r="AW13" s="99">
        <v>45083</v>
      </c>
      <c r="AX13" s="99">
        <f>+AV13+AW13</f>
        <v>89622</v>
      </c>
      <c r="AY13" s="99">
        <v>35489</v>
      </c>
      <c r="AZ13" s="99">
        <v>37046</v>
      </c>
      <c r="BA13" s="99">
        <f>+AY13+AZ13</f>
        <v>72535</v>
      </c>
      <c r="BB13" s="99">
        <v>5852</v>
      </c>
      <c r="BC13" s="99">
        <v>5331</v>
      </c>
      <c r="BD13" s="99">
        <f>+BB13+BC13</f>
        <v>11183</v>
      </c>
      <c r="BE13" s="99">
        <f t="shared" si="134"/>
        <v>41341</v>
      </c>
      <c r="BF13" s="99">
        <f t="shared" si="134"/>
        <v>42377</v>
      </c>
      <c r="BG13" s="99">
        <f t="shared" si="134"/>
        <v>83718</v>
      </c>
      <c r="BH13" s="116">
        <f t="shared" ref="BH13" si="155">BE13/AV13</f>
        <v>0.92819775926715908</v>
      </c>
      <c r="BI13" s="116">
        <f>BF13/AW13</f>
        <v>0.93997737506377121</v>
      </c>
      <c r="BJ13" s="116">
        <f>BG13/AX13</f>
        <v>0.93412331793532843</v>
      </c>
      <c r="BK13" s="98">
        <v>3295</v>
      </c>
      <c r="BL13" s="98">
        <v>2173</v>
      </c>
      <c r="BM13" s="98">
        <f>BK13+BL13</f>
        <v>5468</v>
      </c>
      <c r="BN13" s="99">
        <v>1099</v>
      </c>
      <c r="BO13" s="99">
        <v>768</v>
      </c>
      <c r="BP13" s="99">
        <f>BN13+BO13</f>
        <v>1867</v>
      </c>
      <c r="BQ13" s="104"/>
      <c r="BR13" s="104"/>
      <c r="BS13" s="104"/>
      <c r="BT13" s="99">
        <f>+BN13+BQ13</f>
        <v>1099</v>
      </c>
      <c r="BU13" s="99">
        <f t="shared" ref="BU13" si="156">+BO13+BR13</f>
        <v>768</v>
      </c>
      <c r="BV13" s="99">
        <f t="shared" ref="BV13" si="157">+BP13+BS13</f>
        <v>1867</v>
      </c>
      <c r="BW13" s="116">
        <f t="shared" ref="BW13" si="158">BT13/BK13</f>
        <v>0.33353566009104701</v>
      </c>
      <c r="BX13" s="116">
        <f>BU13/BL13</f>
        <v>0.3534284399447768</v>
      </c>
      <c r="BY13" s="116">
        <f>BV13/BM13</f>
        <v>0.34144111192392101</v>
      </c>
      <c r="BZ13" s="98">
        <f t="shared" ref="BZ13" si="159">AV13+BK13</f>
        <v>47834</v>
      </c>
      <c r="CA13" s="98">
        <f t="shared" ref="CA13" si="160">AW13+BL13</f>
        <v>47256</v>
      </c>
      <c r="CB13" s="98">
        <f>AX13+BM13</f>
        <v>95090</v>
      </c>
      <c r="CC13" s="98">
        <f t="shared" ref="CC13" si="161">AY13+BN13</f>
        <v>36588</v>
      </c>
      <c r="CD13" s="98">
        <f t="shared" ref="CD13" si="162">AZ13+BO13</f>
        <v>37814</v>
      </c>
      <c r="CE13" s="98">
        <f>BA13+BP13</f>
        <v>74402</v>
      </c>
      <c r="CF13" s="98">
        <f t="shared" ref="CF13" si="163">BB13+BQ13</f>
        <v>5852</v>
      </c>
      <c r="CG13" s="98">
        <f t="shared" ref="CG13" si="164">BC13+BR13</f>
        <v>5331</v>
      </c>
      <c r="CH13" s="98">
        <f>BD13+BS13</f>
        <v>11183</v>
      </c>
      <c r="CI13" s="98">
        <f t="shared" si="136"/>
        <v>42440</v>
      </c>
      <c r="CJ13" s="98">
        <f t="shared" si="136"/>
        <v>43145</v>
      </c>
      <c r="CK13" s="98">
        <f t="shared" si="136"/>
        <v>85585</v>
      </c>
      <c r="CL13" s="116">
        <f t="shared" ref="CL13" si="165">CI13/BZ13</f>
        <v>0.88723502111468833</v>
      </c>
      <c r="CM13" s="116">
        <f t="shared" ref="CM13" si="166">CJ13/CA13</f>
        <v>0.91300575588285082</v>
      </c>
      <c r="CN13" s="116">
        <f t="shared" ref="CN13" si="167">CK13/CB13</f>
        <v>0.90004206541171516</v>
      </c>
      <c r="CO13" s="99">
        <v>25213</v>
      </c>
      <c r="CP13" s="99">
        <v>24041</v>
      </c>
      <c r="CQ13" s="99">
        <f>+CO13+CP13</f>
        <v>49254</v>
      </c>
      <c r="CR13" s="99">
        <v>20652</v>
      </c>
      <c r="CS13" s="99">
        <v>19558</v>
      </c>
      <c r="CT13" s="99">
        <f>+CR13+CS13</f>
        <v>40210</v>
      </c>
      <c r="CU13" s="99">
        <v>2692</v>
      </c>
      <c r="CV13" s="99">
        <v>2629</v>
      </c>
      <c r="CW13" s="99">
        <f>+CU13+CV13</f>
        <v>5321</v>
      </c>
      <c r="CX13" s="99">
        <f t="shared" ref="CX13" si="168">+CR13+CU13</f>
        <v>23344</v>
      </c>
      <c r="CY13" s="99">
        <f>+CS13+CV13</f>
        <v>22187</v>
      </c>
      <c r="CZ13" s="99">
        <f>+CT13+CW13</f>
        <v>45531</v>
      </c>
      <c r="DA13" s="116">
        <f t="shared" si="137"/>
        <v>0.92587157418791888</v>
      </c>
      <c r="DB13" s="116">
        <f t="shared" si="137"/>
        <v>0.92288174368786657</v>
      </c>
      <c r="DC13" s="116">
        <f t="shared" si="137"/>
        <v>0.92441223047874288</v>
      </c>
      <c r="DD13" s="98">
        <v>1450</v>
      </c>
      <c r="DE13" s="98">
        <v>1086</v>
      </c>
      <c r="DF13" s="98">
        <f>DD13+DE13</f>
        <v>2536</v>
      </c>
      <c r="DG13" s="99">
        <v>519</v>
      </c>
      <c r="DH13" s="99">
        <v>370</v>
      </c>
      <c r="DI13" s="99">
        <f>+DG13+DH13</f>
        <v>889</v>
      </c>
      <c r="DJ13" s="104"/>
      <c r="DK13" s="104"/>
      <c r="DL13" s="104"/>
      <c r="DM13" s="99">
        <f t="shared" ref="DM13" si="169">+DG13+DJ13</f>
        <v>519</v>
      </c>
      <c r="DN13" s="99">
        <f>+DH13+DK13</f>
        <v>370</v>
      </c>
      <c r="DO13" s="99">
        <f>+DI13+DL13</f>
        <v>889</v>
      </c>
      <c r="DP13" s="116">
        <f t="shared" si="138"/>
        <v>0.35793103448275865</v>
      </c>
      <c r="DQ13" s="116">
        <f t="shared" si="138"/>
        <v>0.3406998158379374</v>
      </c>
      <c r="DR13" s="116">
        <f t="shared" si="138"/>
        <v>0.35055205047318611</v>
      </c>
      <c r="DS13" s="98">
        <f t="shared" ref="DS13:DU14" si="170">CO13+DD13</f>
        <v>26663</v>
      </c>
      <c r="DT13" s="98">
        <f t="shared" si="170"/>
        <v>25127</v>
      </c>
      <c r="DU13" s="98">
        <f t="shared" si="170"/>
        <v>51790</v>
      </c>
      <c r="DV13" s="98">
        <f t="shared" ref="DV13" si="171">CR13+DG13</f>
        <v>21171</v>
      </c>
      <c r="DW13" s="98">
        <f t="shared" ref="DW13" si="172">CS13+DH13</f>
        <v>19928</v>
      </c>
      <c r="DX13" s="98">
        <f>CT13+DI13</f>
        <v>41099</v>
      </c>
      <c r="DY13" s="98">
        <f t="shared" ref="DY13" si="173">CU13+DJ13</f>
        <v>2692</v>
      </c>
      <c r="DZ13" s="98">
        <f t="shared" ref="DZ13" si="174">CV13+DK13</f>
        <v>2629</v>
      </c>
      <c r="EA13" s="98">
        <f>CW13+DL13</f>
        <v>5321</v>
      </c>
      <c r="EB13" s="98">
        <f t="shared" ref="EB13" si="175">CX13+DM13</f>
        <v>23863</v>
      </c>
      <c r="EC13" s="98">
        <f t="shared" ref="EC13" si="176">CY13+DN13</f>
        <v>22557</v>
      </c>
      <c r="ED13" s="98">
        <f>CZ13+DO13</f>
        <v>46420</v>
      </c>
      <c r="EE13" s="116">
        <f t="shared" ref="EE13" si="177">EB13/DS13</f>
        <v>0.89498556051457079</v>
      </c>
      <c r="EF13" s="116">
        <f t="shared" ref="EF13" si="178">EC13/DT13</f>
        <v>0.89771958451068568</v>
      </c>
      <c r="EG13" s="116">
        <f>ED13/DU13</f>
        <v>0.89631202934929521</v>
      </c>
      <c r="EH13" s="98">
        <f t="shared" ref="EH13" si="179">+AP13</f>
        <v>247852</v>
      </c>
      <c r="EI13" s="98">
        <f>+AQ13</f>
        <v>242271</v>
      </c>
      <c r="EJ13" s="98">
        <f>+AR13</f>
        <v>490123</v>
      </c>
      <c r="EK13" s="103"/>
      <c r="EL13" s="103"/>
      <c r="EM13" s="103"/>
      <c r="EN13" s="103"/>
      <c r="EO13" s="103"/>
      <c r="EP13" s="103"/>
      <c r="EQ13" s="98">
        <f t="shared" ref="EQ13" si="180">+CI13</f>
        <v>42440</v>
      </c>
      <c r="ER13" s="98">
        <f>+CJ13</f>
        <v>43145</v>
      </c>
      <c r="ES13" s="98">
        <f>+CK13</f>
        <v>85585</v>
      </c>
      <c r="ET13" s="103"/>
      <c r="EU13" s="103"/>
      <c r="EV13" s="103"/>
      <c r="EW13" s="110"/>
      <c r="EX13" s="110"/>
      <c r="EY13" s="110"/>
      <c r="EZ13" s="98">
        <f t="shared" ref="EZ13" si="181">+EB13</f>
        <v>23863</v>
      </c>
      <c r="FA13" s="98">
        <f>+EC13</f>
        <v>22557</v>
      </c>
      <c r="FB13" s="98">
        <f>+ED13</f>
        <v>46420</v>
      </c>
      <c r="FC13" s="103"/>
      <c r="FD13" s="103"/>
      <c r="FE13" s="103"/>
      <c r="FF13" s="110"/>
      <c r="FG13" s="110"/>
      <c r="FH13" s="110"/>
    </row>
    <row r="14" spans="1:182" ht="27" customHeight="1">
      <c r="A14" s="94">
        <v>5</v>
      </c>
      <c r="B14" s="118" t="s">
        <v>134</v>
      </c>
      <c r="C14" s="96">
        <v>188722</v>
      </c>
      <c r="D14" s="96">
        <v>194034</v>
      </c>
      <c r="E14" s="96">
        <f>C14+D14</f>
        <v>382756</v>
      </c>
      <c r="F14" s="96">
        <v>93479</v>
      </c>
      <c r="G14" s="96">
        <v>90464</v>
      </c>
      <c r="H14" s="96">
        <f>F14+G14</f>
        <v>183943</v>
      </c>
      <c r="I14" s="96">
        <v>17722</v>
      </c>
      <c r="J14" s="96">
        <v>16531</v>
      </c>
      <c r="K14" s="96">
        <f>I14+J14</f>
        <v>34253</v>
      </c>
      <c r="L14" s="97">
        <f t="shared" si="129"/>
        <v>111201</v>
      </c>
      <c r="M14" s="98">
        <f t="shared" si="129"/>
        <v>106995</v>
      </c>
      <c r="N14" s="98">
        <f t="shared" si="129"/>
        <v>218196</v>
      </c>
      <c r="O14" s="116">
        <f>L14/C14</f>
        <v>0.58923178007863419</v>
      </c>
      <c r="P14" s="116">
        <f>M14/D14</f>
        <v>0.55142397724110204</v>
      </c>
      <c r="Q14" s="116">
        <f>N14/E14</f>
        <v>0.57006552477296246</v>
      </c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12"/>
      <c r="AE14" s="112"/>
      <c r="AF14" s="112"/>
      <c r="AG14" s="98">
        <f>C14+R14</f>
        <v>188722</v>
      </c>
      <c r="AH14" s="98">
        <f t="shared" si="153"/>
        <v>194034</v>
      </c>
      <c r="AI14" s="98">
        <f t="shared" si="153"/>
        <v>382756</v>
      </c>
      <c r="AJ14" s="98">
        <f t="shared" si="153"/>
        <v>93479</v>
      </c>
      <c r="AK14" s="98">
        <f t="shared" si="153"/>
        <v>90464</v>
      </c>
      <c r="AL14" s="98">
        <f t="shared" si="153"/>
        <v>183943</v>
      </c>
      <c r="AM14" s="98">
        <f t="shared" si="153"/>
        <v>17722</v>
      </c>
      <c r="AN14" s="98">
        <f t="shared" si="153"/>
        <v>16531</v>
      </c>
      <c r="AO14" s="98">
        <f t="shared" si="153"/>
        <v>34253</v>
      </c>
      <c r="AP14" s="98">
        <f t="shared" si="133"/>
        <v>111201</v>
      </c>
      <c r="AQ14" s="98">
        <f t="shared" si="133"/>
        <v>106995</v>
      </c>
      <c r="AR14" s="98">
        <f t="shared" si="133"/>
        <v>218196</v>
      </c>
      <c r="AS14" s="116">
        <f>AP14/AG14</f>
        <v>0.58923178007863419</v>
      </c>
      <c r="AT14" s="116">
        <f>AQ14/AH14</f>
        <v>0.55142397724110204</v>
      </c>
      <c r="AU14" s="116">
        <f>AR14/AI14</f>
        <v>0.57006552477296246</v>
      </c>
      <c r="AV14" s="99">
        <v>17883</v>
      </c>
      <c r="AW14" s="99">
        <v>18381</v>
      </c>
      <c r="AX14" s="99">
        <f>+AV14+AW14</f>
        <v>36264</v>
      </c>
      <c r="AY14" s="99">
        <v>7656</v>
      </c>
      <c r="AZ14" s="99">
        <v>7191</v>
      </c>
      <c r="BA14" s="99">
        <f>+AY14+AZ14</f>
        <v>14847</v>
      </c>
      <c r="BB14" s="99">
        <v>1889</v>
      </c>
      <c r="BC14" s="99">
        <v>1770</v>
      </c>
      <c r="BD14" s="99">
        <f>+BB14+BC14</f>
        <v>3659</v>
      </c>
      <c r="BE14" s="99">
        <f t="shared" si="134"/>
        <v>9545</v>
      </c>
      <c r="BF14" s="99">
        <f t="shared" si="134"/>
        <v>8961</v>
      </c>
      <c r="BG14" s="99">
        <f t="shared" si="134"/>
        <v>18506</v>
      </c>
      <c r="BH14" s="116">
        <f>BE14/AV14</f>
        <v>0.53374713414975117</v>
      </c>
      <c r="BI14" s="116">
        <f>BF14/AW14</f>
        <v>0.48751428105108535</v>
      </c>
      <c r="BJ14" s="116">
        <f>BG14/AX14</f>
        <v>0.51031325832781826</v>
      </c>
      <c r="BK14" s="103"/>
      <c r="BL14" s="103"/>
      <c r="BM14" s="103"/>
      <c r="BN14" s="104"/>
      <c r="BO14" s="104"/>
      <c r="BP14" s="104"/>
      <c r="BQ14" s="104"/>
      <c r="BR14" s="104"/>
      <c r="BS14" s="104"/>
      <c r="BT14" s="104"/>
      <c r="BU14" s="104"/>
      <c r="BV14" s="104"/>
      <c r="BW14" s="112"/>
      <c r="BX14" s="112"/>
      <c r="BY14" s="112"/>
      <c r="BZ14" s="98">
        <f>AV14+BK14</f>
        <v>17883</v>
      </c>
      <c r="CA14" s="98">
        <f>AW14+BL14</f>
        <v>18381</v>
      </c>
      <c r="CB14" s="98">
        <f>AX14+BM14</f>
        <v>36264</v>
      </c>
      <c r="CC14" s="98">
        <f>AY14+BN14</f>
        <v>7656</v>
      </c>
      <c r="CD14" s="98">
        <f>AZ14+BO14</f>
        <v>7191</v>
      </c>
      <c r="CE14" s="98">
        <f>BA14+BP14</f>
        <v>14847</v>
      </c>
      <c r="CF14" s="98">
        <f>BB14+BQ14</f>
        <v>1889</v>
      </c>
      <c r="CG14" s="98">
        <f>BC14+BR14</f>
        <v>1770</v>
      </c>
      <c r="CH14" s="98">
        <f>BD14+BS14</f>
        <v>3659</v>
      </c>
      <c r="CI14" s="98">
        <f t="shared" si="136"/>
        <v>9545</v>
      </c>
      <c r="CJ14" s="98">
        <f t="shared" si="136"/>
        <v>8961</v>
      </c>
      <c r="CK14" s="98">
        <f t="shared" si="136"/>
        <v>18506</v>
      </c>
      <c r="CL14" s="116">
        <f>CI14/BZ14</f>
        <v>0.53374713414975117</v>
      </c>
      <c r="CM14" s="116">
        <f>CJ14/CA14</f>
        <v>0.48751428105108535</v>
      </c>
      <c r="CN14" s="116">
        <f>CK14/CB14</f>
        <v>0.51031325832781826</v>
      </c>
      <c r="CO14" s="99">
        <v>37511</v>
      </c>
      <c r="CP14" s="99">
        <v>37393</v>
      </c>
      <c r="CQ14" s="99">
        <f>+CO14+CP14</f>
        <v>74904</v>
      </c>
      <c r="CR14" s="99">
        <v>15255</v>
      </c>
      <c r="CS14" s="99">
        <v>14072</v>
      </c>
      <c r="CT14" s="99">
        <f>+CR14+CS14</f>
        <v>29327</v>
      </c>
      <c r="CU14" s="99">
        <v>4510</v>
      </c>
      <c r="CV14" s="99">
        <v>3957</v>
      </c>
      <c r="CW14" s="99">
        <f>+CU14+CV14</f>
        <v>8467</v>
      </c>
      <c r="CX14" s="99">
        <f>+CR14+CU14</f>
        <v>19765</v>
      </c>
      <c r="CY14" s="99">
        <f>+CS14+CV14</f>
        <v>18029</v>
      </c>
      <c r="CZ14" s="99">
        <f>+CT14+CW14</f>
        <v>37794</v>
      </c>
      <c r="DA14" s="116">
        <f t="shared" si="137"/>
        <v>0.52691210578230385</v>
      </c>
      <c r="DB14" s="116">
        <f t="shared" si="137"/>
        <v>0.48214906533308372</v>
      </c>
      <c r="DC14" s="116">
        <f t="shared" si="137"/>
        <v>0.5045658442806793</v>
      </c>
      <c r="DD14" s="103"/>
      <c r="DE14" s="103"/>
      <c r="DF14" s="103"/>
      <c r="DG14" s="104"/>
      <c r="DH14" s="104"/>
      <c r="DI14" s="104"/>
      <c r="DJ14" s="104"/>
      <c r="DK14" s="104"/>
      <c r="DL14" s="104"/>
      <c r="DM14" s="104"/>
      <c r="DN14" s="104"/>
      <c r="DO14" s="104"/>
      <c r="DP14" s="112"/>
      <c r="DQ14" s="112"/>
      <c r="DR14" s="112"/>
      <c r="DS14" s="98">
        <f t="shared" si="170"/>
        <v>37511</v>
      </c>
      <c r="DT14" s="98">
        <f t="shared" si="170"/>
        <v>37393</v>
      </c>
      <c r="DU14" s="98">
        <f t="shared" si="170"/>
        <v>74904</v>
      </c>
      <c r="DV14" s="98">
        <f>CR14+DG14</f>
        <v>15255</v>
      </c>
      <c r="DW14" s="98">
        <f>CS14+DH14</f>
        <v>14072</v>
      </c>
      <c r="DX14" s="98">
        <f>CT14+DI14</f>
        <v>29327</v>
      </c>
      <c r="DY14" s="98">
        <f>CU14+DJ14</f>
        <v>4510</v>
      </c>
      <c r="DZ14" s="98">
        <f>CV14+DK14</f>
        <v>3957</v>
      </c>
      <c r="EA14" s="98">
        <f>CW14+DL14</f>
        <v>8467</v>
      </c>
      <c r="EB14" s="98">
        <f>CX14+DM14</f>
        <v>19765</v>
      </c>
      <c r="EC14" s="98">
        <f>CY14+DN14</f>
        <v>18029</v>
      </c>
      <c r="ED14" s="98">
        <f>CZ14+DO14</f>
        <v>37794</v>
      </c>
      <c r="EE14" s="116">
        <f>EB14/DS14</f>
        <v>0.52691210578230385</v>
      </c>
      <c r="EF14" s="116">
        <f>EC14/DT14</f>
        <v>0.48214906533308372</v>
      </c>
      <c r="EG14" s="116">
        <f>ED14/DU14</f>
        <v>0.5045658442806793</v>
      </c>
      <c r="EH14" s="98">
        <f>+AP14</f>
        <v>111201</v>
      </c>
      <c r="EI14" s="98">
        <f>+AQ14</f>
        <v>106995</v>
      </c>
      <c r="EJ14" s="98">
        <f>+AR14</f>
        <v>218196</v>
      </c>
      <c r="EK14" s="98">
        <v>25995</v>
      </c>
      <c r="EL14" s="98">
        <v>30514</v>
      </c>
      <c r="EM14" s="98">
        <f>EK14+EL14</f>
        <v>56509</v>
      </c>
      <c r="EN14" s="100">
        <f>+EK14*100/EH14</f>
        <v>23.376588340032914</v>
      </c>
      <c r="EO14" s="100">
        <f>+EL14*100/EI14</f>
        <v>28.519089677087713</v>
      </c>
      <c r="EP14" s="100">
        <f>+EM14*100/EJ14</f>
        <v>25.898274945461878</v>
      </c>
      <c r="EQ14" s="98">
        <f>+CI14</f>
        <v>9545</v>
      </c>
      <c r="ER14" s="98">
        <f>+CJ14</f>
        <v>8961</v>
      </c>
      <c r="ES14" s="98">
        <f>+CK14</f>
        <v>18506</v>
      </c>
      <c r="ET14" s="98">
        <v>1922</v>
      </c>
      <c r="EU14" s="98">
        <v>1726</v>
      </c>
      <c r="EV14" s="98">
        <f>ET14+EU14</f>
        <v>3648</v>
      </c>
      <c r="EW14" s="100">
        <f>+ET14*100/EQ14</f>
        <v>20.136196961760085</v>
      </c>
      <c r="EX14" s="100">
        <f>+EU14*100/ER14</f>
        <v>19.261243164825355</v>
      </c>
      <c r="EY14" s="100">
        <f>+EV14*100/ES14</f>
        <v>19.71252566735113</v>
      </c>
      <c r="EZ14" s="98">
        <f>+EB14</f>
        <v>19765</v>
      </c>
      <c r="FA14" s="98">
        <f>+EC14</f>
        <v>18029</v>
      </c>
      <c r="FB14" s="98">
        <f>+ED14</f>
        <v>37794</v>
      </c>
      <c r="FC14" s="98">
        <v>3797</v>
      </c>
      <c r="FD14" s="98">
        <v>3250</v>
      </c>
      <c r="FE14" s="98">
        <f>FC14+FD14</f>
        <v>7047</v>
      </c>
      <c r="FF14" s="100">
        <f>+FC14*100/EZ14</f>
        <v>19.210726030862634</v>
      </c>
      <c r="FG14" s="100">
        <f>+FD14*100/FA14</f>
        <v>18.026512840423763</v>
      </c>
      <c r="FH14" s="100">
        <f>+FE14*100/FB14</f>
        <v>18.645816796316875</v>
      </c>
    </row>
    <row r="15" spans="1:182" ht="27" customHeight="1">
      <c r="A15" s="94">
        <v>6</v>
      </c>
      <c r="B15" s="118" t="s">
        <v>315</v>
      </c>
      <c r="C15" s="96">
        <v>22</v>
      </c>
      <c r="D15" s="96">
        <v>232</v>
      </c>
      <c r="E15" s="96">
        <f t="shared" ref="E15:E43" si="182">C15+D15</f>
        <v>254</v>
      </c>
      <c r="F15" s="96">
        <v>22</v>
      </c>
      <c r="G15" s="96">
        <v>230</v>
      </c>
      <c r="H15" s="96">
        <f t="shared" ref="H15:H43" si="183">F15+G15</f>
        <v>252</v>
      </c>
      <c r="I15" s="104"/>
      <c r="J15" s="104"/>
      <c r="K15" s="104"/>
      <c r="L15" s="97">
        <f t="shared" ref="L15:L16" si="184">F15+I15</f>
        <v>22</v>
      </c>
      <c r="M15" s="98">
        <f t="shared" ref="M15:M16" si="185">G15+J15</f>
        <v>230</v>
      </c>
      <c r="N15" s="98">
        <f t="shared" ref="N15:N16" si="186">H15+K15</f>
        <v>252</v>
      </c>
      <c r="O15" s="116">
        <f t="shared" ref="O15:O41" si="187">L15/C15</f>
        <v>1</v>
      </c>
      <c r="P15" s="116">
        <f t="shared" ref="P15:P43" si="188">M15/D15</f>
        <v>0.99137931034482762</v>
      </c>
      <c r="Q15" s="116">
        <f t="shared" ref="Q15:Q43" si="189">N15/E15</f>
        <v>0.99212598425196852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12"/>
      <c r="AE15" s="112"/>
      <c r="AF15" s="112"/>
      <c r="AG15" s="98">
        <f t="shared" ref="AG15:AG43" si="190">C15+R15</f>
        <v>22</v>
      </c>
      <c r="AH15" s="98">
        <f t="shared" ref="AH15:AI43" si="191">D15+S15</f>
        <v>232</v>
      </c>
      <c r="AI15" s="98">
        <f t="shared" ref="AI15:AR23" si="192">E15+T15</f>
        <v>254</v>
      </c>
      <c r="AJ15" s="98">
        <f t="shared" ref="AJ15:AJ43" si="193">F15+U15</f>
        <v>22</v>
      </c>
      <c r="AK15" s="98">
        <f t="shared" ref="AK15:AL43" si="194">G15+V15</f>
        <v>230</v>
      </c>
      <c r="AL15" s="98">
        <f t="shared" si="192"/>
        <v>252</v>
      </c>
      <c r="AM15" s="103"/>
      <c r="AN15" s="103"/>
      <c r="AO15" s="103"/>
      <c r="AP15" s="98">
        <f t="shared" ref="AP15:AP43" si="195">L15+AA15</f>
        <v>22</v>
      </c>
      <c r="AQ15" s="98">
        <f t="shared" ref="AQ15:AR43" si="196">M15+AB15</f>
        <v>230</v>
      </c>
      <c r="AR15" s="98">
        <f t="shared" si="192"/>
        <v>252</v>
      </c>
      <c r="AS15" s="116">
        <f t="shared" ref="AS15:AS43" si="197">AP15/AG15</f>
        <v>1</v>
      </c>
      <c r="AT15" s="116">
        <f t="shared" ref="AT15:AT43" si="198">AQ15/AH15</f>
        <v>0.99137931034482762</v>
      </c>
      <c r="AU15" s="116">
        <f t="shared" ref="AU15:AU43" si="199">AR15/AI15</f>
        <v>0.99212598425196852</v>
      </c>
      <c r="AV15" s="99">
        <v>1</v>
      </c>
      <c r="AW15" s="99">
        <v>4</v>
      </c>
      <c r="AX15" s="99">
        <f t="shared" ref="AX15:AX43" si="200">+AV15+AW15</f>
        <v>5</v>
      </c>
      <c r="AY15" s="99">
        <v>1</v>
      </c>
      <c r="AZ15" s="99">
        <v>4</v>
      </c>
      <c r="BA15" s="99">
        <f t="shared" ref="BA15:BA43" si="201">+AY15+AZ15</f>
        <v>5</v>
      </c>
      <c r="BB15" s="104"/>
      <c r="BC15" s="104"/>
      <c r="BD15" s="104"/>
      <c r="BE15" s="99">
        <f t="shared" ref="BE15:BE43" si="202">+AY15+BB15</f>
        <v>1</v>
      </c>
      <c r="BF15" s="99">
        <f t="shared" ref="BF15:BG43" si="203">+AZ15+BC15</f>
        <v>4</v>
      </c>
      <c r="BG15" s="99">
        <f t="shared" ref="BG15:BG23" si="204">+BA15+BD15</f>
        <v>5</v>
      </c>
      <c r="BH15" s="116">
        <f t="shared" ref="BH15:BH43" si="205">BE15/AV15</f>
        <v>1</v>
      </c>
      <c r="BI15" s="116">
        <f t="shared" ref="BI15:BI43" si="206">BF15/AW15</f>
        <v>1</v>
      </c>
      <c r="BJ15" s="116">
        <f t="shared" ref="BJ15:BJ43" si="207">BG15/AX15</f>
        <v>1</v>
      </c>
      <c r="BK15" s="111"/>
      <c r="BL15" s="111"/>
      <c r="BM15" s="103"/>
      <c r="BN15" s="104"/>
      <c r="BO15" s="104"/>
      <c r="BP15" s="104"/>
      <c r="BQ15" s="104"/>
      <c r="BR15" s="104"/>
      <c r="BS15" s="104"/>
      <c r="BT15" s="104"/>
      <c r="BU15" s="104"/>
      <c r="BV15" s="104"/>
      <c r="BW15" s="112"/>
      <c r="BX15" s="112"/>
      <c r="BY15" s="112"/>
      <c r="BZ15" s="98">
        <f t="shared" ref="BZ15:BZ23" si="208">AV15+BK15</f>
        <v>1</v>
      </c>
      <c r="CA15" s="98">
        <f t="shared" ref="CA15:CA23" si="209">AW15+BL15</f>
        <v>4</v>
      </c>
      <c r="CB15" s="98">
        <f t="shared" ref="CB15:CB23" si="210">AX15+BM15</f>
        <v>5</v>
      </c>
      <c r="CC15" s="98">
        <f t="shared" ref="CC15:CC43" si="211">AY15+BN15</f>
        <v>1</v>
      </c>
      <c r="CD15" s="98">
        <f t="shared" ref="CD15:CD43" si="212">AZ15+BO15</f>
        <v>4</v>
      </c>
      <c r="CE15" s="98">
        <f t="shared" ref="CE15:CE43" si="213">BA15+BP15</f>
        <v>5</v>
      </c>
      <c r="CF15" s="103"/>
      <c r="CG15" s="103"/>
      <c r="CH15" s="103"/>
      <c r="CI15" s="98">
        <f t="shared" ref="CI15:CI16" si="214">BE15+BT15</f>
        <v>1</v>
      </c>
      <c r="CJ15" s="98">
        <f t="shared" ref="CJ15:CJ16" si="215">BF15+BU15</f>
        <v>4</v>
      </c>
      <c r="CK15" s="98">
        <f t="shared" ref="CK15:CK16" si="216">BG15+BV15</f>
        <v>5</v>
      </c>
      <c r="CL15" s="116">
        <f t="shared" ref="CL15:CL16" si="217">CI15/BZ15</f>
        <v>1</v>
      </c>
      <c r="CM15" s="116">
        <f t="shared" ref="CM15:CM43" si="218">CJ15/CA15</f>
        <v>1</v>
      </c>
      <c r="CN15" s="116">
        <f t="shared" ref="CN15:CN43" si="219">CK15/CB15</f>
        <v>1</v>
      </c>
      <c r="CO15" s="99">
        <v>0</v>
      </c>
      <c r="CP15" s="99">
        <v>9</v>
      </c>
      <c r="CQ15" s="99">
        <f t="shared" ref="CQ15:CQ43" si="220">+CO15+CP15</f>
        <v>9</v>
      </c>
      <c r="CR15" s="99">
        <v>0</v>
      </c>
      <c r="CS15" s="99">
        <v>9</v>
      </c>
      <c r="CT15" s="99">
        <f t="shared" ref="CT15:CT43" si="221">+CR15+CS15</f>
        <v>9</v>
      </c>
      <c r="CU15" s="104"/>
      <c r="CV15" s="104"/>
      <c r="CW15" s="104"/>
      <c r="CX15" s="99">
        <f t="shared" ref="CX15:CX43" si="222">+CR15+CU15</f>
        <v>0</v>
      </c>
      <c r="CY15" s="99">
        <f t="shared" ref="CY15:CZ43" si="223">+CS15+CV15</f>
        <v>9</v>
      </c>
      <c r="CZ15" s="99">
        <f t="shared" ref="CZ15:CZ23" si="224">+CT15+CW15</f>
        <v>9</v>
      </c>
      <c r="DA15" s="116">
        <v>0</v>
      </c>
      <c r="DB15" s="116">
        <f t="shared" ref="DB15:DB43" si="225">CY15/CP15</f>
        <v>1</v>
      </c>
      <c r="DC15" s="116">
        <f t="shared" ref="DC15:DC43" si="226">CZ15/CQ15</f>
        <v>1</v>
      </c>
      <c r="DD15" s="111"/>
      <c r="DE15" s="111"/>
      <c r="DF15" s="103"/>
      <c r="DG15" s="104"/>
      <c r="DH15" s="104"/>
      <c r="DI15" s="104"/>
      <c r="DJ15" s="104"/>
      <c r="DK15" s="104"/>
      <c r="DL15" s="104"/>
      <c r="DM15" s="104"/>
      <c r="DN15" s="104"/>
      <c r="DO15" s="104"/>
      <c r="DP15" s="112"/>
      <c r="DQ15" s="112"/>
      <c r="DR15" s="112"/>
      <c r="DS15" s="98">
        <f t="shared" ref="DS15:DS43" si="227">CO15+DD15</f>
        <v>0</v>
      </c>
      <c r="DT15" s="98">
        <f t="shared" ref="DT15:DT43" si="228">CP15+DE15</f>
        <v>9</v>
      </c>
      <c r="DU15" s="98">
        <f t="shared" ref="DU15:DU43" si="229">CQ15+DF15</f>
        <v>9</v>
      </c>
      <c r="DV15" s="98">
        <f t="shared" ref="DV15:DV43" si="230">CR15+DG15</f>
        <v>0</v>
      </c>
      <c r="DW15" s="98">
        <f t="shared" ref="DW15:DW43" si="231">CS15+DH15</f>
        <v>9</v>
      </c>
      <c r="DX15" s="98">
        <f t="shared" ref="DX15:DX43" si="232">CT15+DI15</f>
        <v>9</v>
      </c>
      <c r="DY15" s="103"/>
      <c r="DZ15" s="103"/>
      <c r="EA15" s="103"/>
      <c r="EB15" s="98">
        <f t="shared" ref="EB15:EB43" si="233">CX15+DM15</f>
        <v>0</v>
      </c>
      <c r="EC15" s="98">
        <f t="shared" ref="EC15:EC43" si="234">CY15+DN15</f>
        <v>9</v>
      </c>
      <c r="ED15" s="98">
        <f t="shared" ref="ED15:ED43" si="235">CZ15+DO15</f>
        <v>9</v>
      </c>
      <c r="EE15" s="116">
        <v>0</v>
      </c>
      <c r="EF15" s="116">
        <f t="shared" ref="EF15:EF43" si="236">EC15/DT15</f>
        <v>1</v>
      </c>
      <c r="EG15" s="116">
        <f t="shared" ref="EG15:EG43" si="237">ED15/DU15</f>
        <v>1</v>
      </c>
      <c r="EH15" s="98">
        <f t="shared" ref="EH15:EH43" si="238">+AP15</f>
        <v>22</v>
      </c>
      <c r="EI15" s="98">
        <f t="shared" ref="EI15:EJ43" si="239">+AQ15</f>
        <v>230</v>
      </c>
      <c r="EJ15" s="98">
        <f t="shared" ref="EJ15:EJ23" si="240">+AR15</f>
        <v>252</v>
      </c>
      <c r="EK15" s="101">
        <v>16</v>
      </c>
      <c r="EL15" s="101">
        <v>189</v>
      </c>
      <c r="EM15" s="98">
        <f t="shared" ref="EM15:EM43" si="241">EK15+EL15</f>
        <v>205</v>
      </c>
      <c r="EN15" s="100">
        <f t="shared" ref="EN15:EN23" si="242">+EK15*100/EH15</f>
        <v>72.727272727272734</v>
      </c>
      <c r="EO15" s="100">
        <f t="shared" ref="EO15:EO23" si="243">+EL15*100/EI15</f>
        <v>82.173913043478265</v>
      </c>
      <c r="EP15" s="100">
        <f t="shared" ref="EP15:EP23" si="244">+EM15*100/EJ15</f>
        <v>81.349206349206355</v>
      </c>
      <c r="EQ15" s="98">
        <f t="shared" ref="EQ15:EQ43" si="245">+CI15</f>
        <v>1</v>
      </c>
      <c r="ER15" s="98">
        <f t="shared" ref="ER15:ES43" si="246">+CJ15</f>
        <v>4</v>
      </c>
      <c r="ES15" s="98">
        <f t="shared" ref="ES15:ES23" si="247">+CK15</f>
        <v>5</v>
      </c>
      <c r="ET15" s="101">
        <v>1</v>
      </c>
      <c r="EU15" s="101">
        <v>3</v>
      </c>
      <c r="EV15" s="98">
        <f t="shared" ref="EV15:EV43" si="248">ET15+EU15</f>
        <v>4</v>
      </c>
      <c r="EW15" s="100">
        <f t="shared" ref="EW15:EW23" si="249">+ET15*100/EQ15</f>
        <v>100</v>
      </c>
      <c r="EX15" s="100">
        <f t="shared" ref="EX15:EX23" si="250">+EU15*100/ER15</f>
        <v>75</v>
      </c>
      <c r="EY15" s="100">
        <f t="shared" ref="EY15:EY23" si="251">+EV15*100/ES15</f>
        <v>80</v>
      </c>
      <c r="EZ15" s="98">
        <f t="shared" ref="EZ15:EZ43" si="252">+EB15</f>
        <v>0</v>
      </c>
      <c r="FA15" s="98">
        <f t="shared" ref="FA15:FB43" si="253">+EC15</f>
        <v>9</v>
      </c>
      <c r="FB15" s="98">
        <f t="shared" ref="FB15:FB23" si="254">+ED15</f>
        <v>9</v>
      </c>
      <c r="FC15" s="101">
        <v>0</v>
      </c>
      <c r="FD15" s="101">
        <v>3</v>
      </c>
      <c r="FE15" s="98">
        <f t="shared" ref="FE15:FE43" si="255">FC15+FD15</f>
        <v>3</v>
      </c>
      <c r="FF15" s="100">
        <v>0</v>
      </c>
      <c r="FG15" s="100">
        <f t="shared" ref="FG15:FG23" si="256">+FD15*100/FA15</f>
        <v>33.333333333333336</v>
      </c>
      <c r="FH15" s="100">
        <f t="shared" ref="FH15:FH23" si="257">+FE15*100/FB15</f>
        <v>33.333333333333336</v>
      </c>
    </row>
    <row r="16" spans="1:182" ht="27" customHeight="1">
      <c r="A16" s="94">
        <v>7</v>
      </c>
      <c r="B16" s="118" t="s">
        <v>138</v>
      </c>
      <c r="C16" s="96">
        <v>675292</v>
      </c>
      <c r="D16" s="96">
        <v>658651</v>
      </c>
      <c r="E16" s="96">
        <f t="shared" si="182"/>
        <v>1333943</v>
      </c>
      <c r="F16" s="96">
        <v>400918</v>
      </c>
      <c r="G16" s="96">
        <v>294783</v>
      </c>
      <c r="H16" s="96">
        <f t="shared" si="183"/>
        <v>695701</v>
      </c>
      <c r="I16" s="103"/>
      <c r="J16" s="103"/>
      <c r="K16" s="104"/>
      <c r="L16" s="97">
        <f t="shared" si="184"/>
        <v>400918</v>
      </c>
      <c r="M16" s="98">
        <f t="shared" si="185"/>
        <v>294783</v>
      </c>
      <c r="N16" s="98">
        <f t="shared" si="186"/>
        <v>695701</v>
      </c>
      <c r="O16" s="116">
        <f t="shared" si="187"/>
        <v>0.59369576420274484</v>
      </c>
      <c r="P16" s="116">
        <f t="shared" si="188"/>
        <v>0.44755568578807292</v>
      </c>
      <c r="Q16" s="116">
        <f t="shared" si="189"/>
        <v>0.52153727708005515</v>
      </c>
      <c r="R16" s="99">
        <v>201695</v>
      </c>
      <c r="S16" s="99">
        <v>195656</v>
      </c>
      <c r="T16" s="98">
        <f>R16+S16</f>
        <v>397351</v>
      </c>
      <c r="U16" s="98">
        <v>96493</v>
      </c>
      <c r="V16" s="98">
        <v>73586</v>
      </c>
      <c r="W16" s="98">
        <f t="shared" ref="W16:W43" si="258">U16+V16</f>
        <v>170079</v>
      </c>
      <c r="X16" s="103"/>
      <c r="Y16" s="103"/>
      <c r="Z16" s="103"/>
      <c r="AA16" s="98">
        <f t="shared" ref="AA16:AA43" si="259">U16+X16</f>
        <v>96493</v>
      </c>
      <c r="AB16" s="98">
        <f t="shared" ref="AB16:AB43" si="260">V16+Y16</f>
        <v>73586</v>
      </c>
      <c r="AC16" s="98">
        <f t="shared" ref="AC16:AC43" si="261">W16+Z16</f>
        <v>170079</v>
      </c>
      <c r="AD16" s="116">
        <f t="shared" ref="AD16:AD17" si="262">AA16/R16</f>
        <v>0.47841047125610453</v>
      </c>
      <c r="AE16" s="116">
        <f t="shared" ref="AE16" si="263">AB16/S16</f>
        <v>0.37609886739992643</v>
      </c>
      <c r="AF16" s="116">
        <f t="shared" ref="AF16:AF17" si="264">AC16/T16</f>
        <v>0.42803214286613095</v>
      </c>
      <c r="AG16" s="98">
        <f t="shared" si="190"/>
        <v>876987</v>
      </c>
      <c r="AH16" s="98">
        <f t="shared" si="191"/>
        <v>854307</v>
      </c>
      <c r="AI16" s="98">
        <f t="shared" si="192"/>
        <v>1731294</v>
      </c>
      <c r="AJ16" s="98">
        <f t="shared" si="193"/>
        <v>497411</v>
      </c>
      <c r="AK16" s="98">
        <f t="shared" si="194"/>
        <v>368369</v>
      </c>
      <c r="AL16" s="98">
        <f t="shared" si="192"/>
        <v>865780</v>
      </c>
      <c r="AM16" s="98">
        <f>I16+X16</f>
        <v>0</v>
      </c>
      <c r="AN16" s="98">
        <f t="shared" ref="AN16:AO40" si="265">J16+Y16</f>
        <v>0</v>
      </c>
      <c r="AO16" s="98">
        <f t="shared" si="192"/>
        <v>0</v>
      </c>
      <c r="AP16" s="98">
        <f t="shared" si="195"/>
        <v>497411</v>
      </c>
      <c r="AQ16" s="98">
        <f t="shared" si="196"/>
        <v>368369</v>
      </c>
      <c r="AR16" s="98">
        <f t="shared" si="192"/>
        <v>865780</v>
      </c>
      <c r="AS16" s="116">
        <f t="shared" si="197"/>
        <v>0.56718172561280844</v>
      </c>
      <c r="AT16" s="116">
        <f t="shared" si="198"/>
        <v>0.43119042686060166</v>
      </c>
      <c r="AU16" s="116">
        <f t="shared" si="199"/>
        <v>0.50007682115227103</v>
      </c>
      <c r="AV16" s="99">
        <v>115027</v>
      </c>
      <c r="AW16" s="99">
        <v>100291</v>
      </c>
      <c r="AX16" s="99">
        <f t="shared" si="200"/>
        <v>215318</v>
      </c>
      <c r="AY16" s="99">
        <v>58454</v>
      </c>
      <c r="AZ16" s="99">
        <v>30558</v>
      </c>
      <c r="BA16" s="99">
        <f t="shared" si="201"/>
        <v>89012</v>
      </c>
      <c r="BB16" s="104"/>
      <c r="BC16" s="104"/>
      <c r="BD16" s="104"/>
      <c r="BE16" s="99">
        <f t="shared" si="202"/>
        <v>58454</v>
      </c>
      <c r="BF16" s="99">
        <f t="shared" si="203"/>
        <v>30558</v>
      </c>
      <c r="BG16" s="99">
        <f t="shared" si="204"/>
        <v>89012</v>
      </c>
      <c r="BH16" s="116">
        <f t="shared" si="205"/>
        <v>0.50817634120684707</v>
      </c>
      <c r="BI16" s="116">
        <f t="shared" si="206"/>
        <v>0.30469334237369256</v>
      </c>
      <c r="BJ16" s="116">
        <f t="shared" si="207"/>
        <v>0.41339785805181173</v>
      </c>
      <c r="BK16" s="95">
        <v>43611</v>
      </c>
      <c r="BL16" s="95">
        <v>39148</v>
      </c>
      <c r="BM16" s="98">
        <f t="shared" ref="BM16:BM43" si="266">BK16+BL16</f>
        <v>82759</v>
      </c>
      <c r="BN16" s="99">
        <v>18197</v>
      </c>
      <c r="BO16" s="99">
        <v>10790</v>
      </c>
      <c r="BP16" s="99">
        <f t="shared" ref="BP16:BP43" si="267">BN16+BO16</f>
        <v>28987</v>
      </c>
      <c r="BQ16" s="104"/>
      <c r="BR16" s="104"/>
      <c r="BS16" s="104"/>
      <c r="BT16" s="99">
        <f>+BN16+BQ16</f>
        <v>18197</v>
      </c>
      <c r="BU16" s="99">
        <f t="shared" ref="BU16:BV43" si="268">+BO16+BR16</f>
        <v>10790</v>
      </c>
      <c r="BV16" s="99">
        <f t="shared" ref="BV16" si="269">+BP16+BS16</f>
        <v>28987</v>
      </c>
      <c r="BW16" s="116">
        <f t="shared" ref="BW16:BW43" si="270">BT16/BK16</f>
        <v>0.4172571140308638</v>
      </c>
      <c r="BX16" s="116">
        <f t="shared" ref="BX16:BX43" si="271">BU16/BL16</f>
        <v>0.27562072136507615</v>
      </c>
      <c r="BY16" s="116">
        <f t="shared" ref="BY16:BY43" si="272">BV16/BM16</f>
        <v>0.35025797798426755</v>
      </c>
      <c r="BZ16" s="98">
        <f t="shared" si="208"/>
        <v>158638</v>
      </c>
      <c r="CA16" s="98">
        <f t="shared" si="209"/>
        <v>139439</v>
      </c>
      <c r="CB16" s="98">
        <f t="shared" si="210"/>
        <v>298077</v>
      </c>
      <c r="CC16" s="98">
        <f t="shared" si="211"/>
        <v>76651</v>
      </c>
      <c r="CD16" s="98">
        <f t="shared" si="212"/>
        <v>41348</v>
      </c>
      <c r="CE16" s="98">
        <f t="shared" si="213"/>
        <v>117999</v>
      </c>
      <c r="CF16" s="103"/>
      <c r="CG16" s="103"/>
      <c r="CH16" s="103"/>
      <c r="CI16" s="98">
        <f t="shared" si="214"/>
        <v>76651</v>
      </c>
      <c r="CJ16" s="98">
        <f t="shared" si="215"/>
        <v>41348</v>
      </c>
      <c r="CK16" s="98">
        <f t="shared" si="216"/>
        <v>117999</v>
      </c>
      <c r="CL16" s="116">
        <f t="shared" si="217"/>
        <v>0.48318183537361792</v>
      </c>
      <c r="CM16" s="116">
        <f t="shared" si="218"/>
        <v>0.29653109962062263</v>
      </c>
      <c r="CN16" s="116">
        <f t="shared" si="219"/>
        <v>0.39586751074386822</v>
      </c>
      <c r="CO16" s="99">
        <v>10011</v>
      </c>
      <c r="CP16" s="99">
        <v>9832</v>
      </c>
      <c r="CQ16" s="99">
        <f t="shared" si="220"/>
        <v>19843</v>
      </c>
      <c r="CR16" s="99">
        <v>5655</v>
      </c>
      <c r="CS16" s="99">
        <v>4199</v>
      </c>
      <c r="CT16" s="99">
        <f t="shared" si="221"/>
        <v>9854</v>
      </c>
      <c r="CU16" s="104"/>
      <c r="CV16" s="104"/>
      <c r="CW16" s="104"/>
      <c r="CX16" s="99">
        <f t="shared" si="222"/>
        <v>5655</v>
      </c>
      <c r="CY16" s="99">
        <f t="shared" si="223"/>
        <v>4199</v>
      </c>
      <c r="CZ16" s="99">
        <f t="shared" si="224"/>
        <v>9854</v>
      </c>
      <c r="DA16" s="116">
        <f t="shared" ref="DA16:DA43" si="273">CX16/CO16</f>
        <v>0.56487863350314649</v>
      </c>
      <c r="DB16" s="116">
        <f t="shared" si="225"/>
        <v>0.42707485760781122</v>
      </c>
      <c r="DC16" s="116">
        <f t="shared" si="226"/>
        <v>0.496598296628534</v>
      </c>
      <c r="DD16" s="95">
        <v>3502</v>
      </c>
      <c r="DE16" s="95">
        <v>2864</v>
      </c>
      <c r="DF16" s="98">
        <f t="shared" ref="DF16:DF43" si="274">DD16+DE16</f>
        <v>6366</v>
      </c>
      <c r="DG16" s="99">
        <v>1528</v>
      </c>
      <c r="DH16" s="99">
        <v>935</v>
      </c>
      <c r="DI16" s="99">
        <f t="shared" ref="DI16:DI43" si="275">+DG16+DH16</f>
        <v>2463</v>
      </c>
      <c r="DJ16" s="104"/>
      <c r="DK16" s="104"/>
      <c r="DL16" s="104"/>
      <c r="DM16" s="99">
        <f t="shared" ref="DM16:DM43" si="276">+DG16+DJ16</f>
        <v>1528</v>
      </c>
      <c r="DN16" s="99">
        <f t="shared" ref="DN16:DO43" si="277">+DH16+DK16</f>
        <v>935</v>
      </c>
      <c r="DO16" s="99">
        <f t="shared" ref="DO16" si="278">+DI16+DL16</f>
        <v>2463</v>
      </c>
      <c r="DP16" s="116">
        <f t="shared" ref="DP16:DP43" si="279">DM16/DD16</f>
        <v>0.43632210165619645</v>
      </c>
      <c r="DQ16" s="116">
        <f t="shared" ref="DQ16:DQ43" si="280">DN16/DE16</f>
        <v>0.32646648044692739</v>
      </c>
      <c r="DR16" s="116">
        <f t="shared" ref="DR16:DR43" si="281">DO16/DF16</f>
        <v>0.38689915174363809</v>
      </c>
      <c r="DS16" s="98">
        <f t="shared" si="227"/>
        <v>13513</v>
      </c>
      <c r="DT16" s="98">
        <f t="shared" si="228"/>
        <v>12696</v>
      </c>
      <c r="DU16" s="98">
        <f t="shared" si="229"/>
        <v>26209</v>
      </c>
      <c r="DV16" s="98">
        <f t="shared" si="230"/>
        <v>7183</v>
      </c>
      <c r="DW16" s="98">
        <f t="shared" si="231"/>
        <v>5134</v>
      </c>
      <c r="DX16" s="98">
        <f t="shared" si="232"/>
        <v>12317</v>
      </c>
      <c r="DY16" s="103"/>
      <c r="DZ16" s="103"/>
      <c r="EA16" s="103"/>
      <c r="EB16" s="98">
        <f t="shared" si="233"/>
        <v>7183</v>
      </c>
      <c r="EC16" s="98">
        <f t="shared" si="234"/>
        <v>5134</v>
      </c>
      <c r="ED16" s="98">
        <f t="shared" si="235"/>
        <v>12317</v>
      </c>
      <c r="EE16" s="116">
        <f t="shared" ref="EE16" si="282">EB16/DS16</f>
        <v>0.53156219936357585</v>
      </c>
      <c r="EF16" s="116">
        <f t="shared" si="236"/>
        <v>0.4043793320730939</v>
      </c>
      <c r="EG16" s="116">
        <f t="shared" si="237"/>
        <v>0.46995306955625932</v>
      </c>
      <c r="EH16" s="98">
        <f t="shared" si="238"/>
        <v>497411</v>
      </c>
      <c r="EI16" s="98">
        <f t="shared" si="239"/>
        <v>368369</v>
      </c>
      <c r="EJ16" s="98">
        <f t="shared" si="240"/>
        <v>865780</v>
      </c>
      <c r="EK16" s="101">
        <v>156102</v>
      </c>
      <c r="EL16" s="101">
        <v>85119</v>
      </c>
      <c r="EM16" s="98">
        <f t="shared" si="241"/>
        <v>241221</v>
      </c>
      <c r="EN16" s="100">
        <f t="shared" si="242"/>
        <v>31.38290065961549</v>
      </c>
      <c r="EO16" s="100">
        <f t="shared" si="243"/>
        <v>23.10699325947623</v>
      </c>
      <c r="EP16" s="100">
        <f t="shared" si="244"/>
        <v>27.861696966896901</v>
      </c>
      <c r="EQ16" s="98">
        <f t="shared" si="245"/>
        <v>76651</v>
      </c>
      <c r="ER16" s="98">
        <f t="shared" si="246"/>
        <v>41348</v>
      </c>
      <c r="ES16" s="98">
        <f t="shared" si="247"/>
        <v>117999</v>
      </c>
      <c r="ET16" s="101">
        <v>18656</v>
      </c>
      <c r="EU16" s="101">
        <v>6106</v>
      </c>
      <c r="EV16" s="98">
        <f t="shared" si="248"/>
        <v>24762</v>
      </c>
      <c r="EW16" s="100">
        <f t="shared" si="249"/>
        <v>24.338886642052941</v>
      </c>
      <c r="EX16" s="100">
        <f t="shared" si="250"/>
        <v>14.767340621069943</v>
      </c>
      <c r="EY16" s="100">
        <f t="shared" si="251"/>
        <v>20.984923601047466</v>
      </c>
      <c r="EZ16" s="98">
        <f t="shared" si="252"/>
        <v>7183</v>
      </c>
      <c r="FA16" s="98">
        <f t="shared" si="253"/>
        <v>5134</v>
      </c>
      <c r="FB16" s="98">
        <f t="shared" si="254"/>
        <v>12317</v>
      </c>
      <c r="FC16" s="101">
        <v>2021</v>
      </c>
      <c r="FD16" s="101">
        <v>1114</v>
      </c>
      <c r="FE16" s="98">
        <f t="shared" si="255"/>
        <v>3135</v>
      </c>
      <c r="FF16" s="100">
        <f t="shared" ref="FF16:FF23" si="283">+FC16*100/EZ16</f>
        <v>28.135876374773773</v>
      </c>
      <c r="FG16" s="100">
        <f t="shared" si="256"/>
        <v>21.698480716790026</v>
      </c>
      <c r="FH16" s="100">
        <f t="shared" si="257"/>
        <v>25.452626451246246</v>
      </c>
    </row>
    <row r="17" spans="1:164" ht="27" customHeight="1">
      <c r="A17" s="94">
        <v>8</v>
      </c>
      <c r="B17" s="118" t="s">
        <v>139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12"/>
      <c r="P17" s="112"/>
      <c r="Q17" s="112"/>
      <c r="R17" s="98">
        <v>30550</v>
      </c>
      <c r="S17" s="103"/>
      <c r="T17" s="98">
        <f>R17+S17</f>
        <v>30550</v>
      </c>
      <c r="U17" s="98">
        <v>18878</v>
      </c>
      <c r="V17" s="103"/>
      <c r="W17" s="98">
        <f t="shared" si="258"/>
        <v>18878</v>
      </c>
      <c r="X17" s="103"/>
      <c r="Y17" s="103"/>
      <c r="Z17" s="103"/>
      <c r="AA17" s="98">
        <f t="shared" ref="AA17" si="284">U17+X17</f>
        <v>18878</v>
      </c>
      <c r="AB17" s="103">
        <f t="shared" ref="AB17" si="285">V17+Y17</f>
        <v>0</v>
      </c>
      <c r="AC17" s="98">
        <f t="shared" ref="AC17" si="286">W17+Z17</f>
        <v>18878</v>
      </c>
      <c r="AD17" s="116">
        <f t="shared" si="262"/>
        <v>0.61793780687397704</v>
      </c>
      <c r="AE17" s="103"/>
      <c r="AF17" s="116">
        <f t="shared" si="264"/>
        <v>0.61793780687397704</v>
      </c>
      <c r="AG17" s="98">
        <f t="shared" si="190"/>
        <v>30550</v>
      </c>
      <c r="AH17" s="103">
        <f t="shared" si="191"/>
        <v>0</v>
      </c>
      <c r="AI17" s="98">
        <f t="shared" si="192"/>
        <v>30550</v>
      </c>
      <c r="AJ17" s="98">
        <f t="shared" si="193"/>
        <v>18878</v>
      </c>
      <c r="AK17" s="103">
        <f t="shared" si="194"/>
        <v>0</v>
      </c>
      <c r="AL17" s="98">
        <f t="shared" si="192"/>
        <v>18878</v>
      </c>
      <c r="AM17" s="103"/>
      <c r="AN17" s="103"/>
      <c r="AO17" s="103"/>
      <c r="AP17" s="98">
        <f t="shared" si="195"/>
        <v>18878</v>
      </c>
      <c r="AQ17" s="103">
        <f t="shared" si="196"/>
        <v>0</v>
      </c>
      <c r="AR17" s="98">
        <f t="shared" si="192"/>
        <v>18878</v>
      </c>
      <c r="AS17" s="116">
        <f>AP17/AG17</f>
        <v>0.61793780687397704</v>
      </c>
      <c r="AT17" s="103"/>
      <c r="AU17" s="116">
        <f t="shared" si="199"/>
        <v>0.61793780687397704</v>
      </c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98">
        <f t="shared" si="238"/>
        <v>18878</v>
      </c>
      <c r="EI17" s="98">
        <f t="shared" si="239"/>
        <v>0</v>
      </c>
      <c r="EJ17" s="98">
        <f t="shared" si="240"/>
        <v>18878</v>
      </c>
      <c r="EK17" s="98">
        <v>3</v>
      </c>
      <c r="EL17" s="98">
        <v>0</v>
      </c>
      <c r="EM17" s="98">
        <f t="shared" si="241"/>
        <v>3</v>
      </c>
      <c r="EN17" s="100">
        <f t="shared" si="242"/>
        <v>1.5891513931560547E-2</v>
      </c>
      <c r="EO17" s="100" t="s">
        <v>319</v>
      </c>
      <c r="EP17" s="100">
        <f t="shared" si="244"/>
        <v>1.5891513931560547E-2</v>
      </c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</row>
    <row r="18" spans="1:164" ht="27" customHeight="1">
      <c r="A18" s="94">
        <v>9</v>
      </c>
      <c r="B18" s="118" t="s">
        <v>145</v>
      </c>
      <c r="C18" s="96">
        <v>181880</v>
      </c>
      <c r="D18" s="96">
        <v>209351</v>
      </c>
      <c r="E18" s="96">
        <f>C18+D18</f>
        <v>391231</v>
      </c>
      <c r="F18" s="96">
        <v>109151</v>
      </c>
      <c r="G18" s="96">
        <v>130486</v>
      </c>
      <c r="H18" s="96">
        <f>F18+G18</f>
        <v>239637</v>
      </c>
      <c r="I18" s="96">
        <v>1637</v>
      </c>
      <c r="J18" s="96">
        <v>1791</v>
      </c>
      <c r="K18" s="96">
        <f>I18+J18</f>
        <v>3428</v>
      </c>
      <c r="L18" s="97">
        <f t="shared" ref="L18:N22" si="287">F18+I18</f>
        <v>110788</v>
      </c>
      <c r="M18" s="98">
        <f t="shared" si="287"/>
        <v>132277</v>
      </c>
      <c r="N18" s="98">
        <f t="shared" si="287"/>
        <v>243065</v>
      </c>
      <c r="O18" s="116">
        <f>L18/C18</f>
        <v>0.60912689685506927</v>
      </c>
      <c r="P18" s="116">
        <f>M18/D18</f>
        <v>0.6318431724711131</v>
      </c>
      <c r="Q18" s="116">
        <f>N18/E18</f>
        <v>0.62128256707673979</v>
      </c>
      <c r="R18" s="98">
        <v>5944</v>
      </c>
      <c r="S18" s="98">
        <v>4775</v>
      </c>
      <c r="T18" s="98">
        <f>R18+S18</f>
        <v>10719</v>
      </c>
      <c r="U18" s="98">
        <v>2011</v>
      </c>
      <c r="V18" s="98">
        <v>1951</v>
      </c>
      <c r="W18" s="98">
        <f>U18+V18</f>
        <v>3962</v>
      </c>
      <c r="X18" s="98">
        <v>785</v>
      </c>
      <c r="Y18" s="98">
        <v>641</v>
      </c>
      <c r="Z18" s="98">
        <f>X18+Y18</f>
        <v>1426</v>
      </c>
      <c r="AA18" s="98">
        <f t="shared" ref="AA18:AC19" si="288">U18+X18</f>
        <v>2796</v>
      </c>
      <c r="AB18" s="98">
        <f t="shared" si="288"/>
        <v>2592</v>
      </c>
      <c r="AC18" s="98">
        <f t="shared" si="288"/>
        <v>5388</v>
      </c>
      <c r="AD18" s="116">
        <f>AA18/R18</f>
        <v>0.47039030955585465</v>
      </c>
      <c r="AE18" s="116">
        <f>AB18/S18</f>
        <v>0.5428272251308901</v>
      </c>
      <c r="AF18" s="116">
        <f>AC18/T18</f>
        <v>0.50265883011474954</v>
      </c>
      <c r="AG18" s="98">
        <f t="shared" ref="AG18" si="289">C18+R18</f>
        <v>187824</v>
      </c>
      <c r="AH18" s="98">
        <f t="shared" ref="AH18" si="290">D18+S18</f>
        <v>214126</v>
      </c>
      <c r="AI18" s="98">
        <f t="shared" ref="AI18" si="291">E18+T18</f>
        <v>401950</v>
      </c>
      <c r="AJ18" s="98">
        <f t="shared" ref="AJ18" si="292">F18+U18</f>
        <v>111162</v>
      </c>
      <c r="AK18" s="98">
        <f t="shared" ref="AK18" si="293">G18+V18</f>
        <v>132437</v>
      </c>
      <c r="AL18" s="98">
        <f t="shared" ref="AL18" si="294">H18+W18</f>
        <v>243599</v>
      </c>
      <c r="AM18" s="98">
        <f t="shared" ref="AM18" si="295">I18+X18</f>
        <v>2422</v>
      </c>
      <c r="AN18" s="98">
        <f t="shared" ref="AN18" si="296">J18+Y18</f>
        <v>2432</v>
      </c>
      <c r="AO18" s="98">
        <f t="shared" ref="AO18" si="297">K18+Z18</f>
        <v>4854</v>
      </c>
      <c r="AP18" s="98">
        <f t="shared" ref="AP18" si="298">L18+AA18</f>
        <v>113584</v>
      </c>
      <c r="AQ18" s="98">
        <f t="shared" ref="AQ18" si="299">M18+AB18</f>
        <v>134869</v>
      </c>
      <c r="AR18" s="98">
        <f t="shared" ref="AR18" si="300">N18+AC18</f>
        <v>248453</v>
      </c>
      <c r="AS18" s="116">
        <f>AP18/AG18</f>
        <v>0.60473634892239547</v>
      </c>
      <c r="AT18" s="116">
        <f t="shared" ref="AT18:AU20" si="301">AQ18/AH18</f>
        <v>0.62985812091945859</v>
      </c>
      <c r="AU18" s="116">
        <f t="shared" si="301"/>
        <v>0.61811916905087694</v>
      </c>
      <c r="AV18" s="99">
        <v>27461</v>
      </c>
      <c r="AW18" s="99">
        <v>31119</v>
      </c>
      <c r="AX18" s="99">
        <f>+AV18+AW18</f>
        <v>58580</v>
      </c>
      <c r="AY18" s="99">
        <v>15431</v>
      </c>
      <c r="AZ18" s="99">
        <v>18048</v>
      </c>
      <c r="BA18" s="99">
        <f>+AY18+AZ18</f>
        <v>33479</v>
      </c>
      <c r="BB18" s="99">
        <v>280</v>
      </c>
      <c r="BC18" s="99">
        <v>299</v>
      </c>
      <c r="BD18" s="99">
        <f>+BB18+BC18</f>
        <v>579</v>
      </c>
      <c r="BE18" s="99">
        <f>+AY18+BB18</f>
        <v>15711</v>
      </c>
      <c r="BF18" s="99">
        <f>+AZ18+BC18</f>
        <v>18347</v>
      </c>
      <c r="BG18" s="99">
        <f>+BA18+BD18</f>
        <v>34058</v>
      </c>
      <c r="BH18" s="116">
        <f>BE18/AV18</f>
        <v>0.57212046174574849</v>
      </c>
      <c r="BI18" s="116">
        <f>BF18/AW18</f>
        <v>0.58957550049808793</v>
      </c>
      <c r="BJ18" s="116">
        <f>BG18/AX18</f>
        <v>0.58139296688289521</v>
      </c>
      <c r="BK18" s="95">
        <v>900</v>
      </c>
      <c r="BL18" s="95">
        <v>697</v>
      </c>
      <c r="BM18" s="98">
        <f>BK18+BL18</f>
        <v>1597</v>
      </c>
      <c r="BN18" s="99">
        <v>296</v>
      </c>
      <c r="BO18" s="99">
        <v>326</v>
      </c>
      <c r="BP18" s="99">
        <f>BN18+BO18</f>
        <v>622</v>
      </c>
      <c r="BQ18" s="99">
        <v>124</v>
      </c>
      <c r="BR18" s="99">
        <v>112</v>
      </c>
      <c r="BS18" s="99">
        <f>BQ18+BR18</f>
        <v>236</v>
      </c>
      <c r="BT18" s="99">
        <f>+BN18+BQ18</f>
        <v>420</v>
      </c>
      <c r="BU18" s="99">
        <f>+BO18+BR18</f>
        <v>438</v>
      </c>
      <c r="BV18" s="99">
        <f>+BP18+BS18</f>
        <v>858</v>
      </c>
      <c r="BW18" s="116">
        <f>BT18/BK18</f>
        <v>0.46666666666666667</v>
      </c>
      <c r="BX18" s="116">
        <f>BU18/BL18</f>
        <v>0.6284074605451937</v>
      </c>
      <c r="BY18" s="116">
        <f>BV18/BM18</f>
        <v>0.53725735754539761</v>
      </c>
      <c r="BZ18" s="98">
        <f t="shared" ref="BZ18" si="302">AV18+BK18</f>
        <v>28361</v>
      </c>
      <c r="CA18" s="98">
        <f t="shared" ref="CA18" si="303">AW18+BL18</f>
        <v>31816</v>
      </c>
      <c r="CB18" s="98">
        <f t="shared" ref="CB18" si="304">AX18+BM18</f>
        <v>60177</v>
      </c>
      <c r="CC18" s="98">
        <f t="shared" ref="CC18" si="305">AY18+BN18</f>
        <v>15727</v>
      </c>
      <c r="CD18" s="98">
        <f t="shared" ref="CD18" si="306">AZ18+BO18</f>
        <v>18374</v>
      </c>
      <c r="CE18" s="98">
        <f t="shared" ref="CE18" si="307">BA18+BP18</f>
        <v>34101</v>
      </c>
      <c r="CF18" s="98">
        <f t="shared" ref="CF18" si="308">BB18+BQ18</f>
        <v>404</v>
      </c>
      <c r="CG18" s="98">
        <f t="shared" ref="CG18" si="309">BC18+BR18</f>
        <v>411</v>
      </c>
      <c r="CH18" s="98">
        <f t="shared" ref="CH18" si="310">BD18+BS18</f>
        <v>815</v>
      </c>
      <c r="CI18" s="98">
        <f t="shared" ref="CI18" si="311">BE18+BT18</f>
        <v>16131</v>
      </c>
      <c r="CJ18" s="98">
        <f t="shared" ref="CJ18" si="312">BF18+BU18</f>
        <v>18785</v>
      </c>
      <c r="CK18" s="98">
        <f t="shared" ref="CK18" si="313">BG18+BV18</f>
        <v>34916</v>
      </c>
      <c r="CL18" s="116">
        <f>CI18/BZ18</f>
        <v>0.56877402066217697</v>
      </c>
      <c r="CM18" s="116">
        <f>CJ18/CA18</f>
        <v>0.59042620065375917</v>
      </c>
      <c r="CN18" s="116">
        <f>CK18/CB18</f>
        <v>0.5802216793791648</v>
      </c>
      <c r="CO18" s="99">
        <v>50535</v>
      </c>
      <c r="CP18" s="99">
        <v>61282</v>
      </c>
      <c r="CQ18" s="99">
        <f>+CO18+CP18</f>
        <v>111817</v>
      </c>
      <c r="CR18" s="99">
        <v>29297</v>
      </c>
      <c r="CS18" s="99">
        <v>35632</v>
      </c>
      <c r="CT18" s="99">
        <f>+CR18+CS18</f>
        <v>64929</v>
      </c>
      <c r="CU18" s="99">
        <v>378</v>
      </c>
      <c r="CV18" s="99">
        <v>446</v>
      </c>
      <c r="CW18" s="99">
        <f>+CU18+CV18</f>
        <v>824</v>
      </c>
      <c r="CX18" s="99">
        <f>+CR18+CU18</f>
        <v>29675</v>
      </c>
      <c r="CY18" s="99">
        <f>+CS18+CV18</f>
        <v>36078</v>
      </c>
      <c r="CZ18" s="99">
        <f>+CT18+CW18</f>
        <v>65753</v>
      </c>
      <c r="DA18" s="116">
        <f>CX18/CO18</f>
        <v>0.58721678044919368</v>
      </c>
      <c r="DB18" s="116">
        <f>CY18/CP18</f>
        <v>0.58872099474560224</v>
      </c>
      <c r="DC18" s="116">
        <f>CZ18/CQ18</f>
        <v>0.58804117441891657</v>
      </c>
      <c r="DD18" s="95">
        <v>1376</v>
      </c>
      <c r="DE18" s="95">
        <v>1324</v>
      </c>
      <c r="DF18" s="98">
        <f>DD18+DE18</f>
        <v>2700</v>
      </c>
      <c r="DG18" s="99">
        <v>473</v>
      </c>
      <c r="DH18" s="99">
        <v>498</v>
      </c>
      <c r="DI18" s="99">
        <f>+DG18+DH18</f>
        <v>971</v>
      </c>
      <c r="DJ18" s="99">
        <v>170</v>
      </c>
      <c r="DK18" s="99">
        <v>126</v>
      </c>
      <c r="DL18" s="99">
        <f>DJ18+DK18</f>
        <v>296</v>
      </c>
      <c r="DM18" s="99">
        <f>+DG18+DJ18</f>
        <v>643</v>
      </c>
      <c r="DN18" s="99">
        <f>+DH18+DK18</f>
        <v>624</v>
      </c>
      <c r="DO18" s="99">
        <f>+DI18+DL18</f>
        <v>1267</v>
      </c>
      <c r="DP18" s="116">
        <f>DM18/DD18</f>
        <v>0.46729651162790697</v>
      </c>
      <c r="DQ18" s="116">
        <f>DN18/DE18</f>
        <v>0.47129909365558914</v>
      </c>
      <c r="DR18" s="116">
        <f>DO18/DF18</f>
        <v>0.46925925925925926</v>
      </c>
      <c r="DS18" s="98">
        <f t="shared" ref="DS18" si="314">CO18+DD18</f>
        <v>51911</v>
      </c>
      <c r="DT18" s="98">
        <f t="shared" ref="DT18" si="315">CP18+DE18</f>
        <v>62606</v>
      </c>
      <c r="DU18" s="98">
        <f t="shared" ref="DU18" si="316">CQ18+DF18</f>
        <v>114517</v>
      </c>
      <c r="DV18" s="98">
        <f t="shared" ref="DV18:ED18" si="317">CR18+DG18</f>
        <v>29770</v>
      </c>
      <c r="DW18" s="98">
        <f t="shared" si="317"/>
        <v>36130</v>
      </c>
      <c r="DX18" s="98">
        <f t="shared" si="317"/>
        <v>65900</v>
      </c>
      <c r="DY18" s="98">
        <f t="shared" si="317"/>
        <v>548</v>
      </c>
      <c r="DZ18" s="98">
        <f t="shared" si="317"/>
        <v>572</v>
      </c>
      <c r="EA18" s="98">
        <f t="shared" si="317"/>
        <v>1120</v>
      </c>
      <c r="EB18" s="98">
        <f t="shared" si="317"/>
        <v>30318</v>
      </c>
      <c r="EC18" s="98">
        <f t="shared" si="317"/>
        <v>36702</v>
      </c>
      <c r="ED18" s="98">
        <f t="shared" si="317"/>
        <v>67020</v>
      </c>
      <c r="EE18" s="116">
        <f>EB18/DS18</f>
        <v>0.58403806514996826</v>
      </c>
      <c r="EF18" s="116">
        <f>EC18/DT18</f>
        <v>0.58623774079161739</v>
      </c>
      <c r="EG18" s="116">
        <f>ED18/DU18</f>
        <v>0.58524061929669835</v>
      </c>
      <c r="EH18" s="98">
        <f t="shared" ref="EH18:EJ20" si="318">+AP18</f>
        <v>113584</v>
      </c>
      <c r="EI18" s="98">
        <f t="shared" si="318"/>
        <v>134869</v>
      </c>
      <c r="EJ18" s="98">
        <f t="shared" si="318"/>
        <v>248453</v>
      </c>
      <c r="EK18" s="101">
        <v>23725</v>
      </c>
      <c r="EL18" s="101">
        <v>26408</v>
      </c>
      <c r="EM18" s="98">
        <f>EK18+EL18</f>
        <v>50133</v>
      </c>
      <c r="EN18" s="100">
        <f>+EK18*100/EH18</f>
        <v>20.887625017608112</v>
      </c>
      <c r="EO18" s="100">
        <f>+EL18*100/EI18</f>
        <v>19.58048180085861</v>
      </c>
      <c r="EP18" s="100">
        <f>+EM18*100/EJ18</f>
        <v>20.178061846707426</v>
      </c>
      <c r="EQ18" s="98">
        <f>+CI18</f>
        <v>16131</v>
      </c>
      <c r="ER18" s="98">
        <f>+CJ18</f>
        <v>18785</v>
      </c>
      <c r="ES18" s="98">
        <f>+CK18</f>
        <v>34916</v>
      </c>
      <c r="ET18" s="101">
        <v>3167</v>
      </c>
      <c r="EU18" s="101">
        <v>3222</v>
      </c>
      <c r="EV18" s="98">
        <f>ET18+EU18</f>
        <v>6389</v>
      </c>
      <c r="EW18" s="100">
        <f>+ET18*100/EQ18</f>
        <v>19.633004773417642</v>
      </c>
      <c r="EX18" s="100">
        <f>+EU18*100/ER18</f>
        <v>17.151982965131754</v>
      </c>
      <c r="EY18" s="100">
        <f>+EV18*100/ES18</f>
        <v>18.298201397640049</v>
      </c>
      <c r="EZ18" s="98">
        <f>+EB18</f>
        <v>30318</v>
      </c>
      <c r="FA18" s="98">
        <f>+EC18</f>
        <v>36702</v>
      </c>
      <c r="FB18" s="98">
        <f>+ED18</f>
        <v>67020</v>
      </c>
      <c r="FC18" s="101">
        <v>4276</v>
      </c>
      <c r="FD18" s="101">
        <v>4489</v>
      </c>
      <c r="FE18" s="98">
        <f>FC18+FD18</f>
        <v>8765</v>
      </c>
      <c r="FF18" s="100">
        <f>+FC18*100/EZ18</f>
        <v>14.103832706642919</v>
      </c>
      <c r="FG18" s="100">
        <f>+FD18*100/FA18</f>
        <v>12.23094109312844</v>
      </c>
      <c r="FH18" s="100">
        <f>+FE18*100/FB18</f>
        <v>13.078185616233959</v>
      </c>
    </row>
    <row r="19" spans="1:164" ht="27" customHeight="1">
      <c r="A19" s="94">
        <v>10</v>
      </c>
      <c r="B19" s="118" t="s">
        <v>93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97">
        <f t="shared" si="287"/>
        <v>0</v>
      </c>
      <c r="M19" s="98">
        <f t="shared" si="287"/>
        <v>0</v>
      </c>
      <c r="N19" s="98">
        <f t="shared" si="287"/>
        <v>0</v>
      </c>
      <c r="O19" s="112"/>
      <c r="P19" s="112"/>
      <c r="Q19" s="112"/>
      <c r="R19" s="98">
        <v>111</v>
      </c>
      <c r="S19" s="98">
        <v>69</v>
      </c>
      <c r="T19" s="98">
        <f>R19+S19</f>
        <v>180</v>
      </c>
      <c r="U19" s="98">
        <v>63</v>
      </c>
      <c r="V19" s="98">
        <v>59</v>
      </c>
      <c r="W19" s="98">
        <f>U19+V19</f>
        <v>122</v>
      </c>
      <c r="X19" s="103"/>
      <c r="Y19" s="103"/>
      <c r="Z19" s="103"/>
      <c r="AA19" s="98">
        <f t="shared" si="288"/>
        <v>63</v>
      </c>
      <c r="AB19" s="98">
        <f t="shared" si="288"/>
        <v>59</v>
      </c>
      <c r="AC19" s="98">
        <f t="shared" si="288"/>
        <v>122</v>
      </c>
      <c r="AD19" s="116">
        <f t="shared" ref="AD19" si="319">AA19/R19</f>
        <v>0.56756756756756754</v>
      </c>
      <c r="AE19" s="116">
        <f t="shared" ref="AE19" si="320">AB19/S19</f>
        <v>0.85507246376811596</v>
      </c>
      <c r="AF19" s="116">
        <f>AC19/T19</f>
        <v>0.67777777777777781</v>
      </c>
      <c r="AG19" s="98">
        <f t="shared" ref="AG19:AL20" si="321">C19+R19</f>
        <v>111</v>
      </c>
      <c r="AH19" s="98">
        <f t="shared" si="321"/>
        <v>69</v>
      </c>
      <c r="AI19" s="98">
        <f t="shared" si="321"/>
        <v>180</v>
      </c>
      <c r="AJ19" s="98">
        <f t="shared" si="321"/>
        <v>63</v>
      </c>
      <c r="AK19" s="98">
        <f t="shared" si="321"/>
        <v>59</v>
      </c>
      <c r="AL19" s="98">
        <f t="shared" si="321"/>
        <v>122</v>
      </c>
      <c r="AM19" s="103"/>
      <c r="AN19" s="103"/>
      <c r="AO19" s="103"/>
      <c r="AP19" s="98">
        <f t="shared" ref="AP19:AR20" si="322">L19+AA19</f>
        <v>63</v>
      </c>
      <c r="AQ19" s="98">
        <f t="shared" si="322"/>
        <v>59</v>
      </c>
      <c r="AR19" s="98">
        <f t="shared" si="322"/>
        <v>122</v>
      </c>
      <c r="AS19" s="116">
        <f>AP19/AG19</f>
        <v>0.56756756756756754</v>
      </c>
      <c r="AT19" s="116">
        <f t="shared" si="301"/>
        <v>0.85507246376811596</v>
      </c>
      <c r="AU19" s="116">
        <f t="shared" si="301"/>
        <v>0.67777777777777781</v>
      </c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12"/>
      <c r="BI19" s="112"/>
      <c r="BJ19" s="112"/>
      <c r="BK19" s="103"/>
      <c r="BL19" s="103"/>
      <c r="BM19" s="103"/>
      <c r="BN19" s="104"/>
      <c r="BO19" s="104"/>
      <c r="BP19" s="104"/>
      <c r="BQ19" s="104"/>
      <c r="BR19" s="104"/>
      <c r="BS19" s="104"/>
      <c r="BT19" s="104"/>
      <c r="BU19" s="104"/>
      <c r="BV19" s="104"/>
      <c r="BW19" s="112"/>
      <c r="BX19" s="112"/>
      <c r="BY19" s="112"/>
      <c r="BZ19" s="98">
        <f t="shared" ref="BZ19:CB22" si="323">AV19+BK19</f>
        <v>0</v>
      </c>
      <c r="CA19" s="98">
        <f t="shared" si="323"/>
        <v>0</v>
      </c>
      <c r="CB19" s="98">
        <f t="shared" si="323"/>
        <v>0</v>
      </c>
      <c r="CC19" s="103"/>
      <c r="CD19" s="103"/>
      <c r="CE19" s="103"/>
      <c r="CF19" s="103"/>
      <c r="CG19" s="103"/>
      <c r="CH19" s="103"/>
      <c r="CI19" s="103"/>
      <c r="CJ19" s="103"/>
      <c r="CK19" s="103"/>
      <c r="CL19" s="116">
        <v>0</v>
      </c>
      <c r="CM19" s="116">
        <v>0</v>
      </c>
      <c r="CN19" s="116">
        <v>0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12"/>
      <c r="DB19" s="112"/>
      <c r="DC19" s="112"/>
      <c r="DD19" s="103"/>
      <c r="DE19" s="103"/>
      <c r="DF19" s="103"/>
      <c r="DG19" s="104"/>
      <c r="DH19" s="104"/>
      <c r="DI19" s="104"/>
      <c r="DJ19" s="104"/>
      <c r="DK19" s="104"/>
      <c r="DL19" s="104"/>
      <c r="DM19" s="104"/>
      <c r="DN19" s="104"/>
      <c r="DO19" s="104"/>
      <c r="DP19" s="112"/>
      <c r="DQ19" s="112"/>
      <c r="DR19" s="112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12"/>
      <c r="EF19" s="112"/>
      <c r="EG19" s="112"/>
      <c r="EH19" s="98">
        <f t="shared" si="318"/>
        <v>63</v>
      </c>
      <c r="EI19" s="98">
        <f t="shared" si="318"/>
        <v>59</v>
      </c>
      <c r="EJ19" s="98">
        <f t="shared" si="318"/>
        <v>122</v>
      </c>
      <c r="EK19" s="98">
        <v>0</v>
      </c>
      <c r="EL19" s="98">
        <v>3</v>
      </c>
      <c r="EM19" s="98">
        <f>EK19+EL19</f>
        <v>3</v>
      </c>
      <c r="EN19" s="98">
        <v>0</v>
      </c>
      <c r="EO19" s="100">
        <f>+EL19*100/EI19</f>
        <v>5.0847457627118642</v>
      </c>
      <c r="EP19" s="100">
        <f>+EM19*100/EJ19</f>
        <v>2.459016393442623</v>
      </c>
      <c r="EQ19" s="103"/>
      <c r="ER19" s="103"/>
      <c r="ES19" s="103"/>
      <c r="ET19" s="103"/>
      <c r="EU19" s="103"/>
      <c r="EV19" s="103"/>
      <c r="EW19" s="110"/>
      <c r="EX19" s="110"/>
      <c r="EY19" s="110"/>
      <c r="EZ19" s="103"/>
      <c r="FA19" s="103"/>
      <c r="FB19" s="103"/>
      <c r="FC19" s="103"/>
      <c r="FD19" s="103"/>
      <c r="FE19" s="103"/>
      <c r="FF19" s="110"/>
      <c r="FG19" s="110"/>
      <c r="FH19" s="110"/>
    </row>
    <row r="20" spans="1:164" ht="27" customHeight="1">
      <c r="A20" s="94">
        <v>11</v>
      </c>
      <c r="B20" s="118" t="s">
        <v>144</v>
      </c>
      <c r="C20" s="96">
        <v>440</v>
      </c>
      <c r="D20" s="96">
        <v>312</v>
      </c>
      <c r="E20" s="96">
        <f>C20+D20</f>
        <v>752</v>
      </c>
      <c r="F20" s="96">
        <v>399</v>
      </c>
      <c r="G20" s="96">
        <v>297</v>
      </c>
      <c r="H20" s="96">
        <f>F20+G20</f>
        <v>696</v>
      </c>
      <c r="I20" s="96">
        <v>10</v>
      </c>
      <c r="J20" s="96">
        <v>2</v>
      </c>
      <c r="K20" s="96">
        <f>I20+J20</f>
        <v>12</v>
      </c>
      <c r="L20" s="97">
        <f t="shared" si="287"/>
        <v>409</v>
      </c>
      <c r="M20" s="98">
        <f t="shared" si="287"/>
        <v>299</v>
      </c>
      <c r="N20" s="98">
        <f t="shared" si="287"/>
        <v>708</v>
      </c>
      <c r="O20" s="116">
        <f>L20/C20</f>
        <v>0.92954545454545456</v>
      </c>
      <c r="P20" s="116">
        <f>M20/D20</f>
        <v>0.95833333333333337</v>
      </c>
      <c r="Q20" s="116">
        <f t="shared" ref="Q20" si="324">N20/E20</f>
        <v>0.94148936170212771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12"/>
      <c r="AE20" s="112"/>
      <c r="AF20" s="112"/>
      <c r="AG20" s="98">
        <f t="shared" si="321"/>
        <v>440</v>
      </c>
      <c r="AH20" s="98">
        <f t="shared" si="321"/>
        <v>312</v>
      </c>
      <c r="AI20" s="98">
        <f t="shared" si="321"/>
        <v>752</v>
      </c>
      <c r="AJ20" s="98">
        <f t="shared" si="321"/>
        <v>399</v>
      </c>
      <c r="AK20" s="98">
        <f t="shared" si="321"/>
        <v>297</v>
      </c>
      <c r="AL20" s="98">
        <f t="shared" si="321"/>
        <v>696</v>
      </c>
      <c r="AM20" s="98">
        <f>I20+X20</f>
        <v>10</v>
      </c>
      <c r="AN20" s="98">
        <f>J20+Y20</f>
        <v>2</v>
      </c>
      <c r="AO20" s="98">
        <f>K20+Z20</f>
        <v>12</v>
      </c>
      <c r="AP20" s="98">
        <f t="shared" si="322"/>
        <v>409</v>
      </c>
      <c r="AQ20" s="98">
        <f t="shared" si="322"/>
        <v>299</v>
      </c>
      <c r="AR20" s="98">
        <f t="shared" si="322"/>
        <v>708</v>
      </c>
      <c r="AS20" s="116">
        <f>AP20/AG20</f>
        <v>0.92954545454545456</v>
      </c>
      <c r="AT20" s="116">
        <f t="shared" si="301"/>
        <v>0.95833333333333337</v>
      </c>
      <c r="AU20" s="116">
        <f t="shared" si="301"/>
        <v>0.94148936170212771</v>
      </c>
      <c r="AV20" s="99">
        <v>38</v>
      </c>
      <c r="AW20" s="99">
        <v>50</v>
      </c>
      <c r="AX20" s="99">
        <f>+AV20+AW20</f>
        <v>88</v>
      </c>
      <c r="AY20" s="99">
        <v>35</v>
      </c>
      <c r="AZ20" s="99">
        <v>46</v>
      </c>
      <c r="BA20" s="99">
        <f>+AY20+AZ20</f>
        <v>81</v>
      </c>
      <c r="BB20" s="99">
        <v>1</v>
      </c>
      <c r="BC20" s="99">
        <v>2</v>
      </c>
      <c r="BD20" s="99">
        <f>+BB20+BC20</f>
        <v>3</v>
      </c>
      <c r="BE20" s="99">
        <f>+AY20+BB20</f>
        <v>36</v>
      </c>
      <c r="BF20" s="99">
        <f>+AZ20+BC20</f>
        <v>48</v>
      </c>
      <c r="BG20" s="99">
        <f>+BA20+BD20</f>
        <v>84</v>
      </c>
      <c r="BH20" s="116">
        <f>BE20/AV20</f>
        <v>0.94736842105263153</v>
      </c>
      <c r="BI20" s="116">
        <f>BF20/AW20</f>
        <v>0.96</v>
      </c>
      <c r="BJ20" s="116">
        <f>BG20/AX20</f>
        <v>0.95454545454545459</v>
      </c>
      <c r="BK20" s="103"/>
      <c r="BL20" s="103"/>
      <c r="BM20" s="103"/>
      <c r="BN20" s="104"/>
      <c r="BO20" s="104"/>
      <c r="BP20" s="104"/>
      <c r="BQ20" s="104"/>
      <c r="BR20" s="104"/>
      <c r="BS20" s="104"/>
      <c r="BT20" s="104"/>
      <c r="BU20" s="104"/>
      <c r="BV20" s="104"/>
      <c r="BW20" s="112"/>
      <c r="BX20" s="112"/>
      <c r="BY20" s="112"/>
      <c r="BZ20" s="98">
        <f t="shared" si="323"/>
        <v>38</v>
      </c>
      <c r="CA20" s="98">
        <f t="shared" si="323"/>
        <v>50</v>
      </c>
      <c r="CB20" s="98">
        <f t="shared" si="323"/>
        <v>88</v>
      </c>
      <c r="CC20" s="98">
        <f t="shared" ref="CC20:CK20" si="325">AY20+BN20</f>
        <v>35</v>
      </c>
      <c r="CD20" s="98">
        <f t="shared" si="325"/>
        <v>46</v>
      </c>
      <c r="CE20" s="98">
        <f t="shared" si="325"/>
        <v>81</v>
      </c>
      <c r="CF20" s="98">
        <f t="shared" si="325"/>
        <v>1</v>
      </c>
      <c r="CG20" s="98">
        <f t="shared" si="325"/>
        <v>2</v>
      </c>
      <c r="CH20" s="98">
        <f t="shared" si="325"/>
        <v>3</v>
      </c>
      <c r="CI20" s="98">
        <f t="shared" si="325"/>
        <v>36</v>
      </c>
      <c r="CJ20" s="98">
        <f t="shared" si="325"/>
        <v>48</v>
      </c>
      <c r="CK20" s="98">
        <f t="shared" si="325"/>
        <v>84</v>
      </c>
      <c r="CL20" s="116">
        <f>CI20/BZ20</f>
        <v>0.94736842105263153</v>
      </c>
      <c r="CM20" s="116">
        <f>CJ20/CA20</f>
        <v>0.96</v>
      </c>
      <c r="CN20" s="116">
        <f>CK20/CB20</f>
        <v>0.95454545454545459</v>
      </c>
      <c r="CO20" s="99">
        <v>179</v>
      </c>
      <c r="CP20" s="99">
        <v>106</v>
      </c>
      <c r="CQ20" s="99">
        <f>+CO20+CP20</f>
        <v>285</v>
      </c>
      <c r="CR20" s="99">
        <v>174</v>
      </c>
      <c r="CS20" s="99">
        <v>102</v>
      </c>
      <c r="CT20" s="99">
        <f>+CR20+CS20</f>
        <v>276</v>
      </c>
      <c r="CU20" s="99">
        <v>1</v>
      </c>
      <c r="CV20" s="99">
        <v>1</v>
      </c>
      <c r="CW20" s="99">
        <f>+CU20+CV20</f>
        <v>2</v>
      </c>
      <c r="CX20" s="99">
        <f>+CR20+CU20</f>
        <v>175</v>
      </c>
      <c r="CY20" s="99">
        <f>+CS20+CV20</f>
        <v>103</v>
      </c>
      <c r="CZ20" s="99">
        <f>+CT20+CW20</f>
        <v>278</v>
      </c>
      <c r="DA20" s="116">
        <f>CX20/CO20</f>
        <v>0.97765363128491622</v>
      </c>
      <c r="DB20" s="116">
        <f>CY20/CP20</f>
        <v>0.97169811320754718</v>
      </c>
      <c r="DC20" s="116">
        <f>CZ20/CQ20</f>
        <v>0.9754385964912281</v>
      </c>
      <c r="DD20" s="103"/>
      <c r="DE20" s="103"/>
      <c r="DF20" s="103"/>
      <c r="DG20" s="104"/>
      <c r="DH20" s="104"/>
      <c r="DI20" s="104"/>
      <c r="DJ20" s="104"/>
      <c r="DK20" s="104"/>
      <c r="DL20" s="104"/>
      <c r="DM20" s="104"/>
      <c r="DN20" s="104"/>
      <c r="DO20" s="104"/>
      <c r="DP20" s="112"/>
      <c r="DQ20" s="112"/>
      <c r="DR20" s="112"/>
      <c r="DS20" s="98">
        <f t="shared" ref="DS20:ED20" si="326">CO20+DD20</f>
        <v>179</v>
      </c>
      <c r="DT20" s="98">
        <f t="shared" si="326"/>
        <v>106</v>
      </c>
      <c r="DU20" s="98">
        <f t="shared" si="326"/>
        <v>285</v>
      </c>
      <c r="DV20" s="98">
        <f t="shared" si="326"/>
        <v>174</v>
      </c>
      <c r="DW20" s="98">
        <f t="shared" si="326"/>
        <v>102</v>
      </c>
      <c r="DX20" s="98">
        <f t="shared" si="326"/>
        <v>276</v>
      </c>
      <c r="DY20" s="98">
        <f t="shared" si="326"/>
        <v>1</v>
      </c>
      <c r="DZ20" s="98">
        <f t="shared" si="326"/>
        <v>1</v>
      </c>
      <c r="EA20" s="98">
        <f t="shared" si="326"/>
        <v>2</v>
      </c>
      <c r="EB20" s="98">
        <f t="shared" si="326"/>
        <v>175</v>
      </c>
      <c r="EC20" s="98">
        <f t="shared" si="326"/>
        <v>103</v>
      </c>
      <c r="ED20" s="98">
        <f t="shared" si="326"/>
        <v>278</v>
      </c>
      <c r="EE20" s="116">
        <f>EB20/DS20</f>
        <v>0.97765363128491622</v>
      </c>
      <c r="EF20" s="116">
        <f>EC20/DT20</f>
        <v>0.97169811320754718</v>
      </c>
      <c r="EG20" s="116">
        <f>ED20/DU20</f>
        <v>0.9754385964912281</v>
      </c>
      <c r="EH20" s="98">
        <f t="shared" si="318"/>
        <v>409</v>
      </c>
      <c r="EI20" s="98">
        <f t="shared" si="318"/>
        <v>299</v>
      </c>
      <c r="EJ20" s="98">
        <f t="shared" si="318"/>
        <v>708</v>
      </c>
      <c r="EK20" s="98">
        <v>127</v>
      </c>
      <c r="EL20" s="98">
        <v>92</v>
      </c>
      <c r="EM20" s="98">
        <f>EK20+EL20</f>
        <v>219</v>
      </c>
      <c r="EN20" s="100">
        <f>+EK20*100/EH20</f>
        <v>31.051344743276285</v>
      </c>
      <c r="EO20" s="100">
        <f>+EL20*100/EI20</f>
        <v>30.76923076923077</v>
      </c>
      <c r="EP20" s="100">
        <f>+EM20*100/EJ20</f>
        <v>30.932203389830509</v>
      </c>
      <c r="EQ20" s="98">
        <f>+CI20</f>
        <v>36</v>
      </c>
      <c r="ER20" s="98">
        <f>+CJ20</f>
        <v>48</v>
      </c>
      <c r="ES20" s="98">
        <f>+CK20</f>
        <v>84</v>
      </c>
      <c r="ET20" s="98">
        <v>13</v>
      </c>
      <c r="EU20" s="98">
        <v>19</v>
      </c>
      <c r="EV20" s="98">
        <f>ET20+EU20</f>
        <v>32</v>
      </c>
      <c r="EW20" s="100">
        <f>+ET20*100/EQ20</f>
        <v>36.111111111111114</v>
      </c>
      <c r="EX20" s="100">
        <f>+EU20*100/ER20</f>
        <v>39.583333333333336</v>
      </c>
      <c r="EY20" s="100">
        <f>+EV20*100/ES20</f>
        <v>38.095238095238095</v>
      </c>
      <c r="EZ20" s="98">
        <f>+EB20</f>
        <v>175</v>
      </c>
      <c r="FA20" s="98">
        <f>+EC20</f>
        <v>103</v>
      </c>
      <c r="FB20" s="98">
        <f>+ED20</f>
        <v>278</v>
      </c>
      <c r="FC20" s="98">
        <v>87</v>
      </c>
      <c r="FD20" s="98">
        <v>45</v>
      </c>
      <c r="FE20" s="98">
        <f>FC20+FD20</f>
        <v>132</v>
      </c>
      <c r="FF20" s="100">
        <f>+FC20*100/EZ20</f>
        <v>49.714285714285715</v>
      </c>
      <c r="FG20" s="100">
        <f>+FD20*100/FA20</f>
        <v>43.689320388349515</v>
      </c>
      <c r="FH20" s="100">
        <f>+FE20*100/FB20</f>
        <v>47.482014388489212</v>
      </c>
    </row>
    <row r="21" spans="1:164" ht="28.5">
      <c r="A21" s="94">
        <v>12</v>
      </c>
      <c r="B21" s="372" t="s">
        <v>148</v>
      </c>
      <c r="C21" s="96">
        <v>9163</v>
      </c>
      <c r="D21" s="96">
        <v>9599</v>
      </c>
      <c r="E21" s="96">
        <f>C21+D21</f>
        <v>18762</v>
      </c>
      <c r="F21" s="96">
        <v>8381</v>
      </c>
      <c r="G21" s="96">
        <v>8844</v>
      </c>
      <c r="H21" s="96">
        <f>F21+G21</f>
        <v>17225</v>
      </c>
      <c r="I21" s="96">
        <v>265</v>
      </c>
      <c r="J21" s="96">
        <v>273</v>
      </c>
      <c r="K21" s="96">
        <f>I21+J21</f>
        <v>538</v>
      </c>
      <c r="L21" s="97">
        <f t="shared" si="287"/>
        <v>8646</v>
      </c>
      <c r="M21" s="98">
        <f t="shared" si="287"/>
        <v>9117</v>
      </c>
      <c r="N21" s="98">
        <f t="shared" si="287"/>
        <v>17763</v>
      </c>
      <c r="O21" s="116">
        <f t="shared" ref="O21:O22" si="327">L21/C21</f>
        <v>0.943577430972389</v>
      </c>
      <c r="P21" s="116">
        <f t="shared" ref="P21:P22" si="328">M21/D21</f>
        <v>0.94978643608709246</v>
      </c>
      <c r="Q21" s="116">
        <f t="shared" ref="Q21:Q22" si="329">N21/E21</f>
        <v>0.94675407739047013</v>
      </c>
      <c r="R21" s="98">
        <v>363</v>
      </c>
      <c r="S21" s="98">
        <v>230</v>
      </c>
      <c r="T21" s="98">
        <f t="shared" ref="T21:T22" si="330">R21+S21</f>
        <v>593</v>
      </c>
      <c r="U21" s="98">
        <v>145</v>
      </c>
      <c r="V21" s="98">
        <v>98</v>
      </c>
      <c r="W21" s="98">
        <f t="shared" ref="W21:W22" si="331">U21+V21</f>
        <v>243</v>
      </c>
      <c r="X21" s="98">
        <v>35</v>
      </c>
      <c r="Y21" s="98">
        <v>22</v>
      </c>
      <c r="Z21" s="98">
        <f t="shared" ref="Z21:Z22" si="332">X21+Y21</f>
        <v>57</v>
      </c>
      <c r="AA21" s="98">
        <f t="shared" ref="AA21:AA22" si="333">U21+X21</f>
        <v>180</v>
      </c>
      <c r="AB21" s="98">
        <f t="shared" ref="AB21:AB22" si="334">V21+Y21</f>
        <v>120</v>
      </c>
      <c r="AC21" s="98">
        <f t="shared" ref="AC21:AC22" si="335">W21+Z21</f>
        <v>300</v>
      </c>
      <c r="AD21" s="116">
        <f t="shared" ref="AD21:AD22" si="336">AA21/R21</f>
        <v>0.49586776859504134</v>
      </c>
      <c r="AE21" s="116">
        <f t="shared" ref="AE21:AE22" si="337">AB21/S21</f>
        <v>0.52173913043478259</v>
      </c>
      <c r="AF21" s="116">
        <f t="shared" ref="AF21:AF22" si="338">AC21/T21</f>
        <v>0.50590219224283306</v>
      </c>
      <c r="AG21" s="98">
        <f t="shared" ref="AG21:AG22" si="339">C21+R21</f>
        <v>9526</v>
      </c>
      <c r="AH21" s="98">
        <f t="shared" ref="AH21:AH22" si="340">D21+S21</f>
        <v>9829</v>
      </c>
      <c r="AI21" s="98">
        <f t="shared" ref="AI21:AI22" si="341">E21+T21</f>
        <v>19355</v>
      </c>
      <c r="AJ21" s="98">
        <f t="shared" ref="AJ21:AJ22" si="342">F21+U21</f>
        <v>8526</v>
      </c>
      <c r="AK21" s="98">
        <f t="shared" ref="AK21:AK22" si="343">G21+V21</f>
        <v>8942</v>
      </c>
      <c r="AL21" s="98">
        <f t="shared" ref="AL21:AL22" si="344">H21+W21</f>
        <v>17468</v>
      </c>
      <c r="AM21" s="98">
        <f t="shared" ref="AM21:AM22" si="345">I21+X21</f>
        <v>300</v>
      </c>
      <c r="AN21" s="98">
        <f t="shared" ref="AN21:AN22" si="346">J21+Y21</f>
        <v>295</v>
      </c>
      <c r="AO21" s="98">
        <f t="shared" ref="AO21:AO22" si="347">K21+Z21</f>
        <v>595</v>
      </c>
      <c r="AP21" s="98">
        <f t="shared" ref="AP21:AP22" si="348">L21+AA21</f>
        <v>8826</v>
      </c>
      <c r="AQ21" s="98">
        <f t="shared" ref="AQ21:AQ22" si="349">M21+AB21</f>
        <v>9237</v>
      </c>
      <c r="AR21" s="98">
        <f t="shared" ref="AR21:AR22" si="350">N21+AC21</f>
        <v>18063</v>
      </c>
      <c r="AS21" s="116">
        <f t="shared" ref="AS21:AS22" si="351">AP21/AG21</f>
        <v>0.9265169011127441</v>
      </c>
      <c r="AT21" s="116">
        <f t="shared" ref="AT21:AT22" si="352">AQ21/AH21</f>
        <v>0.93977006816563236</v>
      </c>
      <c r="AU21" s="116">
        <f t="shared" ref="AU21:AU22" si="353">AR21/AI21</f>
        <v>0.93324722293980888</v>
      </c>
      <c r="AV21" s="99">
        <v>108</v>
      </c>
      <c r="AW21" s="99">
        <v>148</v>
      </c>
      <c r="AX21" s="99">
        <f t="shared" ref="AX21:AX22" si="354">+AV21+AW21</f>
        <v>256</v>
      </c>
      <c r="AY21" s="99">
        <v>96</v>
      </c>
      <c r="AZ21" s="99">
        <v>128</v>
      </c>
      <c r="BA21" s="99">
        <f t="shared" ref="BA21:BA22" si="355">+AY21+AZ21</f>
        <v>224</v>
      </c>
      <c r="BB21" s="99">
        <v>3</v>
      </c>
      <c r="BC21" s="99">
        <v>8</v>
      </c>
      <c r="BD21" s="99">
        <f t="shared" ref="BD21:BD22" si="356">+BB21+BC21</f>
        <v>11</v>
      </c>
      <c r="BE21" s="99">
        <f t="shared" ref="BE21:BE22" si="357">+AY21+BB21</f>
        <v>99</v>
      </c>
      <c r="BF21" s="99">
        <f t="shared" ref="BF21:BF22" si="358">+AZ21+BC21</f>
        <v>136</v>
      </c>
      <c r="BG21" s="99">
        <f t="shared" ref="BG21:BG22" si="359">+BA21+BD21</f>
        <v>235</v>
      </c>
      <c r="BH21" s="116">
        <f t="shared" ref="BH21:BH22" si="360">BE21/AV21</f>
        <v>0.91666666666666663</v>
      </c>
      <c r="BI21" s="116">
        <f t="shared" ref="BI21:BI22" si="361">BF21/AW21</f>
        <v>0.91891891891891897</v>
      </c>
      <c r="BJ21" s="116">
        <f t="shared" ref="BJ21:BJ22" si="362">BG21/AX21</f>
        <v>0.91796875</v>
      </c>
      <c r="BK21" s="95">
        <v>13</v>
      </c>
      <c r="BL21" s="95">
        <v>7</v>
      </c>
      <c r="BM21" s="98">
        <f t="shared" ref="BM21:BM22" si="363">BK21+BL21</f>
        <v>20</v>
      </c>
      <c r="BN21" s="99">
        <v>7</v>
      </c>
      <c r="BO21" s="99">
        <v>3</v>
      </c>
      <c r="BP21" s="99">
        <f t="shared" ref="BP21:BP22" si="364">BN21+BO21</f>
        <v>10</v>
      </c>
      <c r="BQ21" s="99">
        <v>2</v>
      </c>
      <c r="BR21" s="99">
        <v>0</v>
      </c>
      <c r="BS21" s="99">
        <f t="shared" ref="BS21:BS22" si="365">BQ21+BR21</f>
        <v>2</v>
      </c>
      <c r="BT21" s="99">
        <f t="shared" ref="BT21:BT22" si="366">+BN21+BQ21</f>
        <v>9</v>
      </c>
      <c r="BU21" s="99">
        <f t="shared" ref="BU21:BU22" si="367">+BO21+BR21</f>
        <v>3</v>
      </c>
      <c r="BV21" s="99">
        <f t="shared" ref="BV21:BV22" si="368">+BP21+BS21</f>
        <v>12</v>
      </c>
      <c r="BW21" s="116">
        <f t="shared" ref="BW21:BW22" si="369">BT21/BK21</f>
        <v>0.69230769230769229</v>
      </c>
      <c r="BX21" s="116">
        <f t="shared" ref="BX21:BX22" si="370">BU21/BL21</f>
        <v>0.42857142857142855</v>
      </c>
      <c r="BY21" s="116">
        <f t="shared" ref="BY21:BY22" si="371">BV21/BM21</f>
        <v>0.6</v>
      </c>
      <c r="BZ21" s="98">
        <f t="shared" si="323"/>
        <v>121</v>
      </c>
      <c r="CA21" s="98">
        <f t="shared" si="323"/>
        <v>155</v>
      </c>
      <c r="CB21" s="98">
        <f t="shared" si="323"/>
        <v>276</v>
      </c>
      <c r="CC21" s="98">
        <f t="shared" ref="CC21:CC22" si="372">AY21+BN21</f>
        <v>103</v>
      </c>
      <c r="CD21" s="98">
        <f t="shared" ref="CD21:CD22" si="373">AZ21+BO21</f>
        <v>131</v>
      </c>
      <c r="CE21" s="98">
        <f t="shared" ref="CE21:CE22" si="374">BA21+BP21</f>
        <v>234</v>
      </c>
      <c r="CF21" s="98">
        <f t="shared" ref="CF21:CF22" si="375">BB21+BQ21</f>
        <v>5</v>
      </c>
      <c r="CG21" s="98">
        <f t="shared" ref="CG21:CG22" si="376">BC21+BR21</f>
        <v>8</v>
      </c>
      <c r="CH21" s="98">
        <f t="shared" ref="CH21:CH22" si="377">BD21+BS21</f>
        <v>13</v>
      </c>
      <c r="CI21" s="98">
        <f t="shared" ref="CI21" si="378">BE21+BT21</f>
        <v>108</v>
      </c>
      <c r="CJ21" s="98">
        <f t="shared" ref="CJ21" si="379">BF21+BU21</f>
        <v>139</v>
      </c>
      <c r="CK21" s="98">
        <f t="shared" ref="CK21" si="380">BG21+BV21</f>
        <v>247</v>
      </c>
      <c r="CL21" s="116">
        <f t="shared" ref="CL21:CL22" si="381">CI21/BZ21</f>
        <v>0.8925619834710744</v>
      </c>
      <c r="CM21" s="116">
        <f t="shared" ref="CM21:CM22" si="382">CJ21/CA21</f>
        <v>0.89677419354838706</v>
      </c>
      <c r="CN21" s="116">
        <f t="shared" ref="CN21:CN22" si="383">CK21/CB21</f>
        <v>0.89492753623188404</v>
      </c>
      <c r="CO21" s="99">
        <v>1028</v>
      </c>
      <c r="CP21" s="99">
        <v>1118</v>
      </c>
      <c r="CQ21" s="99">
        <f t="shared" ref="CQ21:CQ22" si="384">+CO21+CP21</f>
        <v>2146</v>
      </c>
      <c r="CR21" s="99">
        <v>937</v>
      </c>
      <c r="CS21" s="99">
        <v>1028</v>
      </c>
      <c r="CT21" s="99">
        <f t="shared" ref="CT21:CT22" si="385">+CR21+CS21</f>
        <v>1965</v>
      </c>
      <c r="CU21" s="99">
        <v>29</v>
      </c>
      <c r="CV21" s="99">
        <v>39</v>
      </c>
      <c r="CW21" s="99">
        <f t="shared" ref="CW21:CW22" si="386">+CU21+CV21</f>
        <v>68</v>
      </c>
      <c r="CX21" s="99">
        <f t="shared" ref="CX21:CX22" si="387">+CR21+CU21</f>
        <v>966</v>
      </c>
      <c r="CY21" s="99">
        <f>+CS21+CV21</f>
        <v>1067</v>
      </c>
      <c r="CZ21" s="99">
        <f t="shared" ref="CZ21:CZ22" si="388">+CT21+CW21</f>
        <v>2033</v>
      </c>
      <c r="DA21" s="116">
        <f t="shared" ref="DA21:DA22" si="389">CX21/CO21</f>
        <v>0.93968871595330739</v>
      </c>
      <c r="DB21" s="116">
        <f t="shared" ref="DB21:DB22" si="390">CY21/CP21</f>
        <v>0.95438282647584971</v>
      </c>
      <c r="DC21" s="116">
        <f t="shared" ref="DC21:DC22" si="391">CZ21/CQ21</f>
        <v>0.94734389561975774</v>
      </c>
      <c r="DD21" s="95">
        <v>42</v>
      </c>
      <c r="DE21" s="95">
        <v>30</v>
      </c>
      <c r="DF21" s="98">
        <f t="shared" ref="DF21:DF22" si="392">DD21+DE21</f>
        <v>72</v>
      </c>
      <c r="DG21" s="99">
        <v>19</v>
      </c>
      <c r="DH21" s="99">
        <v>13</v>
      </c>
      <c r="DI21" s="99">
        <f t="shared" ref="DI21:DI22" si="393">+DG21+DH21</f>
        <v>32</v>
      </c>
      <c r="DJ21" s="99">
        <v>6</v>
      </c>
      <c r="DK21" s="99">
        <v>3</v>
      </c>
      <c r="DL21" s="99">
        <f t="shared" ref="DL21:DL22" si="394">DJ21+DK21</f>
        <v>9</v>
      </c>
      <c r="DM21" s="99">
        <f t="shared" ref="DM21:DM22" si="395">+DG21+DJ21</f>
        <v>25</v>
      </c>
      <c r="DN21" s="99">
        <f t="shared" ref="DN21:DN22" si="396">+DH21+DK21</f>
        <v>16</v>
      </c>
      <c r="DO21" s="99">
        <f t="shared" ref="DO21:DO22" si="397">+DI21+DL21</f>
        <v>41</v>
      </c>
      <c r="DP21" s="116">
        <f t="shared" ref="DP21:DP22" si="398">DM21/DD21</f>
        <v>0.59523809523809523</v>
      </c>
      <c r="DQ21" s="116">
        <f t="shared" ref="DQ21:DQ22" si="399">DN21/DE21</f>
        <v>0.53333333333333333</v>
      </c>
      <c r="DR21" s="116">
        <f t="shared" ref="DR21:DR22" si="400">DO21/DF21</f>
        <v>0.56944444444444442</v>
      </c>
      <c r="DS21" s="98">
        <f t="shared" ref="DS21:DS22" si="401">CO21+DD21</f>
        <v>1070</v>
      </c>
      <c r="DT21" s="98">
        <f t="shared" ref="DT21:DT22" si="402">CP21+DE21</f>
        <v>1148</v>
      </c>
      <c r="DU21" s="98">
        <f t="shared" ref="DU21:DU22" si="403">CQ21+DF21</f>
        <v>2218</v>
      </c>
      <c r="DV21" s="98">
        <f t="shared" ref="DV21:DV22" si="404">CR21+DG21</f>
        <v>956</v>
      </c>
      <c r="DW21" s="98">
        <f t="shared" ref="DW21:DW22" si="405">CS21+DH21</f>
        <v>1041</v>
      </c>
      <c r="DX21" s="98">
        <f t="shared" ref="DX21:DX22" si="406">CT21+DI21</f>
        <v>1997</v>
      </c>
      <c r="DY21" s="98">
        <f t="shared" ref="DY21:DY22" si="407">CU21+DJ21</f>
        <v>35</v>
      </c>
      <c r="DZ21" s="98">
        <f t="shared" ref="DZ21:DZ22" si="408">CV21+DK21</f>
        <v>42</v>
      </c>
      <c r="EA21" s="98">
        <f t="shared" ref="EA21:EA22" si="409">CW21+DL21</f>
        <v>77</v>
      </c>
      <c r="EB21" s="98">
        <f t="shared" ref="EB21:EB22" si="410">CX21+DM21</f>
        <v>991</v>
      </c>
      <c r="EC21" s="98">
        <f t="shared" ref="EC21:EC22" si="411">CY21+DN21</f>
        <v>1083</v>
      </c>
      <c r="ED21" s="98">
        <f t="shared" ref="ED21:ED22" si="412">CZ21+DO21</f>
        <v>2074</v>
      </c>
      <c r="EE21" s="116">
        <f t="shared" ref="EE21:EE22" si="413">EB21/DS21</f>
        <v>0.92616822429906542</v>
      </c>
      <c r="EF21" s="116">
        <f t="shared" ref="EF21:EF22" si="414">EC21/DT21</f>
        <v>0.94337979094076652</v>
      </c>
      <c r="EG21" s="116">
        <f t="shared" ref="EG21:EG22" si="415">ED21/DU21</f>
        <v>0.93507664562669068</v>
      </c>
      <c r="EH21" s="98">
        <f t="shared" ref="EH21:EH22" si="416">+AP21</f>
        <v>8826</v>
      </c>
      <c r="EI21" s="98">
        <f t="shared" ref="EI21:EI22" si="417">+AQ21</f>
        <v>9237</v>
      </c>
      <c r="EJ21" s="98">
        <f t="shared" ref="EJ21:EJ22" si="418">+AR21</f>
        <v>18063</v>
      </c>
      <c r="EK21" s="101">
        <v>3977</v>
      </c>
      <c r="EL21" s="101">
        <v>5501</v>
      </c>
      <c r="EM21" s="98">
        <f t="shared" ref="EM21:EM22" si="419">EK21+EL21</f>
        <v>9478</v>
      </c>
      <c r="EN21" s="100">
        <f t="shared" ref="EN21" si="420">+EK21*100/EH21</f>
        <v>45.060049852707905</v>
      </c>
      <c r="EO21" s="100">
        <f t="shared" ref="EO21" si="421">+EL21*100/EI21</f>
        <v>59.55396773844322</v>
      </c>
      <c r="EP21" s="100">
        <f t="shared" ref="EP21" si="422">+EM21*100/EJ21</f>
        <v>52.471903891933785</v>
      </c>
      <c r="EQ21" s="98">
        <f t="shared" ref="EQ21:EQ22" si="423">+CI21</f>
        <v>108</v>
      </c>
      <c r="ER21" s="98">
        <f t="shared" ref="ER21:ER22" si="424">+CJ21</f>
        <v>139</v>
      </c>
      <c r="ES21" s="98">
        <f t="shared" ref="ES21:ES22" si="425">+CK21</f>
        <v>247</v>
      </c>
      <c r="ET21" s="101">
        <v>33</v>
      </c>
      <c r="EU21" s="101">
        <v>59</v>
      </c>
      <c r="EV21" s="98">
        <f t="shared" ref="EV21:EV22" si="426">ET21+EU21</f>
        <v>92</v>
      </c>
      <c r="EW21" s="100">
        <f t="shared" ref="EW21:EW22" si="427">+ET21*100/EQ21</f>
        <v>30.555555555555557</v>
      </c>
      <c r="EX21" s="100">
        <f t="shared" ref="EX21:EX22" si="428">+EU21*100/ER21</f>
        <v>42.446043165467628</v>
      </c>
      <c r="EY21" s="100">
        <f t="shared" ref="EY21:EY22" si="429">+EV21*100/ES21</f>
        <v>37.246963562753038</v>
      </c>
      <c r="EZ21" s="98">
        <f t="shared" ref="EZ21:EZ22" si="430">+EB21</f>
        <v>991</v>
      </c>
      <c r="FA21" s="98">
        <f t="shared" ref="FA21:FA22" si="431">+EC21</f>
        <v>1083</v>
      </c>
      <c r="FB21" s="98">
        <f t="shared" ref="FB21:FB22" si="432">+ED21</f>
        <v>2074</v>
      </c>
      <c r="FC21" s="101">
        <v>357</v>
      </c>
      <c r="FD21" s="101">
        <v>524</v>
      </c>
      <c r="FE21" s="98">
        <f t="shared" ref="FE21:FE22" si="433">FC21+FD21</f>
        <v>881</v>
      </c>
      <c r="FF21" s="100">
        <f t="shared" ref="FF21:FF22" si="434">+FC21*100/EZ21</f>
        <v>36.024217961654891</v>
      </c>
      <c r="FG21" s="100">
        <f t="shared" ref="FG21:FG22" si="435">+FD21*100/FA21</f>
        <v>48.384118190212376</v>
      </c>
      <c r="FH21" s="100">
        <f t="shared" ref="FH21:FH22" si="436">+FE21*100/FB21</f>
        <v>42.478302796528446</v>
      </c>
    </row>
    <row r="22" spans="1:164" ht="27" customHeight="1">
      <c r="A22" s="94">
        <v>13</v>
      </c>
      <c r="B22" s="118" t="s">
        <v>149</v>
      </c>
      <c r="C22" s="96">
        <v>453666</v>
      </c>
      <c r="D22" s="96">
        <v>315400</v>
      </c>
      <c r="E22" s="96">
        <f t="shared" ref="E22" si="437">C22+D22</f>
        <v>769066</v>
      </c>
      <c r="F22" s="96">
        <v>293426</v>
      </c>
      <c r="G22" s="96">
        <v>231483</v>
      </c>
      <c r="H22" s="96">
        <f t="shared" ref="H22" si="438">F22+G22</f>
        <v>524909</v>
      </c>
      <c r="I22" s="96">
        <v>3376</v>
      </c>
      <c r="J22" s="96">
        <v>2956</v>
      </c>
      <c r="K22" s="96">
        <f t="shared" ref="K22" si="439">I22+J22</f>
        <v>6332</v>
      </c>
      <c r="L22" s="97">
        <f t="shared" si="287"/>
        <v>296802</v>
      </c>
      <c r="M22" s="98">
        <f t="shared" si="287"/>
        <v>234439</v>
      </c>
      <c r="N22" s="98">
        <f t="shared" si="287"/>
        <v>531241</v>
      </c>
      <c r="O22" s="116">
        <f t="shared" si="327"/>
        <v>0.65423020459985981</v>
      </c>
      <c r="P22" s="116">
        <f t="shared" si="328"/>
        <v>0.74330691185795816</v>
      </c>
      <c r="Q22" s="116">
        <f t="shared" si="329"/>
        <v>0.69076126106211955</v>
      </c>
      <c r="R22" s="98">
        <v>25216</v>
      </c>
      <c r="S22" s="98">
        <v>9449</v>
      </c>
      <c r="T22" s="98">
        <f t="shared" si="330"/>
        <v>34665</v>
      </c>
      <c r="U22" s="98">
        <v>1426</v>
      </c>
      <c r="V22" s="98">
        <v>950</v>
      </c>
      <c r="W22" s="98">
        <f t="shared" si="331"/>
        <v>2376</v>
      </c>
      <c r="X22" s="98">
        <v>140</v>
      </c>
      <c r="Y22" s="98">
        <v>173</v>
      </c>
      <c r="Z22" s="98">
        <f t="shared" si="332"/>
        <v>313</v>
      </c>
      <c r="AA22" s="98">
        <f t="shared" si="333"/>
        <v>1566</v>
      </c>
      <c r="AB22" s="98">
        <f t="shared" si="334"/>
        <v>1123</v>
      </c>
      <c r="AC22" s="98">
        <f t="shared" si="335"/>
        <v>2689</v>
      </c>
      <c r="AD22" s="116">
        <f t="shared" si="336"/>
        <v>6.2103426395939083E-2</v>
      </c>
      <c r="AE22" s="116">
        <f t="shared" si="337"/>
        <v>0.11884855540268811</v>
      </c>
      <c r="AF22" s="116">
        <f t="shared" si="338"/>
        <v>7.7571037069089854E-2</v>
      </c>
      <c r="AG22" s="98">
        <f t="shared" si="339"/>
        <v>478882</v>
      </c>
      <c r="AH22" s="98">
        <f t="shared" si="340"/>
        <v>324849</v>
      </c>
      <c r="AI22" s="98">
        <f t="shared" si="341"/>
        <v>803731</v>
      </c>
      <c r="AJ22" s="98">
        <f t="shared" si="342"/>
        <v>294852</v>
      </c>
      <c r="AK22" s="98">
        <f t="shared" si="343"/>
        <v>232433</v>
      </c>
      <c r="AL22" s="98">
        <f t="shared" si="344"/>
        <v>527285</v>
      </c>
      <c r="AM22" s="98">
        <f t="shared" si="345"/>
        <v>3516</v>
      </c>
      <c r="AN22" s="98">
        <f t="shared" si="346"/>
        <v>3129</v>
      </c>
      <c r="AO22" s="98">
        <f t="shared" si="347"/>
        <v>6645</v>
      </c>
      <c r="AP22" s="98">
        <f t="shared" si="348"/>
        <v>298368</v>
      </c>
      <c r="AQ22" s="98">
        <f t="shared" si="349"/>
        <v>235562</v>
      </c>
      <c r="AR22" s="98">
        <f t="shared" si="350"/>
        <v>533930</v>
      </c>
      <c r="AS22" s="116">
        <f t="shared" si="351"/>
        <v>0.62305119006352294</v>
      </c>
      <c r="AT22" s="116">
        <f t="shared" si="352"/>
        <v>0.72514306647088345</v>
      </c>
      <c r="AU22" s="116">
        <f t="shared" si="353"/>
        <v>0.66431430416395532</v>
      </c>
      <c r="AV22" s="99">
        <v>34439</v>
      </c>
      <c r="AW22" s="99">
        <v>25972</v>
      </c>
      <c r="AX22" s="99">
        <f t="shared" si="354"/>
        <v>60411</v>
      </c>
      <c r="AY22" s="99">
        <v>20133</v>
      </c>
      <c r="AZ22" s="99">
        <v>17126</v>
      </c>
      <c r="BA22" s="99">
        <f t="shared" si="355"/>
        <v>37259</v>
      </c>
      <c r="BB22" s="99">
        <v>307</v>
      </c>
      <c r="BC22" s="99">
        <v>371</v>
      </c>
      <c r="BD22" s="99">
        <f t="shared" si="356"/>
        <v>678</v>
      </c>
      <c r="BE22" s="99">
        <f t="shared" si="357"/>
        <v>20440</v>
      </c>
      <c r="BF22" s="99">
        <f t="shared" si="358"/>
        <v>17497</v>
      </c>
      <c r="BG22" s="99">
        <f t="shared" si="359"/>
        <v>37937</v>
      </c>
      <c r="BH22" s="116">
        <f t="shared" si="360"/>
        <v>0.59351316821045907</v>
      </c>
      <c r="BI22" s="116">
        <f t="shared" si="361"/>
        <v>0.67368704758971198</v>
      </c>
      <c r="BJ22" s="116">
        <f t="shared" si="362"/>
        <v>0.62798165896939295</v>
      </c>
      <c r="BK22" s="95">
        <v>2559</v>
      </c>
      <c r="BL22" s="95">
        <v>1256</v>
      </c>
      <c r="BM22" s="98">
        <f t="shared" si="363"/>
        <v>3815</v>
      </c>
      <c r="BN22" s="99">
        <v>76</v>
      </c>
      <c r="BO22" s="99">
        <v>86</v>
      </c>
      <c r="BP22" s="99">
        <f t="shared" si="364"/>
        <v>162</v>
      </c>
      <c r="BQ22" s="99">
        <v>20</v>
      </c>
      <c r="BR22" s="99">
        <v>24</v>
      </c>
      <c r="BS22" s="99">
        <f t="shared" si="365"/>
        <v>44</v>
      </c>
      <c r="BT22" s="99">
        <f t="shared" si="366"/>
        <v>96</v>
      </c>
      <c r="BU22" s="99">
        <f t="shared" si="367"/>
        <v>110</v>
      </c>
      <c r="BV22" s="99">
        <f t="shared" si="368"/>
        <v>206</v>
      </c>
      <c r="BW22" s="116">
        <f t="shared" si="369"/>
        <v>3.7514654161781943E-2</v>
      </c>
      <c r="BX22" s="116">
        <f t="shared" si="370"/>
        <v>8.7579617834394899E-2</v>
      </c>
      <c r="BY22" s="116">
        <f t="shared" si="371"/>
        <v>5.3997378768020972E-2</v>
      </c>
      <c r="BZ22" s="98">
        <f t="shared" si="323"/>
        <v>36998</v>
      </c>
      <c r="CA22" s="98">
        <f t="shared" si="323"/>
        <v>27228</v>
      </c>
      <c r="CB22" s="98">
        <f t="shared" si="323"/>
        <v>64226</v>
      </c>
      <c r="CC22" s="98">
        <f t="shared" si="372"/>
        <v>20209</v>
      </c>
      <c r="CD22" s="98">
        <f t="shared" si="373"/>
        <v>17212</v>
      </c>
      <c r="CE22" s="98">
        <f t="shared" si="374"/>
        <v>37421</v>
      </c>
      <c r="CF22" s="98">
        <f t="shared" si="375"/>
        <v>327</v>
      </c>
      <c r="CG22" s="98">
        <f t="shared" si="376"/>
        <v>395</v>
      </c>
      <c r="CH22" s="98">
        <f t="shared" si="377"/>
        <v>722</v>
      </c>
      <c r="CI22" s="98">
        <f>BE22+BT22</f>
        <v>20536</v>
      </c>
      <c r="CJ22" s="98">
        <f>BF22+BU22</f>
        <v>17607</v>
      </c>
      <c r="CK22" s="98">
        <f>BG22+BV22</f>
        <v>38143</v>
      </c>
      <c r="CL22" s="116">
        <f t="shared" si="381"/>
        <v>0.55505703010973562</v>
      </c>
      <c r="CM22" s="116">
        <f t="shared" si="382"/>
        <v>0.64665050683120318</v>
      </c>
      <c r="CN22" s="116">
        <f t="shared" si="383"/>
        <v>0.59388721078690876</v>
      </c>
      <c r="CO22" s="99">
        <v>59051</v>
      </c>
      <c r="CP22" s="99">
        <v>52052</v>
      </c>
      <c r="CQ22" s="99">
        <f t="shared" si="384"/>
        <v>111103</v>
      </c>
      <c r="CR22" s="99">
        <v>34227</v>
      </c>
      <c r="CS22" s="99">
        <v>34130</v>
      </c>
      <c r="CT22" s="99">
        <f t="shared" si="385"/>
        <v>68357</v>
      </c>
      <c r="CU22" s="99">
        <v>340</v>
      </c>
      <c r="CV22" s="99">
        <v>461</v>
      </c>
      <c r="CW22" s="99">
        <f t="shared" si="386"/>
        <v>801</v>
      </c>
      <c r="CX22" s="99">
        <f t="shared" si="387"/>
        <v>34567</v>
      </c>
      <c r="CY22" s="99">
        <f>+CS22+CV22</f>
        <v>34591</v>
      </c>
      <c r="CZ22" s="99">
        <f t="shared" si="388"/>
        <v>69158</v>
      </c>
      <c r="DA22" s="116">
        <f t="shared" si="389"/>
        <v>0.58537535350798464</v>
      </c>
      <c r="DB22" s="116">
        <f t="shared" si="390"/>
        <v>0.66454699147006835</v>
      </c>
      <c r="DC22" s="116">
        <f t="shared" si="391"/>
        <v>0.62246744012312893</v>
      </c>
      <c r="DD22" s="95">
        <v>2308</v>
      </c>
      <c r="DE22" s="95">
        <v>857</v>
      </c>
      <c r="DF22" s="98">
        <f t="shared" si="392"/>
        <v>3165</v>
      </c>
      <c r="DG22" s="99">
        <v>189</v>
      </c>
      <c r="DH22" s="99">
        <v>88</v>
      </c>
      <c r="DI22" s="99">
        <f t="shared" si="393"/>
        <v>277</v>
      </c>
      <c r="DJ22" s="99">
        <v>11</v>
      </c>
      <c r="DK22" s="99">
        <v>9</v>
      </c>
      <c r="DL22" s="99">
        <f t="shared" si="394"/>
        <v>20</v>
      </c>
      <c r="DM22" s="99">
        <f t="shared" si="395"/>
        <v>200</v>
      </c>
      <c r="DN22" s="99">
        <f t="shared" si="396"/>
        <v>97</v>
      </c>
      <c r="DO22" s="99">
        <f t="shared" si="397"/>
        <v>297</v>
      </c>
      <c r="DP22" s="116">
        <f t="shared" si="398"/>
        <v>8.6655112651646451E-2</v>
      </c>
      <c r="DQ22" s="116">
        <f t="shared" si="399"/>
        <v>0.11318553092182031</v>
      </c>
      <c r="DR22" s="116">
        <f t="shared" si="400"/>
        <v>9.3838862559241704E-2</v>
      </c>
      <c r="DS22" s="98">
        <f t="shared" si="401"/>
        <v>61359</v>
      </c>
      <c r="DT22" s="98">
        <f t="shared" si="402"/>
        <v>52909</v>
      </c>
      <c r="DU22" s="98">
        <f t="shared" si="403"/>
        <v>114268</v>
      </c>
      <c r="DV22" s="98">
        <f t="shared" si="404"/>
        <v>34416</v>
      </c>
      <c r="DW22" s="98">
        <f t="shared" si="405"/>
        <v>34218</v>
      </c>
      <c r="DX22" s="98">
        <f t="shared" si="406"/>
        <v>68634</v>
      </c>
      <c r="DY22" s="98">
        <f t="shared" si="407"/>
        <v>351</v>
      </c>
      <c r="DZ22" s="98">
        <f t="shared" si="408"/>
        <v>470</v>
      </c>
      <c r="EA22" s="98">
        <f t="shared" si="409"/>
        <v>821</v>
      </c>
      <c r="EB22" s="98">
        <f t="shared" si="410"/>
        <v>34767</v>
      </c>
      <c r="EC22" s="98">
        <f t="shared" si="411"/>
        <v>34688</v>
      </c>
      <c r="ED22" s="98">
        <f t="shared" si="412"/>
        <v>69455</v>
      </c>
      <c r="EE22" s="116">
        <f t="shared" si="413"/>
        <v>0.56661614433090501</v>
      </c>
      <c r="EF22" s="116">
        <f t="shared" si="414"/>
        <v>0.65561624676331054</v>
      </c>
      <c r="EG22" s="116">
        <f t="shared" si="415"/>
        <v>0.60782546294675677</v>
      </c>
      <c r="EH22" s="98">
        <f t="shared" si="416"/>
        <v>298368</v>
      </c>
      <c r="EI22" s="98">
        <f t="shared" si="417"/>
        <v>235562</v>
      </c>
      <c r="EJ22" s="98">
        <f t="shared" si="418"/>
        <v>533930</v>
      </c>
      <c r="EK22" s="101">
        <v>110160</v>
      </c>
      <c r="EL22" s="101">
        <v>95951</v>
      </c>
      <c r="EM22" s="98">
        <f t="shared" si="419"/>
        <v>206111</v>
      </c>
      <c r="EN22" s="100">
        <f t="shared" ref="EN22" si="440">+EK22*100/EH22</f>
        <v>36.920849420849422</v>
      </c>
      <c r="EO22" s="100">
        <f t="shared" ref="EO22" si="441">+EL22*100/EI22</f>
        <v>40.732800706395771</v>
      </c>
      <c r="EP22" s="100">
        <f t="shared" ref="EP22" si="442">+EM22*100/EJ22</f>
        <v>38.602625812372409</v>
      </c>
      <c r="EQ22" s="98">
        <f t="shared" si="423"/>
        <v>20536</v>
      </c>
      <c r="ER22" s="98">
        <f t="shared" si="424"/>
        <v>17607</v>
      </c>
      <c r="ES22" s="98">
        <f t="shared" si="425"/>
        <v>38143</v>
      </c>
      <c r="ET22" s="101">
        <v>6301</v>
      </c>
      <c r="EU22" s="101">
        <v>5821</v>
      </c>
      <c r="EV22" s="98">
        <f t="shared" si="426"/>
        <v>12122</v>
      </c>
      <c r="EW22" s="100">
        <f t="shared" si="427"/>
        <v>30.682703544994158</v>
      </c>
      <c r="EX22" s="100">
        <f t="shared" si="428"/>
        <v>33.060714488555689</v>
      </c>
      <c r="EY22" s="100">
        <f t="shared" si="429"/>
        <v>31.78040531683402</v>
      </c>
      <c r="EZ22" s="98">
        <f t="shared" si="430"/>
        <v>34767</v>
      </c>
      <c r="FA22" s="98">
        <f t="shared" si="431"/>
        <v>34688</v>
      </c>
      <c r="FB22" s="98">
        <f t="shared" si="432"/>
        <v>69455</v>
      </c>
      <c r="FC22" s="101">
        <v>7342</v>
      </c>
      <c r="FD22" s="101">
        <v>8510</v>
      </c>
      <c r="FE22" s="98">
        <f t="shared" si="433"/>
        <v>15852</v>
      </c>
      <c r="FF22" s="100">
        <f t="shared" si="434"/>
        <v>21.117726579802685</v>
      </c>
      <c r="FG22" s="100">
        <f t="shared" si="435"/>
        <v>24.532979704797047</v>
      </c>
      <c r="FH22" s="100">
        <f t="shared" si="436"/>
        <v>22.823410841552086</v>
      </c>
    </row>
    <row r="23" spans="1:164" ht="27" customHeight="1">
      <c r="A23" s="94">
        <v>14</v>
      </c>
      <c r="B23" s="118" t="s">
        <v>140</v>
      </c>
      <c r="C23" s="96">
        <v>175393</v>
      </c>
      <c r="D23" s="96">
        <v>143769</v>
      </c>
      <c r="E23" s="96">
        <f t="shared" si="182"/>
        <v>319162</v>
      </c>
      <c r="F23" s="96">
        <v>81368</v>
      </c>
      <c r="G23" s="96">
        <v>79615</v>
      </c>
      <c r="H23" s="96">
        <f t="shared" si="183"/>
        <v>160983</v>
      </c>
      <c r="I23" s="96">
        <v>3155</v>
      </c>
      <c r="J23" s="96">
        <v>2348</v>
      </c>
      <c r="K23" s="96">
        <f t="shared" ref="K23:K40" si="443">I23+J23</f>
        <v>5503</v>
      </c>
      <c r="L23" s="97">
        <f t="shared" ref="L23" si="444">F23+I23</f>
        <v>84523</v>
      </c>
      <c r="M23" s="98">
        <f t="shared" ref="M23" si="445">G23+J23</f>
        <v>81963</v>
      </c>
      <c r="N23" s="98">
        <f t="shared" ref="N23" si="446">H23+K23</f>
        <v>166486</v>
      </c>
      <c r="O23" s="116">
        <f t="shared" si="187"/>
        <v>0.48190634745970479</v>
      </c>
      <c r="P23" s="116">
        <f t="shared" si="188"/>
        <v>0.57010203868706044</v>
      </c>
      <c r="Q23" s="116">
        <f t="shared" si="189"/>
        <v>0.52163478108296102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12"/>
      <c r="AE23" s="112"/>
      <c r="AF23" s="112"/>
      <c r="AG23" s="98">
        <f t="shared" si="190"/>
        <v>175393</v>
      </c>
      <c r="AH23" s="98">
        <f t="shared" si="191"/>
        <v>143769</v>
      </c>
      <c r="AI23" s="98">
        <f t="shared" si="192"/>
        <v>319162</v>
      </c>
      <c r="AJ23" s="98">
        <f t="shared" si="193"/>
        <v>81368</v>
      </c>
      <c r="AK23" s="98">
        <f t="shared" si="194"/>
        <v>79615</v>
      </c>
      <c r="AL23" s="98">
        <f t="shared" si="192"/>
        <v>160983</v>
      </c>
      <c r="AM23" s="98">
        <f t="shared" ref="AM23:AM40" si="447">I23+X23</f>
        <v>3155</v>
      </c>
      <c r="AN23" s="98">
        <f t="shared" si="265"/>
        <v>2348</v>
      </c>
      <c r="AO23" s="98">
        <f t="shared" si="192"/>
        <v>5503</v>
      </c>
      <c r="AP23" s="98">
        <f t="shared" si="195"/>
        <v>84523</v>
      </c>
      <c r="AQ23" s="98">
        <f t="shared" si="196"/>
        <v>81963</v>
      </c>
      <c r="AR23" s="98">
        <f t="shared" si="192"/>
        <v>166486</v>
      </c>
      <c r="AS23" s="116">
        <f t="shared" si="197"/>
        <v>0.48190634745970479</v>
      </c>
      <c r="AT23" s="116">
        <f t="shared" si="198"/>
        <v>0.57010203868706044</v>
      </c>
      <c r="AU23" s="116">
        <f t="shared" si="199"/>
        <v>0.52163478108296102</v>
      </c>
      <c r="AV23" s="99">
        <v>44283</v>
      </c>
      <c r="AW23" s="99">
        <v>41715</v>
      </c>
      <c r="AX23" s="99">
        <f t="shared" si="200"/>
        <v>85998</v>
      </c>
      <c r="AY23" s="99">
        <v>16456</v>
      </c>
      <c r="AZ23" s="99">
        <v>16895</v>
      </c>
      <c r="BA23" s="99">
        <f t="shared" si="201"/>
        <v>33351</v>
      </c>
      <c r="BB23" s="99">
        <v>743</v>
      </c>
      <c r="BC23" s="99">
        <v>673</v>
      </c>
      <c r="BD23" s="99">
        <f t="shared" ref="BD23:BD40" si="448">+BB23+BC23</f>
        <v>1416</v>
      </c>
      <c r="BE23" s="99">
        <f t="shared" si="202"/>
        <v>17199</v>
      </c>
      <c r="BF23" s="99">
        <f t="shared" si="203"/>
        <v>17568</v>
      </c>
      <c r="BG23" s="99">
        <f t="shared" si="204"/>
        <v>34767</v>
      </c>
      <c r="BH23" s="116">
        <f t="shared" si="205"/>
        <v>0.3883883205744868</v>
      </c>
      <c r="BI23" s="116">
        <f t="shared" si="206"/>
        <v>0.42114347357065801</v>
      </c>
      <c r="BJ23" s="116">
        <f t="shared" si="207"/>
        <v>0.4042768436475267</v>
      </c>
      <c r="BK23" s="113"/>
      <c r="BL23" s="113"/>
      <c r="BM23" s="103"/>
      <c r="BN23" s="104"/>
      <c r="BO23" s="104"/>
      <c r="BP23" s="104"/>
      <c r="BQ23" s="104"/>
      <c r="BR23" s="104"/>
      <c r="BS23" s="104"/>
      <c r="BT23" s="104"/>
      <c r="BU23" s="104"/>
      <c r="BV23" s="104"/>
      <c r="BW23" s="112"/>
      <c r="BX23" s="112"/>
      <c r="BY23" s="112"/>
      <c r="BZ23" s="98">
        <f t="shared" si="208"/>
        <v>44283</v>
      </c>
      <c r="CA23" s="98">
        <f t="shared" si="209"/>
        <v>41715</v>
      </c>
      <c r="CB23" s="98">
        <f t="shared" si="210"/>
        <v>85998</v>
      </c>
      <c r="CC23" s="98">
        <f t="shared" si="211"/>
        <v>16456</v>
      </c>
      <c r="CD23" s="98">
        <f t="shared" si="212"/>
        <v>16895</v>
      </c>
      <c r="CE23" s="98">
        <f t="shared" si="213"/>
        <v>33351</v>
      </c>
      <c r="CF23" s="98">
        <f t="shared" ref="CF23:CF40" si="449">BB23+BQ23</f>
        <v>743</v>
      </c>
      <c r="CG23" s="98">
        <f t="shared" ref="CG23:CG40" si="450">BC23+BR23</f>
        <v>673</v>
      </c>
      <c r="CH23" s="98">
        <f t="shared" ref="CH23:CH40" si="451">BD23+BS23</f>
        <v>1416</v>
      </c>
      <c r="CI23" s="98">
        <f>BE23+BT23</f>
        <v>17199</v>
      </c>
      <c r="CJ23" s="98">
        <f t="shared" ref="CJ23:CJ38" si="452">BF23+BU23</f>
        <v>17568</v>
      </c>
      <c r="CK23" s="98">
        <f t="shared" ref="CK23:CK38" si="453">BG23+BV23</f>
        <v>34767</v>
      </c>
      <c r="CL23" s="116">
        <f t="shared" ref="CL23:CL43" si="454">CI23/BZ23</f>
        <v>0.3883883205744868</v>
      </c>
      <c r="CM23" s="116">
        <f t="shared" si="218"/>
        <v>0.42114347357065801</v>
      </c>
      <c r="CN23" s="116">
        <f t="shared" si="219"/>
        <v>0.4042768436475267</v>
      </c>
      <c r="CO23" s="99">
        <v>60</v>
      </c>
      <c r="CP23" s="99">
        <v>41</v>
      </c>
      <c r="CQ23" s="99">
        <f t="shared" si="220"/>
        <v>101</v>
      </c>
      <c r="CR23" s="99">
        <v>30</v>
      </c>
      <c r="CS23" s="99">
        <v>29</v>
      </c>
      <c r="CT23" s="99">
        <f t="shared" si="221"/>
        <v>59</v>
      </c>
      <c r="CU23" s="99">
        <v>0</v>
      </c>
      <c r="CV23" s="99">
        <v>1</v>
      </c>
      <c r="CW23" s="99">
        <f t="shared" ref="CW23:CW40" si="455">+CU23+CV23</f>
        <v>1</v>
      </c>
      <c r="CX23" s="99">
        <f t="shared" si="222"/>
        <v>30</v>
      </c>
      <c r="CY23" s="99">
        <f t="shared" si="223"/>
        <v>30</v>
      </c>
      <c r="CZ23" s="99">
        <f t="shared" si="224"/>
        <v>60</v>
      </c>
      <c r="DA23" s="116">
        <f t="shared" si="273"/>
        <v>0.5</v>
      </c>
      <c r="DB23" s="116">
        <f t="shared" si="225"/>
        <v>0.73170731707317072</v>
      </c>
      <c r="DC23" s="116">
        <f t="shared" si="226"/>
        <v>0.59405940594059403</v>
      </c>
      <c r="DD23" s="111"/>
      <c r="DE23" s="111"/>
      <c r="DF23" s="103"/>
      <c r="DG23" s="104"/>
      <c r="DH23" s="104"/>
      <c r="DI23" s="104"/>
      <c r="DJ23" s="104"/>
      <c r="DK23" s="104"/>
      <c r="DL23" s="104"/>
      <c r="DM23" s="104"/>
      <c r="DN23" s="104"/>
      <c r="DO23" s="104"/>
      <c r="DP23" s="112"/>
      <c r="DQ23" s="112"/>
      <c r="DR23" s="112"/>
      <c r="DS23" s="98">
        <f t="shared" si="227"/>
        <v>60</v>
      </c>
      <c r="DT23" s="98">
        <f t="shared" si="228"/>
        <v>41</v>
      </c>
      <c r="DU23" s="98">
        <f t="shared" si="229"/>
        <v>101</v>
      </c>
      <c r="DV23" s="98">
        <f t="shared" si="230"/>
        <v>30</v>
      </c>
      <c r="DW23" s="98">
        <f t="shared" si="231"/>
        <v>29</v>
      </c>
      <c r="DX23" s="98">
        <f t="shared" si="232"/>
        <v>59</v>
      </c>
      <c r="DY23" s="98">
        <f t="shared" ref="DY23:DY40" si="456">CU23+DJ23</f>
        <v>0</v>
      </c>
      <c r="DZ23" s="98">
        <f t="shared" ref="DZ23:DZ40" si="457">CV23+DK23</f>
        <v>1</v>
      </c>
      <c r="EA23" s="98">
        <f t="shared" ref="EA23:EA40" si="458">CW23+DL23</f>
        <v>1</v>
      </c>
      <c r="EB23" s="98">
        <f t="shared" si="233"/>
        <v>30</v>
      </c>
      <c r="EC23" s="98">
        <f t="shared" si="234"/>
        <v>30</v>
      </c>
      <c r="ED23" s="98">
        <f t="shared" si="235"/>
        <v>60</v>
      </c>
      <c r="EE23" s="116">
        <f t="shared" ref="EE23:EE43" si="459">EB23/DS23</f>
        <v>0.5</v>
      </c>
      <c r="EF23" s="116">
        <f t="shared" si="236"/>
        <v>0.73170731707317072</v>
      </c>
      <c r="EG23" s="116">
        <f t="shared" si="237"/>
        <v>0.59405940594059403</v>
      </c>
      <c r="EH23" s="98">
        <f t="shared" si="238"/>
        <v>84523</v>
      </c>
      <c r="EI23" s="98">
        <f t="shared" si="239"/>
        <v>81963</v>
      </c>
      <c r="EJ23" s="98">
        <f t="shared" si="240"/>
        <v>166486</v>
      </c>
      <c r="EK23" s="101">
        <v>61969</v>
      </c>
      <c r="EL23" s="101">
        <v>65106</v>
      </c>
      <c r="EM23" s="98">
        <f t="shared" si="241"/>
        <v>127075</v>
      </c>
      <c r="EN23" s="100">
        <f t="shared" si="242"/>
        <v>73.316138802456138</v>
      </c>
      <c r="EO23" s="100">
        <f t="shared" si="243"/>
        <v>79.433402876907877</v>
      </c>
      <c r="EP23" s="100">
        <f t="shared" si="244"/>
        <v>76.327739269367996</v>
      </c>
      <c r="EQ23" s="98">
        <f t="shared" si="245"/>
        <v>17199</v>
      </c>
      <c r="ER23" s="98">
        <f t="shared" si="246"/>
        <v>17568</v>
      </c>
      <c r="ES23" s="98">
        <f t="shared" si="247"/>
        <v>34767</v>
      </c>
      <c r="ET23" s="101">
        <v>10210</v>
      </c>
      <c r="EU23" s="101">
        <v>11276</v>
      </c>
      <c r="EV23" s="98">
        <f t="shared" si="248"/>
        <v>21486</v>
      </c>
      <c r="EW23" s="100">
        <f t="shared" si="249"/>
        <v>59.363916506773649</v>
      </c>
      <c r="EX23" s="100">
        <f t="shared" si="250"/>
        <v>64.184881602914388</v>
      </c>
      <c r="EY23" s="100">
        <f t="shared" si="251"/>
        <v>61.799982742255587</v>
      </c>
      <c r="EZ23" s="98">
        <f t="shared" si="252"/>
        <v>30</v>
      </c>
      <c r="FA23" s="98">
        <f t="shared" si="253"/>
        <v>30</v>
      </c>
      <c r="FB23" s="98">
        <f t="shared" si="254"/>
        <v>60</v>
      </c>
      <c r="FC23" s="101">
        <v>26</v>
      </c>
      <c r="FD23" s="101">
        <v>25</v>
      </c>
      <c r="FE23" s="98">
        <f t="shared" si="255"/>
        <v>51</v>
      </c>
      <c r="FF23" s="100">
        <f t="shared" si="283"/>
        <v>86.666666666666671</v>
      </c>
      <c r="FG23" s="100">
        <f t="shared" si="256"/>
        <v>83.333333333333329</v>
      </c>
      <c r="FH23" s="100">
        <f t="shared" si="257"/>
        <v>85</v>
      </c>
    </row>
    <row r="24" spans="1:164" ht="27" customHeight="1">
      <c r="A24" s="94">
        <v>15</v>
      </c>
      <c r="B24" s="118" t="s">
        <v>150</v>
      </c>
      <c r="C24" s="96">
        <v>59965</v>
      </c>
      <c r="D24" s="96">
        <v>53601</v>
      </c>
      <c r="E24" s="96">
        <f t="shared" si="182"/>
        <v>113566</v>
      </c>
      <c r="F24" s="96">
        <v>39336</v>
      </c>
      <c r="G24" s="96">
        <v>37797</v>
      </c>
      <c r="H24" s="96">
        <f t="shared" si="183"/>
        <v>77133</v>
      </c>
      <c r="I24" s="96">
        <v>6860</v>
      </c>
      <c r="J24" s="96">
        <v>5831</v>
      </c>
      <c r="K24" s="96">
        <f t="shared" si="443"/>
        <v>12691</v>
      </c>
      <c r="L24" s="97">
        <f t="shared" ref="L24:L43" si="460">F24+I24</f>
        <v>46196</v>
      </c>
      <c r="M24" s="98">
        <f t="shared" ref="M24:M43" si="461">G24+J24</f>
        <v>43628</v>
      </c>
      <c r="N24" s="98">
        <f t="shared" ref="N24:N43" si="462">H24+K24</f>
        <v>89824</v>
      </c>
      <c r="O24" s="116">
        <f t="shared" si="187"/>
        <v>0.77038272325523227</v>
      </c>
      <c r="P24" s="116">
        <f t="shared" si="188"/>
        <v>0.81394003843211882</v>
      </c>
      <c r="Q24" s="116">
        <f t="shared" si="189"/>
        <v>0.79094095063663417</v>
      </c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12"/>
      <c r="AE24" s="112"/>
      <c r="AF24" s="112"/>
      <c r="AG24" s="98">
        <f t="shared" si="190"/>
        <v>59965</v>
      </c>
      <c r="AH24" s="98">
        <f t="shared" si="191"/>
        <v>53601</v>
      </c>
      <c r="AI24" s="98">
        <f t="shared" si="191"/>
        <v>113566</v>
      </c>
      <c r="AJ24" s="98">
        <f t="shared" si="193"/>
        <v>39336</v>
      </c>
      <c r="AK24" s="98">
        <f t="shared" si="194"/>
        <v>37797</v>
      </c>
      <c r="AL24" s="98">
        <f t="shared" si="194"/>
        <v>77133</v>
      </c>
      <c r="AM24" s="98">
        <f t="shared" si="447"/>
        <v>6860</v>
      </c>
      <c r="AN24" s="98">
        <f t="shared" si="265"/>
        <v>5831</v>
      </c>
      <c r="AO24" s="98">
        <f t="shared" si="265"/>
        <v>12691</v>
      </c>
      <c r="AP24" s="98">
        <f t="shared" si="195"/>
        <v>46196</v>
      </c>
      <c r="AQ24" s="98">
        <f t="shared" si="196"/>
        <v>43628</v>
      </c>
      <c r="AR24" s="98">
        <f t="shared" si="196"/>
        <v>89824</v>
      </c>
      <c r="AS24" s="116">
        <f t="shared" si="197"/>
        <v>0.77038272325523227</v>
      </c>
      <c r="AT24" s="116">
        <f t="shared" si="198"/>
        <v>0.81394003843211882</v>
      </c>
      <c r="AU24" s="116">
        <f t="shared" si="199"/>
        <v>0.79094095063663417</v>
      </c>
      <c r="AV24" s="99">
        <v>17399</v>
      </c>
      <c r="AW24" s="99">
        <v>16332</v>
      </c>
      <c r="AX24" s="99">
        <f t="shared" si="200"/>
        <v>33731</v>
      </c>
      <c r="AY24" s="99">
        <v>10420</v>
      </c>
      <c r="AZ24" s="99">
        <v>10612</v>
      </c>
      <c r="BA24" s="99">
        <f t="shared" si="201"/>
        <v>21032</v>
      </c>
      <c r="BB24" s="99">
        <v>2175</v>
      </c>
      <c r="BC24" s="99">
        <v>2019</v>
      </c>
      <c r="BD24" s="99">
        <f t="shared" si="448"/>
        <v>4194</v>
      </c>
      <c r="BE24" s="99">
        <f t="shared" si="202"/>
        <v>12595</v>
      </c>
      <c r="BF24" s="99">
        <f t="shared" si="203"/>
        <v>12631</v>
      </c>
      <c r="BG24" s="99">
        <f t="shared" si="203"/>
        <v>25226</v>
      </c>
      <c r="BH24" s="116">
        <f t="shared" si="205"/>
        <v>0.72389217771136272</v>
      </c>
      <c r="BI24" s="116">
        <f t="shared" si="206"/>
        <v>0.77338966446240509</v>
      </c>
      <c r="BJ24" s="116">
        <f t="shared" si="207"/>
        <v>0.74785805342266753</v>
      </c>
      <c r="BK24" s="111"/>
      <c r="BL24" s="111"/>
      <c r="BM24" s="103"/>
      <c r="BN24" s="104"/>
      <c r="BO24" s="104"/>
      <c r="BP24" s="104"/>
      <c r="BQ24" s="104"/>
      <c r="BR24" s="104"/>
      <c r="BS24" s="104"/>
      <c r="BT24" s="104"/>
      <c r="BU24" s="104"/>
      <c r="BV24" s="104"/>
      <c r="BW24" s="112"/>
      <c r="BX24" s="112"/>
      <c r="BY24" s="112"/>
      <c r="BZ24" s="98">
        <f t="shared" ref="BZ24:BZ36" si="463">AV24+BK24</f>
        <v>17399</v>
      </c>
      <c r="CA24" s="98">
        <f t="shared" ref="CA24:CA36" si="464">AW24+BL24</f>
        <v>16332</v>
      </c>
      <c r="CB24" s="98">
        <f t="shared" ref="CB24:CB36" si="465">AX24+BM24</f>
        <v>33731</v>
      </c>
      <c r="CC24" s="98">
        <f t="shared" si="211"/>
        <v>10420</v>
      </c>
      <c r="CD24" s="98">
        <f t="shared" si="212"/>
        <v>10612</v>
      </c>
      <c r="CE24" s="98">
        <f t="shared" si="213"/>
        <v>21032</v>
      </c>
      <c r="CF24" s="98">
        <f t="shared" si="449"/>
        <v>2175</v>
      </c>
      <c r="CG24" s="98">
        <f t="shared" si="450"/>
        <v>2019</v>
      </c>
      <c r="CH24" s="98">
        <f t="shared" si="451"/>
        <v>4194</v>
      </c>
      <c r="CI24" s="98">
        <f t="shared" ref="CI24:CI30" si="466">BE24+BT24</f>
        <v>12595</v>
      </c>
      <c r="CJ24" s="98">
        <f t="shared" ref="CJ24:CJ30" si="467">BF24+BU24</f>
        <v>12631</v>
      </c>
      <c r="CK24" s="98">
        <f t="shared" ref="CK24:CK30" si="468">BG24+BV24</f>
        <v>25226</v>
      </c>
      <c r="CL24" s="116">
        <f t="shared" si="454"/>
        <v>0.72389217771136272</v>
      </c>
      <c r="CM24" s="116">
        <f t="shared" si="218"/>
        <v>0.77338966446240509</v>
      </c>
      <c r="CN24" s="116">
        <f t="shared" si="219"/>
        <v>0.74785805342266753</v>
      </c>
      <c r="CO24" s="99">
        <v>3721</v>
      </c>
      <c r="CP24" s="99">
        <v>3392</v>
      </c>
      <c r="CQ24" s="99">
        <f t="shared" si="220"/>
        <v>7113</v>
      </c>
      <c r="CR24" s="99">
        <v>2415</v>
      </c>
      <c r="CS24" s="99">
        <v>2356</v>
      </c>
      <c r="CT24" s="99">
        <f t="shared" si="221"/>
        <v>4771</v>
      </c>
      <c r="CU24" s="99">
        <v>395</v>
      </c>
      <c r="CV24" s="99">
        <v>371</v>
      </c>
      <c r="CW24" s="99">
        <f t="shared" si="455"/>
        <v>766</v>
      </c>
      <c r="CX24" s="99">
        <f t="shared" si="222"/>
        <v>2810</v>
      </c>
      <c r="CY24" s="99">
        <f t="shared" ref="CY24" si="469">+CS24+CV24</f>
        <v>2727</v>
      </c>
      <c r="CZ24" s="99">
        <f t="shared" si="223"/>
        <v>5537</v>
      </c>
      <c r="DA24" s="116">
        <f t="shared" si="273"/>
        <v>0.75517334049986562</v>
      </c>
      <c r="DB24" s="116">
        <f t="shared" si="225"/>
        <v>0.80395047169811318</v>
      </c>
      <c r="DC24" s="116">
        <f t="shared" si="226"/>
        <v>0.77843385350766203</v>
      </c>
      <c r="DD24" s="111"/>
      <c r="DE24" s="111"/>
      <c r="DF24" s="103"/>
      <c r="DG24" s="104"/>
      <c r="DH24" s="104"/>
      <c r="DI24" s="104"/>
      <c r="DJ24" s="104"/>
      <c r="DK24" s="104"/>
      <c r="DL24" s="104"/>
      <c r="DM24" s="104"/>
      <c r="DN24" s="104"/>
      <c r="DO24" s="104"/>
      <c r="DP24" s="112"/>
      <c r="DQ24" s="112"/>
      <c r="DR24" s="112"/>
      <c r="DS24" s="98">
        <f t="shared" si="227"/>
        <v>3721</v>
      </c>
      <c r="DT24" s="98">
        <f t="shared" si="228"/>
        <v>3392</v>
      </c>
      <c r="DU24" s="98">
        <f t="shared" si="229"/>
        <v>7113</v>
      </c>
      <c r="DV24" s="98">
        <f t="shared" si="230"/>
        <v>2415</v>
      </c>
      <c r="DW24" s="98">
        <f t="shared" si="231"/>
        <v>2356</v>
      </c>
      <c r="DX24" s="98">
        <f t="shared" si="232"/>
        <v>4771</v>
      </c>
      <c r="DY24" s="98">
        <f t="shared" si="456"/>
        <v>395</v>
      </c>
      <c r="DZ24" s="98">
        <f t="shared" si="457"/>
        <v>371</v>
      </c>
      <c r="EA24" s="98">
        <f t="shared" si="458"/>
        <v>766</v>
      </c>
      <c r="EB24" s="98">
        <f t="shared" si="233"/>
        <v>2810</v>
      </c>
      <c r="EC24" s="98">
        <f t="shared" si="234"/>
        <v>2727</v>
      </c>
      <c r="ED24" s="98">
        <f t="shared" si="235"/>
        <v>5537</v>
      </c>
      <c r="EE24" s="116">
        <f t="shared" si="459"/>
        <v>0.75517334049986562</v>
      </c>
      <c r="EF24" s="116">
        <f t="shared" si="236"/>
        <v>0.80395047169811318</v>
      </c>
      <c r="EG24" s="116">
        <f t="shared" si="237"/>
        <v>0.77843385350766203</v>
      </c>
      <c r="EH24" s="98">
        <f t="shared" si="238"/>
        <v>46196</v>
      </c>
      <c r="EI24" s="98">
        <f t="shared" si="239"/>
        <v>43628</v>
      </c>
      <c r="EJ24" s="98">
        <f t="shared" si="239"/>
        <v>89824</v>
      </c>
      <c r="EK24" s="101">
        <v>29599</v>
      </c>
      <c r="EL24" s="101">
        <v>32689</v>
      </c>
      <c r="EM24" s="98">
        <f t="shared" si="241"/>
        <v>62288</v>
      </c>
      <c r="EN24" s="100">
        <f t="shared" ref="EN24:EN43" si="470">+EK24*100/EH24</f>
        <v>64.072646982422725</v>
      </c>
      <c r="EO24" s="100">
        <f t="shared" ref="EO24:EO43" si="471">+EL24*100/EI24</f>
        <v>74.926652608416617</v>
      </c>
      <c r="EP24" s="100">
        <f t="shared" ref="EP24:EP43" si="472">+EM24*100/EJ24</f>
        <v>69.3444959030994</v>
      </c>
      <c r="EQ24" s="98">
        <f t="shared" si="245"/>
        <v>12595</v>
      </c>
      <c r="ER24" s="98">
        <f t="shared" si="246"/>
        <v>12631</v>
      </c>
      <c r="ES24" s="98">
        <f t="shared" si="246"/>
        <v>25226</v>
      </c>
      <c r="ET24" s="101">
        <v>7116</v>
      </c>
      <c r="EU24" s="101">
        <v>8732</v>
      </c>
      <c r="EV24" s="98">
        <f t="shared" si="248"/>
        <v>15848</v>
      </c>
      <c r="EW24" s="100">
        <f t="shared" ref="EW24:EW43" si="473">+ET24*100/EQ24</f>
        <v>56.498610559745934</v>
      </c>
      <c r="EX24" s="100">
        <f t="shared" ref="EX24:EY43" si="474">+EU24*100/ER24</f>
        <v>69.131501860501942</v>
      </c>
      <c r="EY24" s="100">
        <f t="shared" si="474"/>
        <v>62.824070403551893</v>
      </c>
      <c r="EZ24" s="98">
        <f t="shared" si="252"/>
        <v>2810</v>
      </c>
      <c r="FA24" s="98">
        <f t="shared" si="253"/>
        <v>2727</v>
      </c>
      <c r="FB24" s="98">
        <f t="shared" si="253"/>
        <v>5537</v>
      </c>
      <c r="FC24" s="101">
        <v>1706</v>
      </c>
      <c r="FD24" s="101">
        <v>1908</v>
      </c>
      <c r="FE24" s="98">
        <f t="shared" si="255"/>
        <v>3614</v>
      </c>
      <c r="FF24" s="100">
        <f t="shared" ref="FF24:FF43" si="475">+FC24*100/EZ24</f>
        <v>60.711743772241995</v>
      </c>
      <c r="FG24" s="100">
        <f t="shared" ref="FG24:FG43" si="476">+FD24*100/FA24</f>
        <v>69.966996699669963</v>
      </c>
      <c r="FH24" s="100">
        <f t="shared" ref="FH24:FH43" si="477">+FE24*100/FB24</f>
        <v>65.270001806032141</v>
      </c>
    </row>
    <row r="25" spans="1:164" ht="27" customHeight="1">
      <c r="A25" s="94">
        <v>16</v>
      </c>
      <c r="B25" s="118" t="s">
        <v>151</v>
      </c>
      <c r="C25" s="96">
        <v>75356</v>
      </c>
      <c r="D25" s="96">
        <v>66388</v>
      </c>
      <c r="E25" s="96">
        <f t="shared" si="182"/>
        <v>141744</v>
      </c>
      <c r="F25" s="96">
        <v>46549</v>
      </c>
      <c r="G25" s="96">
        <v>41265</v>
      </c>
      <c r="H25" s="96">
        <f t="shared" si="183"/>
        <v>87814</v>
      </c>
      <c r="I25" s="104"/>
      <c r="J25" s="104"/>
      <c r="K25" s="104"/>
      <c r="L25" s="97">
        <f t="shared" si="460"/>
        <v>46549</v>
      </c>
      <c r="M25" s="98">
        <f t="shared" si="461"/>
        <v>41265</v>
      </c>
      <c r="N25" s="98">
        <f t="shared" si="462"/>
        <v>87814</v>
      </c>
      <c r="O25" s="116">
        <f t="shared" si="187"/>
        <v>0.61772121662508628</v>
      </c>
      <c r="P25" s="116">
        <f t="shared" si="188"/>
        <v>0.62157317587515815</v>
      </c>
      <c r="Q25" s="116">
        <f t="shared" si="189"/>
        <v>0.61952534146066152</v>
      </c>
      <c r="R25" s="98">
        <v>81979</v>
      </c>
      <c r="S25" s="98">
        <v>55099</v>
      </c>
      <c r="T25" s="98">
        <f t="shared" ref="T25:T43" si="478">R25+S25</f>
        <v>137078</v>
      </c>
      <c r="U25" s="98">
        <v>37673</v>
      </c>
      <c r="V25" s="98">
        <v>28593</v>
      </c>
      <c r="W25" s="98">
        <f t="shared" si="258"/>
        <v>66266</v>
      </c>
      <c r="X25" s="103"/>
      <c r="Y25" s="103"/>
      <c r="Z25" s="103"/>
      <c r="AA25" s="98">
        <f t="shared" si="259"/>
        <v>37673</v>
      </c>
      <c r="AB25" s="98">
        <f t="shared" si="260"/>
        <v>28593</v>
      </c>
      <c r="AC25" s="98">
        <f t="shared" si="261"/>
        <v>66266</v>
      </c>
      <c r="AD25" s="116">
        <f t="shared" ref="AD25:AD30" si="479">AA25/R25</f>
        <v>0.45954451749838371</v>
      </c>
      <c r="AE25" s="116">
        <f t="shared" ref="AE25:AE30" si="480">AB25/S25</f>
        <v>0.51893863772482263</v>
      </c>
      <c r="AF25" s="116">
        <f t="shared" ref="AF25:AF43" si="481">AC25/T25</f>
        <v>0.48341819985701573</v>
      </c>
      <c r="AG25" s="98">
        <f t="shared" si="190"/>
        <v>157335</v>
      </c>
      <c r="AH25" s="98">
        <f t="shared" si="191"/>
        <v>121487</v>
      </c>
      <c r="AI25" s="98">
        <f t="shared" si="191"/>
        <v>278822</v>
      </c>
      <c r="AJ25" s="98">
        <f t="shared" si="193"/>
        <v>84222</v>
      </c>
      <c r="AK25" s="98">
        <f t="shared" si="194"/>
        <v>69858</v>
      </c>
      <c r="AL25" s="98">
        <f t="shared" si="194"/>
        <v>154080</v>
      </c>
      <c r="AM25" s="103"/>
      <c r="AN25" s="103"/>
      <c r="AO25" s="103"/>
      <c r="AP25" s="98">
        <f t="shared" si="195"/>
        <v>84222</v>
      </c>
      <c r="AQ25" s="98">
        <f t="shared" si="196"/>
        <v>69858</v>
      </c>
      <c r="AR25" s="98">
        <f t="shared" si="196"/>
        <v>154080</v>
      </c>
      <c r="AS25" s="116">
        <f t="shared" si="197"/>
        <v>0.53530365144437031</v>
      </c>
      <c r="AT25" s="116">
        <f t="shared" si="198"/>
        <v>0.57502448821684626</v>
      </c>
      <c r="AU25" s="116">
        <f t="shared" si="199"/>
        <v>0.55261062613423617</v>
      </c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12"/>
      <c r="BI25" s="112"/>
      <c r="BJ25" s="112"/>
      <c r="BK25" s="103"/>
      <c r="BL25" s="103"/>
      <c r="BM25" s="103"/>
      <c r="BN25" s="104"/>
      <c r="BO25" s="104"/>
      <c r="BP25" s="104"/>
      <c r="BQ25" s="104"/>
      <c r="BR25" s="104"/>
      <c r="BS25" s="104"/>
      <c r="BT25" s="104"/>
      <c r="BU25" s="104"/>
      <c r="BV25" s="104"/>
      <c r="BW25" s="112"/>
      <c r="BX25" s="112"/>
      <c r="BY25" s="112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12"/>
      <c r="CM25" s="112"/>
      <c r="CN25" s="112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12"/>
      <c r="DB25" s="112"/>
      <c r="DC25" s="112"/>
      <c r="DD25" s="103"/>
      <c r="DE25" s="103"/>
      <c r="DF25" s="103"/>
      <c r="DG25" s="104"/>
      <c r="DH25" s="104"/>
      <c r="DI25" s="104"/>
      <c r="DJ25" s="104"/>
      <c r="DK25" s="104"/>
      <c r="DL25" s="104"/>
      <c r="DM25" s="104"/>
      <c r="DN25" s="104"/>
      <c r="DO25" s="104"/>
      <c r="DP25" s="112"/>
      <c r="DQ25" s="112"/>
      <c r="DR25" s="112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12"/>
      <c r="EF25" s="112"/>
      <c r="EG25" s="112"/>
      <c r="EH25" s="98">
        <f t="shared" si="238"/>
        <v>84222</v>
      </c>
      <c r="EI25" s="98">
        <f t="shared" si="239"/>
        <v>69858</v>
      </c>
      <c r="EJ25" s="98">
        <f t="shared" si="239"/>
        <v>154080</v>
      </c>
      <c r="EK25" s="101">
        <v>21002</v>
      </c>
      <c r="EL25" s="101">
        <v>19957</v>
      </c>
      <c r="EM25" s="101">
        <f t="shared" si="241"/>
        <v>40959</v>
      </c>
      <c r="EN25" s="100">
        <f t="shared" si="470"/>
        <v>24.936477404953575</v>
      </c>
      <c r="EO25" s="100">
        <f t="shared" si="471"/>
        <v>28.56795213146669</v>
      </c>
      <c r="EP25" s="100">
        <f t="shared" si="472"/>
        <v>26.582943925233646</v>
      </c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</row>
    <row r="26" spans="1:164" ht="27" customHeight="1">
      <c r="A26" s="94">
        <v>17</v>
      </c>
      <c r="B26" s="118" t="s">
        <v>152</v>
      </c>
      <c r="C26" s="96">
        <v>184745</v>
      </c>
      <c r="D26" s="96">
        <v>195038</v>
      </c>
      <c r="E26" s="96">
        <f t="shared" si="182"/>
        <v>379783</v>
      </c>
      <c r="F26" s="96">
        <v>137459</v>
      </c>
      <c r="G26" s="96">
        <v>135209</v>
      </c>
      <c r="H26" s="96">
        <f t="shared" si="183"/>
        <v>272668</v>
      </c>
      <c r="I26" s="104"/>
      <c r="J26" s="104"/>
      <c r="K26" s="104"/>
      <c r="L26" s="97">
        <f t="shared" si="460"/>
        <v>137459</v>
      </c>
      <c r="M26" s="98">
        <f t="shared" si="461"/>
        <v>135209</v>
      </c>
      <c r="N26" s="98">
        <f t="shared" si="462"/>
        <v>272668</v>
      </c>
      <c r="O26" s="116">
        <f t="shared" si="187"/>
        <v>0.74404720019486315</v>
      </c>
      <c r="P26" s="116">
        <f t="shared" si="188"/>
        <v>0.69324439340026045</v>
      </c>
      <c r="Q26" s="116">
        <f t="shared" si="189"/>
        <v>0.71795735986076259</v>
      </c>
      <c r="R26" s="98">
        <v>43767</v>
      </c>
      <c r="S26" s="98">
        <v>39220</v>
      </c>
      <c r="T26" s="98">
        <f t="shared" si="478"/>
        <v>82987</v>
      </c>
      <c r="U26" s="98">
        <v>23518</v>
      </c>
      <c r="V26" s="98">
        <v>18101</v>
      </c>
      <c r="W26" s="98">
        <f t="shared" si="258"/>
        <v>41619</v>
      </c>
      <c r="X26" s="103"/>
      <c r="Y26" s="103"/>
      <c r="Z26" s="103"/>
      <c r="AA26" s="98">
        <f t="shared" si="259"/>
        <v>23518</v>
      </c>
      <c r="AB26" s="98">
        <f t="shared" si="260"/>
        <v>18101</v>
      </c>
      <c r="AC26" s="98">
        <f t="shared" si="261"/>
        <v>41619</v>
      </c>
      <c r="AD26" s="116">
        <f t="shared" si="479"/>
        <v>0.53734548861014009</v>
      </c>
      <c r="AE26" s="116">
        <f t="shared" si="480"/>
        <v>0.46152473227944923</v>
      </c>
      <c r="AF26" s="116">
        <f t="shared" si="481"/>
        <v>0.50151228505669565</v>
      </c>
      <c r="AG26" s="98">
        <f t="shared" si="190"/>
        <v>228512</v>
      </c>
      <c r="AH26" s="98">
        <f t="shared" si="191"/>
        <v>234258</v>
      </c>
      <c r="AI26" s="98">
        <f t="shared" si="191"/>
        <v>462770</v>
      </c>
      <c r="AJ26" s="98">
        <f t="shared" si="193"/>
        <v>160977</v>
      </c>
      <c r="AK26" s="98">
        <f t="shared" si="194"/>
        <v>153310</v>
      </c>
      <c r="AL26" s="98">
        <f t="shared" si="194"/>
        <v>314287</v>
      </c>
      <c r="AM26" s="103"/>
      <c r="AN26" s="103"/>
      <c r="AO26" s="103"/>
      <c r="AP26" s="98">
        <f t="shared" si="195"/>
        <v>160977</v>
      </c>
      <c r="AQ26" s="98">
        <f t="shared" si="196"/>
        <v>153310</v>
      </c>
      <c r="AR26" s="98">
        <f t="shared" si="196"/>
        <v>314287</v>
      </c>
      <c r="AS26" s="116">
        <f t="shared" si="197"/>
        <v>0.70445753395882926</v>
      </c>
      <c r="AT26" s="116">
        <f t="shared" si="198"/>
        <v>0.65444936779106799</v>
      </c>
      <c r="AU26" s="116">
        <f t="shared" si="199"/>
        <v>0.679142986796897</v>
      </c>
      <c r="AV26" s="99">
        <v>22504</v>
      </c>
      <c r="AW26" s="99">
        <v>22404</v>
      </c>
      <c r="AX26" s="99">
        <f t="shared" si="200"/>
        <v>44908</v>
      </c>
      <c r="AY26" s="99">
        <v>15869</v>
      </c>
      <c r="AZ26" s="99">
        <v>13748</v>
      </c>
      <c r="BA26" s="99">
        <f t="shared" si="201"/>
        <v>29617</v>
      </c>
      <c r="BB26" s="104"/>
      <c r="BC26" s="104"/>
      <c r="BD26" s="104"/>
      <c r="BE26" s="99">
        <f t="shared" si="202"/>
        <v>15869</v>
      </c>
      <c r="BF26" s="99">
        <f t="shared" si="203"/>
        <v>13748</v>
      </c>
      <c r="BG26" s="99">
        <f t="shared" si="203"/>
        <v>29617</v>
      </c>
      <c r="BH26" s="116">
        <f t="shared" si="205"/>
        <v>0.70516352648418057</v>
      </c>
      <c r="BI26" s="116">
        <f t="shared" si="206"/>
        <v>0.61364042135332975</v>
      </c>
      <c r="BJ26" s="116">
        <f t="shared" si="207"/>
        <v>0.65950387458804671</v>
      </c>
      <c r="BK26" s="98">
        <v>6122</v>
      </c>
      <c r="BL26" s="98">
        <v>5666</v>
      </c>
      <c r="BM26" s="98">
        <f t="shared" si="266"/>
        <v>11788</v>
      </c>
      <c r="BN26" s="99">
        <v>3050</v>
      </c>
      <c r="BO26" s="99">
        <v>2281</v>
      </c>
      <c r="BP26" s="99">
        <f t="shared" si="267"/>
        <v>5331</v>
      </c>
      <c r="BQ26" s="104"/>
      <c r="BR26" s="104"/>
      <c r="BS26" s="104"/>
      <c r="BT26" s="99">
        <f t="shared" ref="BT26:BT43" si="482">+BN26+BQ26</f>
        <v>3050</v>
      </c>
      <c r="BU26" s="99">
        <f t="shared" si="268"/>
        <v>2281</v>
      </c>
      <c r="BV26" s="99">
        <f t="shared" si="268"/>
        <v>5331</v>
      </c>
      <c r="BW26" s="116">
        <f t="shared" si="270"/>
        <v>0.49820320156811498</v>
      </c>
      <c r="BX26" s="116">
        <f t="shared" si="271"/>
        <v>0.40257677373808681</v>
      </c>
      <c r="BY26" s="116">
        <f t="shared" si="272"/>
        <v>0.45223956565999324</v>
      </c>
      <c r="BZ26" s="98">
        <f t="shared" si="463"/>
        <v>28626</v>
      </c>
      <c r="CA26" s="98">
        <f t="shared" si="464"/>
        <v>28070</v>
      </c>
      <c r="CB26" s="98">
        <f t="shared" si="465"/>
        <v>56696</v>
      </c>
      <c r="CC26" s="98">
        <f t="shared" si="211"/>
        <v>18919</v>
      </c>
      <c r="CD26" s="98">
        <f t="shared" si="212"/>
        <v>16029</v>
      </c>
      <c r="CE26" s="98">
        <f t="shared" si="213"/>
        <v>34948</v>
      </c>
      <c r="CF26" s="103"/>
      <c r="CG26" s="103"/>
      <c r="CH26" s="103"/>
      <c r="CI26" s="98">
        <f t="shared" si="466"/>
        <v>18919</v>
      </c>
      <c r="CJ26" s="98">
        <f t="shared" si="467"/>
        <v>16029</v>
      </c>
      <c r="CK26" s="98">
        <f t="shared" si="468"/>
        <v>34948</v>
      </c>
      <c r="CL26" s="116">
        <f t="shared" si="454"/>
        <v>0.66090267588905194</v>
      </c>
      <c r="CM26" s="116">
        <f t="shared" si="218"/>
        <v>0.57103669397933732</v>
      </c>
      <c r="CN26" s="116">
        <f t="shared" si="219"/>
        <v>0.61641032877098911</v>
      </c>
      <c r="CO26" s="99">
        <v>42485</v>
      </c>
      <c r="CP26" s="99">
        <v>44999</v>
      </c>
      <c r="CQ26" s="99">
        <f t="shared" si="220"/>
        <v>87484</v>
      </c>
      <c r="CR26" s="99">
        <v>29146</v>
      </c>
      <c r="CS26" s="99">
        <v>28391</v>
      </c>
      <c r="CT26" s="99">
        <f t="shared" si="221"/>
        <v>57537</v>
      </c>
      <c r="CU26" s="104"/>
      <c r="CV26" s="104"/>
      <c r="CW26" s="104"/>
      <c r="CX26" s="99">
        <f t="shared" si="222"/>
        <v>29146</v>
      </c>
      <c r="CY26" s="99">
        <f t="shared" si="223"/>
        <v>28391</v>
      </c>
      <c r="CZ26" s="99">
        <f t="shared" si="223"/>
        <v>57537</v>
      </c>
      <c r="DA26" s="116">
        <f t="shared" si="273"/>
        <v>0.6860303636577616</v>
      </c>
      <c r="DB26" s="116">
        <f t="shared" si="225"/>
        <v>0.63092513166959263</v>
      </c>
      <c r="DC26" s="116">
        <f t="shared" si="226"/>
        <v>0.65768597686434094</v>
      </c>
      <c r="DD26" s="98">
        <v>13534</v>
      </c>
      <c r="DE26" s="98">
        <v>13892</v>
      </c>
      <c r="DF26" s="98">
        <f t="shared" si="274"/>
        <v>27426</v>
      </c>
      <c r="DG26" s="99">
        <v>6894</v>
      </c>
      <c r="DH26" s="99">
        <v>6011</v>
      </c>
      <c r="DI26" s="99">
        <f t="shared" si="275"/>
        <v>12905</v>
      </c>
      <c r="DJ26" s="104"/>
      <c r="DK26" s="104"/>
      <c r="DL26" s="104"/>
      <c r="DM26" s="99">
        <f t="shared" si="276"/>
        <v>6894</v>
      </c>
      <c r="DN26" s="99">
        <f t="shared" si="277"/>
        <v>6011</v>
      </c>
      <c r="DO26" s="99">
        <f t="shared" si="277"/>
        <v>12905</v>
      </c>
      <c r="DP26" s="116">
        <f t="shared" si="279"/>
        <v>0.50938377419831538</v>
      </c>
      <c r="DQ26" s="116">
        <f t="shared" si="280"/>
        <v>0.43269507630290815</v>
      </c>
      <c r="DR26" s="116">
        <f t="shared" si="281"/>
        <v>0.47053890468898124</v>
      </c>
      <c r="DS26" s="98">
        <f t="shared" si="227"/>
        <v>56019</v>
      </c>
      <c r="DT26" s="98">
        <f t="shared" si="228"/>
        <v>58891</v>
      </c>
      <c r="DU26" s="98">
        <f t="shared" si="229"/>
        <v>114910</v>
      </c>
      <c r="DV26" s="98">
        <f t="shared" si="230"/>
        <v>36040</v>
      </c>
      <c r="DW26" s="98">
        <f t="shared" si="231"/>
        <v>34402</v>
      </c>
      <c r="DX26" s="98">
        <f t="shared" si="232"/>
        <v>70442</v>
      </c>
      <c r="DY26" s="103"/>
      <c r="DZ26" s="103"/>
      <c r="EA26" s="103"/>
      <c r="EB26" s="98">
        <f t="shared" si="233"/>
        <v>36040</v>
      </c>
      <c r="EC26" s="98">
        <f t="shared" si="234"/>
        <v>34402</v>
      </c>
      <c r="ED26" s="98">
        <f t="shared" si="235"/>
        <v>70442</v>
      </c>
      <c r="EE26" s="116">
        <f t="shared" si="459"/>
        <v>0.64335314803905819</v>
      </c>
      <c r="EF26" s="116">
        <f t="shared" si="236"/>
        <v>0.58416396393336845</v>
      </c>
      <c r="EG26" s="116">
        <f t="shared" si="237"/>
        <v>0.61301888434426943</v>
      </c>
      <c r="EH26" s="98">
        <f t="shared" si="238"/>
        <v>160977</v>
      </c>
      <c r="EI26" s="98">
        <f t="shared" si="239"/>
        <v>153310</v>
      </c>
      <c r="EJ26" s="98">
        <f t="shared" si="239"/>
        <v>314287</v>
      </c>
      <c r="EK26" s="98">
        <v>65663</v>
      </c>
      <c r="EL26" s="98">
        <v>59738</v>
      </c>
      <c r="EM26" s="98">
        <f t="shared" si="241"/>
        <v>125401</v>
      </c>
      <c r="EN26" s="100">
        <f t="shared" si="470"/>
        <v>40.790299235294484</v>
      </c>
      <c r="EO26" s="100">
        <f t="shared" si="471"/>
        <v>38.965494749200964</v>
      </c>
      <c r="EP26" s="100">
        <f t="shared" si="472"/>
        <v>39.900154953911553</v>
      </c>
      <c r="EQ26" s="98">
        <f t="shared" si="245"/>
        <v>18919</v>
      </c>
      <c r="ER26" s="98">
        <f t="shared" si="246"/>
        <v>16029</v>
      </c>
      <c r="ES26" s="98">
        <f t="shared" si="246"/>
        <v>34948</v>
      </c>
      <c r="ET26" s="98">
        <v>6526</v>
      </c>
      <c r="EU26" s="98">
        <v>4954</v>
      </c>
      <c r="EV26" s="98">
        <f t="shared" si="248"/>
        <v>11480</v>
      </c>
      <c r="EW26" s="100">
        <f t="shared" si="473"/>
        <v>34.494423595327447</v>
      </c>
      <c r="EX26" s="100">
        <f t="shared" si="474"/>
        <v>30.906482001372513</v>
      </c>
      <c r="EY26" s="100">
        <f t="shared" si="474"/>
        <v>32.848803937278241</v>
      </c>
      <c r="EZ26" s="98">
        <f t="shared" si="252"/>
        <v>36040</v>
      </c>
      <c r="FA26" s="98">
        <f t="shared" si="253"/>
        <v>34402</v>
      </c>
      <c r="FB26" s="98">
        <f t="shared" si="253"/>
        <v>70442</v>
      </c>
      <c r="FC26" s="98">
        <v>11880</v>
      </c>
      <c r="FD26" s="98">
        <v>11120</v>
      </c>
      <c r="FE26" s="98">
        <f t="shared" si="255"/>
        <v>23000</v>
      </c>
      <c r="FF26" s="100">
        <f t="shared" si="475"/>
        <v>32.963374028856826</v>
      </c>
      <c r="FG26" s="100">
        <f t="shared" si="476"/>
        <v>32.323702110342424</v>
      </c>
      <c r="FH26" s="100">
        <f t="shared" si="477"/>
        <v>32.650975270435254</v>
      </c>
    </row>
    <row r="27" spans="1:164" ht="28.5">
      <c r="A27" s="94">
        <v>18</v>
      </c>
      <c r="B27" s="118" t="s">
        <v>153</v>
      </c>
      <c r="C27" s="96">
        <v>434503</v>
      </c>
      <c r="D27" s="96">
        <v>394363</v>
      </c>
      <c r="E27" s="96">
        <f t="shared" si="182"/>
        <v>828866</v>
      </c>
      <c r="F27" s="96">
        <v>284727</v>
      </c>
      <c r="G27" s="96">
        <v>296734</v>
      </c>
      <c r="H27" s="96">
        <f t="shared" si="183"/>
        <v>581461</v>
      </c>
      <c r="I27" s="96">
        <v>66564</v>
      </c>
      <c r="J27" s="96">
        <v>45902</v>
      </c>
      <c r="K27" s="96">
        <f t="shared" si="443"/>
        <v>112466</v>
      </c>
      <c r="L27" s="97">
        <f t="shared" si="460"/>
        <v>351291</v>
      </c>
      <c r="M27" s="98">
        <f t="shared" si="461"/>
        <v>342636</v>
      </c>
      <c r="N27" s="98">
        <f t="shared" si="462"/>
        <v>693927</v>
      </c>
      <c r="O27" s="116">
        <f t="shared" si="187"/>
        <v>0.80848923942987738</v>
      </c>
      <c r="P27" s="116">
        <f t="shared" si="188"/>
        <v>0.86883404376171192</v>
      </c>
      <c r="Q27" s="116">
        <f t="shared" si="189"/>
        <v>0.83720046424874472</v>
      </c>
      <c r="R27" s="98">
        <v>21465</v>
      </c>
      <c r="S27" s="98">
        <v>5695</v>
      </c>
      <c r="T27" s="98">
        <f t="shared" si="478"/>
        <v>27160</v>
      </c>
      <c r="U27" s="98">
        <v>806</v>
      </c>
      <c r="V27" s="98">
        <v>316</v>
      </c>
      <c r="W27" s="98">
        <f t="shared" si="258"/>
        <v>1122</v>
      </c>
      <c r="X27" s="98">
        <v>2016</v>
      </c>
      <c r="Y27" s="98">
        <v>689</v>
      </c>
      <c r="Z27" s="98">
        <f t="shared" ref="Z27:Z40" si="483">X27+Y27</f>
        <v>2705</v>
      </c>
      <c r="AA27" s="98">
        <f t="shared" si="259"/>
        <v>2822</v>
      </c>
      <c r="AB27" s="98">
        <f t="shared" si="260"/>
        <v>1005</v>
      </c>
      <c r="AC27" s="98">
        <f t="shared" si="261"/>
        <v>3827</v>
      </c>
      <c r="AD27" s="116">
        <f t="shared" si="479"/>
        <v>0.13146983461448869</v>
      </c>
      <c r="AE27" s="116">
        <f t="shared" si="480"/>
        <v>0.17647058823529413</v>
      </c>
      <c r="AF27" s="116">
        <f t="shared" si="481"/>
        <v>0.14090574374079529</v>
      </c>
      <c r="AG27" s="98">
        <f t="shared" si="190"/>
        <v>455968</v>
      </c>
      <c r="AH27" s="98">
        <f t="shared" si="191"/>
        <v>400058</v>
      </c>
      <c r="AI27" s="98">
        <f t="shared" si="191"/>
        <v>856026</v>
      </c>
      <c r="AJ27" s="98">
        <f t="shared" si="193"/>
        <v>285533</v>
      </c>
      <c r="AK27" s="98">
        <f t="shared" si="194"/>
        <v>297050</v>
      </c>
      <c r="AL27" s="98">
        <f t="shared" si="194"/>
        <v>582583</v>
      </c>
      <c r="AM27" s="98">
        <f t="shared" si="447"/>
        <v>68580</v>
      </c>
      <c r="AN27" s="98">
        <f t="shared" si="265"/>
        <v>46591</v>
      </c>
      <c r="AO27" s="98">
        <f t="shared" si="265"/>
        <v>115171</v>
      </c>
      <c r="AP27" s="98">
        <f t="shared" si="195"/>
        <v>354113</v>
      </c>
      <c r="AQ27" s="98">
        <f t="shared" si="196"/>
        <v>343641</v>
      </c>
      <c r="AR27" s="98">
        <f t="shared" si="196"/>
        <v>697754</v>
      </c>
      <c r="AS27" s="116">
        <f t="shared" si="197"/>
        <v>0.77661809600673737</v>
      </c>
      <c r="AT27" s="116">
        <f t="shared" si="198"/>
        <v>0.85897794819751139</v>
      </c>
      <c r="AU27" s="116">
        <f t="shared" si="199"/>
        <v>0.81510841960407743</v>
      </c>
      <c r="AV27" s="99">
        <v>82799</v>
      </c>
      <c r="AW27" s="99">
        <v>73748</v>
      </c>
      <c r="AX27" s="99">
        <f t="shared" si="200"/>
        <v>156547</v>
      </c>
      <c r="AY27" s="99">
        <v>48918</v>
      </c>
      <c r="AZ27" s="99">
        <v>48772</v>
      </c>
      <c r="BA27" s="99">
        <f t="shared" si="201"/>
        <v>97690</v>
      </c>
      <c r="BB27" s="99">
        <v>14209</v>
      </c>
      <c r="BC27" s="99">
        <v>10915</v>
      </c>
      <c r="BD27" s="99">
        <f t="shared" si="448"/>
        <v>25124</v>
      </c>
      <c r="BE27" s="99">
        <f t="shared" si="202"/>
        <v>63127</v>
      </c>
      <c r="BF27" s="99">
        <f t="shared" si="203"/>
        <v>59687</v>
      </c>
      <c r="BG27" s="99">
        <f t="shared" si="203"/>
        <v>122814</v>
      </c>
      <c r="BH27" s="116">
        <f t="shared" si="205"/>
        <v>0.76241258952402802</v>
      </c>
      <c r="BI27" s="116">
        <f t="shared" si="206"/>
        <v>0.80933720236480988</v>
      </c>
      <c r="BJ27" s="116">
        <f t="shared" si="207"/>
        <v>0.78451838744913671</v>
      </c>
      <c r="BK27" s="98">
        <v>5467</v>
      </c>
      <c r="BL27" s="98">
        <v>1766</v>
      </c>
      <c r="BM27" s="98">
        <f t="shared" si="266"/>
        <v>7233</v>
      </c>
      <c r="BN27" s="99">
        <v>154</v>
      </c>
      <c r="BO27" s="99">
        <v>49</v>
      </c>
      <c r="BP27" s="99">
        <f t="shared" si="267"/>
        <v>203</v>
      </c>
      <c r="BQ27" s="99">
        <v>471</v>
      </c>
      <c r="BR27" s="99">
        <v>177</v>
      </c>
      <c r="BS27" s="99">
        <f t="shared" ref="BS27:BS40" si="484">BQ27+BR27</f>
        <v>648</v>
      </c>
      <c r="BT27" s="99">
        <f t="shared" ref="BT27:BT30" si="485">+BN27+BQ27</f>
        <v>625</v>
      </c>
      <c r="BU27" s="99">
        <f t="shared" ref="BU27:BU30" si="486">+BO27+BR27</f>
        <v>226</v>
      </c>
      <c r="BV27" s="99">
        <f t="shared" ref="BV27:BV30" si="487">+BP27+BS27</f>
        <v>851</v>
      </c>
      <c r="BW27" s="116">
        <f t="shared" si="270"/>
        <v>0.11432229742088897</v>
      </c>
      <c r="BX27" s="116">
        <f t="shared" si="271"/>
        <v>0.12797281993204984</v>
      </c>
      <c r="BY27" s="116">
        <f t="shared" si="272"/>
        <v>0.1176551914834785</v>
      </c>
      <c r="BZ27" s="98">
        <f t="shared" si="463"/>
        <v>88266</v>
      </c>
      <c r="CA27" s="98">
        <f t="shared" si="464"/>
        <v>75514</v>
      </c>
      <c r="CB27" s="98">
        <f t="shared" si="465"/>
        <v>163780</v>
      </c>
      <c r="CC27" s="98">
        <f t="shared" si="211"/>
        <v>49072</v>
      </c>
      <c r="CD27" s="98">
        <f t="shared" si="212"/>
        <v>48821</v>
      </c>
      <c r="CE27" s="98">
        <f t="shared" si="213"/>
        <v>97893</v>
      </c>
      <c r="CF27" s="98">
        <f t="shared" si="449"/>
        <v>14680</v>
      </c>
      <c r="CG27" s="98">
        <f t="shared" si="450"/>
        <v>11092</v>
      </c>
      <c r="CH27" s="98">
        <f t="shared" si="451"/>
        <v>25772</v>
      </c>
      <c r="CI27" s="98">
        <f t="shared" si="466"/>
        <v>63752</v>
      </c>
      <c r="CJ27" s="98">
        <f t="shared" si="467"/>
        <v>59913</v>
      </c>
      <c r="CK27" s="98">
        <f t="shared" si="468"/>
        <v>123665</v>
      </c>
      <c r="CL27" s="116">
        <f t="shared" si="454"/>
        <v>0.72227131624861218</v>
      </c>
      <c r="CM27" s="116">
        <f t="shared" si="218"/>
        <v>0.79340254787191777</v>
      </c>
      <c r="CN27" s="116">
        <f t="shared" si="219"/>
        <v>0.75506777384296009</v>
      </c>
      <c r="CO27" s="99">
        <v>31091</v>
      </c>
      <c r="CP27" s="99">
        <v>26965</v>
      </c>
      <c r="CQ27" s="99">
        <f t="shared" si="220"/>
        <v>58056</v>
      </c>
      <c r="CR27" s="99">
        <v>18809</v>
      </c>
      <c r="CS27" s="99">
        <v>18603</v>
      </c>
      <c r="CT27" s="99">
        <f t="shared" si="221"/>
        <v>37412</v>
      </c>
      <c r="CU27" s="99">
        <v>5425</v>
      </c>
      <c r="CV27" s="99">
        <v>4027</v>
      </c>
      <c r="CW27" s="99">
        <f t="shared" si="455"/>
        <v>9452</v>
      </c>
      <c r="CX27" s="99">
        <f t="shared" si="222"/>
        <v>24234</v>
      </c>
      <c r="CY27" s="99">
        <f t="shared" si="223"/>
        <v>22630</v>
      </c>
      <c r="CZ27" s="99">
        <f t="shared" si="223"/>
        <v>46864</v>
      </c>
      <c r="DA27" s="116">
        <f t="shared" si="273"/>
        <v>0.77945386124601979</v>
      </c>
      <c r="DB27" s="116">
        <f t="shared" si="225"/>
        <v>0.83923604672723906</v>
      </c>
      <c r="DC27" s="116">
        <f t="shared" si="226"/>
        <v>0.80722061457902716</v>
      </c>
      <c r="DD27" s="98">
        <v>1416</v>
      </c>
      <c r="DE27" s="98">
        <v>329</v>
      </c>
      <c r="DF27" s="98">
        <f t="shared" si="274"/>
        <v>1745</v>
      </c>
      <c r="DG27" s="99">
        <v>42</v>
      </c>
      <c r="DH27" s="99">
        <v>12</v>
      </c>
      <c r="DI27" s="99">
        <f t="shared" si="275"/>
        <v>54</v>
      </c>
      <c r="DJ27" s="99">
        <v>135</v>
      </c>
      <c r="DK27" s="99">
        <v>40</v>
      </c>
      <c r="DL27" s="99">
        <f t="shared" ref="DL27:DL40" si="488">DJ27+DK27</f>
        <v>175</v>
      </c>
      <c r="DM27" s="99">
        <f t="shared" si="276"/>
        <v>177</v>
      </c>
      <c r="DN27" s="99">
        <f t="shared" si="277"/>
        <v>52</v>
      </c>
      <c r="DO27" s="99">
        <f t="shared" si="277"/>
        <v>229</v>
      </c>
      <c r="DP27" s="116">
        <f t="shared" si="279"/>
        <v>0.125</v>
      </c>
      <c r="DQ27" s="116">
        <f t="shared" si="280"/>
        <v>0.1580547112462006</v>
      </c>
      <c r="DR27" s="116">
        <f t="shared" si="281"/>
        <v>0.13123209169054442</v>
      </c>
      <c r="DS27" s="98">
        <f t="shared" si="227"/>
        <v>32507</v>
      </c>
      <c r="DT27" s="98">
        <f t="shared" si="228"/>
        <v>27294</v>
      </c>
      <c r="DU27" s="98">
        <f t="shared" si="229"/>
        <v>59801</v>
      </c>
      <c r="DV27" s="98">
        <f t="shared" si="230"/>
        <v>18851</v>
      </c>
      <c r="DW27" s="98">
        <f t="shared" si="231"/>
        <v>18615</v>
      </c>
      <c r="DX27" s="98">
        <f t="shared" si="232"/>
        <v>37466</v>
      </c>
      <c r="DY27" s="98">
        <f t="shared" si="456"/>
        <v>5560</v>
      </c>
      <c r="DZ27" s="98">
        <f t="shared" si="457"/>
        <v>4067</v>
      </c>
      <c r="EA27" s="98">
        <f t="shared" si="458"/>
        <v>9627</v>
      </c>
      <c r="EB27" s="98">
        <f t="shared" si="233"/>
        <v>24411</v>
      </c>
      <c r="EC27" s="98">
        <f t="shared" si="234"/>
        <v>22682</v>
      </c>
      <c r="ED27" s="98">
        <f t="shared" si="235"/>
        <v>47093</v>
      </c>
      <c r="EE27" s="116">
        <f t="shared" si="459"/>
        <v>0.75094595010305476</v>
      </c>
      <c r="EF27" s="116">
        <f t="shared" si="236"/>
        <v>0.83102513372902465</v>
      </c>
      <c r="EG27" s="116">
        <f t="shared" si="237"/>
        <v>0.78749519238808718</v>
      </c>
      <c r="EH27" s="98">
        <f t="shared" si="238"/>
        <v>354113</v>
      </c>
      <c r="EI27" s="98">
        <f t="shared" si="239"/>
        <v>343641</v>
      </c>
      <c r="EJ27" s="98">
        <f t="shared" si="239"/>
        <v>697754</v>
      </c>
      <c r="EK27" s="98">
        <v>193561</v>
      </c>
      <c r="EL27" s="98">
        <v>233022</v>
      </c>
      <c r="EM27" s="98">
        <f t="shared" si="241"/>
        <v>426583</v>
      </c>
      <c r="EN27" s="100">
        <f t="shared" si="470"/>
        <v>54.660800365984869</v>
      </c>
      <c r="EO27" s="100">
        <f t="shared" si="471"/>
        <v>67.809720027586934</v>
      </c>
      <c r="EP27" s="100">
        <f t="shared" si="472"/>
        <v>61.136589686336443</v>
      </c>
      <c r="EQ27" s="98">
        <f t="shared" si="245"/>
        <v>63752</v>
      </c>
      <c r="ER27" s="98">
        <f t="shared" si="246"/>
        <v>59913</v>
      </c>
      <c r="ES27" s="98">
        <f t="shared" si="246"/>
        <v>123665</v>
      </c>
      <c r="ET27" s="98">
        <v>30451</v>
      </c>
      <c r="EU27" s="98">
        <v>34325</v>
      </c>
      <c r="EV27" s="98">
        <f t="shared" si="248"/>
        <v>64776</v>
      </c>
      <c r="EW27" s="100">
        <f t="shared" si="473"/>
        <v>47.76477600702723</v>
      </c>
      <c r="EX27" s="100">
        <f t="shared" si="474"/>
        <v>57.291405871847509</v>
      </c>
      <c r="EY27" s="100">
        <f t="shared" si="474"/>
        <v>52.38022075769215</v>
      </c>
      <c r="EZ27" s="98">
        <f t="shared" si="252"/>
        <v>24411</v>
      </c>
      <c r="FA27" s="98">
        <f t="shared" si="253"/>
        <v>22682</v>
      </c>
      <c r="FB27" s="98">
        <f t="shared" si="253"/>
        <v>47093</v>
      </c>
      <c r="FC27" s="98">
        <v>11362</v>
      </c>
      <c r="FD27" s="98">
        <v>13302</v>
      </c>
      <c r="FE27" s="98">
        <f t="shared" si="255"/>
        <v>24664</v>
      </c>
      <c r="FF27" s="100">
        <f t="shared" si="475"/>
        <v>46.544590553439022</v>
      </c>
      <c r="FG27" s="100">
        <f t="shared" si="476"/>
        <v>58.645622079181727</v>
      </c>
      <c r="FH27" s="100">
        <f t="shared" si="477"/>
        <v>52.372964134797101</v>
      </c>
    </row>
    <row r="28" spans="1:164" ht="28.5">
      <c r="A28" s="94">
        <v>19</v>
      </c>
      <c r="B28" s="118" t="s">
        <v>154</v>
      </c>
      <c r="C28" s="96">
        <v>231537</v>
      </c>
      <c r="D28" s="96">
        <v>223916</v>
      </c>
      <c r="E28" s="96">
        <f t="shared" si="182"/>
        <v>455453</v>
      </c>
      <c r="F28" s="96">
        <v>220053</v>
      </c>
      <c r="G28" s="96">
        <v>217103</v>
      </c>
      <c r="H28" s="96">
        <f t="shared" si="183"/>
        <v>437156</v>
      </c>
      <c r="I28" s="96">
        <v>7454</v>
      </c>
      <c r="J28" s="96">
        <v>4715</v>
      </c>
      <c r="K28" s="96">
        <f t="shared" si="443"/>
        <v>12169</v>
      </c>
      <c r="L28" s="97">
        <f t="shared" si="460"/>
        <v>227507</v>
      </c>
      <c r="M28" s="98">
        <f t="shared" si="461"/>
        <v>221818</v>
      </c>
      <c r="N28" s="98">
        <f t="shared" si="462"/>
        <v>449325</v>
      </c>
      <c r="O28" s="116">
        <f t="shared" si="187"/>
        <v>0.98259457451724774</v>
      </c>
      <c r="P28" s="116">
        <f t="shared" si="188"/>
        <v>0.99063041497704496</v>
      </c>
      <c r="Q28" s="116">
        <f t="shared" si="189"/>
        <v>0.9865452637264438</v>
      </c>
      <c r="R28" s="98">
        <v>9367</v>
      </c>
      <c r="S28" s="98">
        <v>5640</v>
      </c>
      <c r="T28" s="98">
        <f t="shared" si="478"/>
        <v>15007</v>
      </c>
      <c r="U28" s="98">
        <v>7454</v>
      </c>
      <c r="V28" s="98">
        <v>4715</v>
      </c>
      <c r="W28" s="98">
        <f t="shared" si="258"/>
        <v>12169</v>
      </c>
      <c r="X28" s="103"/>
      <c r="Y28" s="103"/>
      <c r="Z28" s="103"/>
      <c r="AA28" s="98">
        <f t="shared" si="259"/>
        <v>7454</v>
      </c>
      <c r="AB28" s="98">
        <f t="shared" si="260"/>
        <v>4715</v>
      </c>
      <c r="AC28" s="98">
        <f t="shared" si="261"/>
        <v>12169</v>
      </c>
      <c r="AD28" s="116">
        <f t="shared" si="479"/>
        <v>0.79577239244155007</v>
      </c>
      <c r="AE28" s="116">
        <f t="shared" si="480"/>
        <v>0.83599290780141844</v>
      </c>
      <c r="AF28" s="116">
        <f t="shared" si="481"/>
        <v>0.81088825214899718</v>
      </c>
      <c r="AG28" s="98">
        <f t="shared" si="190"/>
        <v>240904</v>
      </c>
      <c r="AH28" s="98">
        <f t="shared" si="191"/>
        <v>229556</v>
      </c>
      <c r="AI28" s="98">
        <f t="shared" si="191"/>
        <v>470460</v>
      </c>
      <c r="AJ28" s="98">
        <f t="shared" si="193"/>
        <v>227507</v>
      </c>
      <c r="AK28" s="98">
        <f t="shared" si="194"/>
        <v>221818</v>
      </c>
      <c r="AL28" s="98">
        <f t="shared" si="194"/>
        <v>449325</v>
      </c>
      <c r="AM28" s="98">
        <f t="shared" si="447"/>
        <v>7454</v>
      </c>
      <c r="AN28" s="98">
        <f t="shared" si="265"/>
        <v>4715</v>
      </c>
      <c r="AO28" s="98">
        <f t="shared" si="265"/>
        <v>12169</v>
      </c>
      <c r="AP28" s="98">
        <f t="shared" si="195"/>
        <v>234961</v>
      </c>
      <c r="AQ28" s="98">
        <f t="shared" si="196"/>
        <v>226533</v>
      </c>
      <c r="AR28" s="98">
        <f t="shared" si="196"/>
        <v>461494</v>
      </c>
      <c r="AS28" s="116">
        <f t="shared" si="197"/>
        <v>0.97533042207684384</v>
      </c>
      <c r="AT28" s="116">
        <f t="shared" si="198"/>
        <v>0.98683110003659236</v>
      </c>
      <c r="AU28" s="116">
        <f t="shared" si="199"/>
        <v>0.98094205671045365</v>
      </c>
      <c r="AV28" s="99">
        <v>23902</v>
      </c>
      <c r="AW28" s="99">
        <v>22842</v>
      </c>
      <c r="AX28" s="99">
        <f t="shared" si="200"/>
        <v>46744</v>
      </c>
      <c r="AY28" s="99">
        <v>21533</v>
      </c>
      <c r="AZ28" s="99">
        <v>21493</v>
      </c>
      <c r="BA28" s="99">
        <f t="shared" si="201"/>
        <v>43026</v>
      </c>
      <c r="BB28" s="99">
        <v>1437</v>
      </c>
      <c r="BC28" s="99">
        <v>956</v>
      </c>
      <c r="BD28" s="99">
        <f t="shared" si="448"/>
        <v>2393</v>
      </c>
      <c r="BE28" s="99">
        <f t="shared" si="202"/>
        <v>22970</v>
      </c>
      <c r="BF28" s="99">
        <f t="shared" si="203"/>
        <v>22449</v>
      </c>
      <c r="BG28" s="99">
        <f t="shared" si="203"/>
        <v>45419</v>
      </c>
      <c r="BH28" s="116">
        <f t="shared" si="205"/>
        <v>0.96100744707555852</v>
      </c>
      <c r="BI28" s="116">
        <f t="shared" si="206"/>
        <v>0.98279485158917779</v>
      </c>
      <c r="BJ28" s="116">
        <f t="shared" si="207"/>
        <v>0.97165411603628271</v>
      </c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98">
        <f t="shared" si="463"/>
        <v>23902</v>
      </c>
      <c r="CA28" s="98">
        <f t="shared" si="464"/>
        <v>22842</v>
      </c>
      <c r="CB28" s="98">
        <f t="shared" si="465"/>
        <v>46744</v>
      </c>
      <c r="CC28" s="98">
        <f t="shared" si="211"/>
        <v>21533</v>
      </c>
      <c r="CD28" s="98">
        <f t="shared" si="212"/>
        <v>21493</v>
      </c>
      <c r="CE28" s="98">
        <f t="shared" si="213"/>
        <v>43026</v>
      </c>
      <c r="CF28" s="98">
        <f t="shared" si="449"/>
        <v>1437</v>
      </c>
      <c r="CG28" s="98">
        <f t="shared" si="450"/>
        <v>956</v>
      </c>
      <c r="CH28" s="98">
        <f t="shared" si="451"/>
        <v>2393</v>
      </c>
      <c r="CI28" s="98">
        <f t="shared" si="466"/>
        <v>22970</v>
      </c>
      <c r="CJ28" s="98">
        <f t="shared" si="467"/>
        <v>22449</v>
      </c>
      <c r="CK28" s="98">
        <f t="shared" si="468"/>
        <v>45419</v>
      </c>
      <c r="CL28" s="116">
        <f>CI28/BZ28</f>
        <v>0.96100744707555852</v>
      </c>
      <c r="CM28" s="116">
        <f t="shared" si="218"/>
        <v>0.98279485158917779</v>
      </c>
      <c r="CN28" s="116">
        <f t="shared" si="219"/>
        <v>0.97165411603628271</v>
      </c>
      <c r="CO28" s="99">
        <v>4264</v>
      </c>
      <c r="CP28" s="99">
        <v>4192</v>
      </c>
      <c r="CQ28" s="99">
        <f t="shared" si="220"/>
        <v>8456</v>
      </c>
      <c r="CR28" s="99">
        <v>3482</v>
      </c>
      <c r="CS28" s="99">
        <v>3514</v>
      </c>
      <c r="CT28" s="99">
        <f t="shared" si="221"/>
        <v>6996</v>
      </c>
      <c r="CU28" s="99">
        <v>289</v>
      </c>
      <c r="CV28" s="99">
        <v>313</v>
      </c>
      <c r="CW28" s="99">
        <f t="shared" si="455"/>
        <v>602</v>
      </c>
      <c r="CX28" s="99">
        <f t="shared" si="222"/>
        <v>3771</v>
      </c>
      <c r="CY28" s="99">
        <f t="shared" si="223"/>
        <v>3827</v>
      </c>
      <c r="CZ28" s="99">
        <f t="shared" si="223"/>
        <v>7598</v>
      </c>
      <c r="DA28" s="116">
        <f t="shared" si="273"/>
        <v>0.88438086303939967</v>
      </c>
      <c r="DB28" s="116">
        <f t="shared" si="225"/>
        <v>0.91292938931297707</v>
      </c>
      <c r="DC28" s="116">
        <f t="shared" si="226"/>
        <v>0.89853358561967833</v>
      </c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98">
        <f t="shared" si="227"/>
        <v>4264</v>
      </c>
      <c r="DT28" s="98">
        <f t="shared" si="228"/>
        <v>4192</v>
      </c>
      <c r="DU28" s="98">
        <f t="shared" si="229"/>
        <v>8456</v>
      </c>
      <c r="DV28" s="98">
        <f t="shared" si="230"/>
        <v>3482</v>
      </c>
      <c r="DW28" s="98">
        <f t="shared" si="231"/>
        <v>3514</v>
      </c>
      <c r="DX28" s="98">
        <f t="shared" si="232"/>
        <v>6996</v>
      </c>
      <c r="DY28" s="98">
        <f t="shared" si="456"/>
        <v>289</v>
      </c>
      <c r="DZ28" s="98">
        <f t="shared" si="457"/>
        <v>313</v>
      </c>
      <c r="EA28" s="98">
        <f t="shared" si="458"/>
        <v>602</v>
      </c>
      <c r="EB28" s="98">
        <f t="shared" si="233"/>
        <v>3771</v>
      </c>
      <c r="EC28" s="98">
        <f t="shared" si="234"/>
        <v>3827</v>
      </c>
      <c r="ED28" s="98">
        <f t="shared" si="235"/>
        <v>7598</v>
      </c>
      <c r="EE28" s="116">
        <f t="shared" si="459"/>
        <v>0.88438086303939967</v>
      </c>
      <c r="EF28" s="116">
        <f t="shared" si="236"/>
        <v>0.91292938931297707</v>
      </c>
      <c r="EG28" s="116">
        <f t="shared" si="237"/>
        <v>0.89853358561967833</v>
      </c>
      <c r="EH28" s="98">
        <f t="shared" si="238"/>
        <v>234961</v>
      </c>
      <c r="EI28" s="98">
        <f t="shared" si="239"/>
        <v>226533</v>
      </c>
      <c r="EJ28" s="98">
        <f t="shared" si="239"/>
        <v>461494</v>
      </c>
      <c r="EK28" s="98">
        <v>0</v>
      </c>
      <c r="EL28" s="98">
        <v>0</v>
      </c>
      <c r="EM28" s="98">
        <f>72371+120478</f>
        <v>192849</v>
      </c>
      <c r="EN28" s="110"/>
      <c r="EO28" s="110"/>
      <c r="EP28" s="100">
        <f t="shared" si="472"/>
        <v>41.787975574980386</v>
      </c>
      <c r="EQ28" s="98">
        <f t="shared" si="245"/>
        <v>22970</v>
      </c>
      <c r="ER28" s="98">
        <f t="shared" si="246"/>
        <v>22449</v>
      </c>
      <c r="ES28" s="98">
        <f t="shared" si="246"/>
        <v>45419</v>
      </c>
      <c r="ET28" s="98">
        <v>0</v>
      </c>
      <c r="EU28" s="98">
        <v>0</v>
      </c>
      <c r="EV28" s="98">
        <f>1409+2948</f>
        <v>4357</v>
      </c>
      <c r="EW28" s="103"/>
      <c r="EX28" s="103"/>
      <c r="EY28" s="100">
        <f t="shared" si="474"/>
        <v>9.5929016490895886</v>
      </c>
      <c r="EZ28" s="98">
        <f t="shared" si="252"/>
        <v>3771</v>
      </c>
      <c r="FA28" s="98">
        <f t="shared" si="253"/>
        <v>3827</v>
      </c>
      <c r="FB28" s="98">
        <f t="shared" si="253"/>
        <v>7598</v>
      </c>
      <c r="FC28" s="103"/>
      <c r="FD28" s="103"/>
      <c r="FE28" s="98">
        <f>282+112</f>
        <v>394</v>
      </c>
      <c r="FF28" s="103"/>
      <c r="FG28" s="103"/>
      <c r="FH28" s="100">
        <f t="shared" si="477"/>
        <v>5.1855751513556196</v>
      </c>
    </row>
    <row r="29" spans="1:164" ht="28.5">
      <c r="A29" s="94">
        <v>20</v>
      </c>
      <c r="B29" s="118" t="s">
        <v>109</v>
      </c>
      <c r="C29" s="96">
        <v>949323</v>
      </c>
      <c r="D29" s="96">
        <v>759013</v>
      </c>
      <c r="E29" s="96">
        <f>C29+D29</f>
        <v>1708336</v>
      </c>
      <c r="F29" s="96">
        <v>799260</v>
      </c>
      <c r="G29" s="96">
        <v>685002</v>
      </c>
      <c r="H29" s="96">
        <f>F29+G29</f>
        <v>1484262</v>
      </c>
      <c r="I29" s="96">
        <v>18565</v>
      </c>
      <c r="J29" s="96">
        <v>9782</v>
      </c>
      <c r="K29" s="96">
        <f>I29+J29</f>
        <v>28347</v>
      </c>
      <c r="L29" s="97">
        <f>F29+I29</f>
        <v>817825</v>
      </c>
      <c r="M29" s="98">
        <f>G29+J29</f>
        <v>694784</v>
      </c>
      <c r="N29" s="98">
        <f>H29+K29</f>
        <v>1512609</v>
      </c>
      <c r="O29" s="116">
        <f>L29/C29</f>
        <v>0.86148234057322959</v>
      </c>
      <c r="P29" s="116">
        <f>M29/D29</f>
        <v>0.91537826097840225</v>
      </c>
      <c r="Q29" s="116">
        <f>N29/E29</f>
        <v>0.88542827640464172</v>
      </c>
      <c r="R29" s="98">
        <v>33623</v>
      </c>
      <c r="S29" s="98">
        <v>13046</v>
      </c>
      <c r="T29" s="98">
        <f>R29+S29</f>
        <v>46669</v>
      </c>
      <c r="U29" s="98">
        <v>14966</v>
      </c>
      <c r="V29" s="98">
        <v>7251</v>
      </c>
      <c r="W29" s="98">
        <f>U29+V29</f>
        <v>22217</v>
      </c>
      <c r="X29" s="98">
        <v>1609</v>
      </c>
      <c r="Y29" s="98">
        <v>599</v>
      </c>
      <c r="Z29" s="98">
        <f>X29+Y29</f>
        <v>2208</v>
      </c>
      <c r="AA29" s="98">
        <f>U29+X29</f>
        <v>16575</v>
      </c>
      <c r="AB29" s="98">
        <f>V29+Y29</f>
        <v>7850</v>
      </c>
      <c r="AC29" s="98">
        <f>W29+Z29</f>
        <v>24425</v>
      </c>
      <c r="AD29" s="116">
        <f t="shared" ref="AD29" si="489">AA29/R29</f>
        <v>0.49296612437914522</v>
      </c>
      <c r="AE29" s="116">
        <f t="shared" ref="AE29" si="490">AB29/S29</f>
        <v>0.60171700137973327</v>
      </c>
      <c r="AF29" s="116">
        <f>AC29/T29</f>
        <v>0.52336668880841675</v>
      </c>
      <c r="AG29" s="98">
        <f t="shared" ref="AG29:AR29" si="491">C29+R29</f>
        <v>982946</v>
      </c>
      <c r="AH29" s="98">
        <f t="shared" si="491"/>
        <v>772059</v>
      </c>
      <c r="AI29" s="98">
        <f t="shared" si="491"/>
        <v>1755005</v>
      </c>
      <c r="AJ29" s="98">
        <f t="shared" si="491"/>
        <v>814226</v>
      </c>
      <c r="AK29" s="98">
        <f t="shared" si="491"/>
        <v>692253</v>
      </c>
      <c r="AL29" s="98">
        <f t="shared" si="491"/>
        <v>1506479</v>
      </c>
      <c r="AM29" s="98">
        <f t="shared" si="491"/>
        <v>20174</v>
      </c>
      <c r="AN29" s="98">
        <f t="shared" si="491"/>
        <v>10381</v>
      </c>
      <c r="AO29" s="98">
        <f t="shared" si="491"/>
        <v>30555</v>
      </c>
      <c r="AP29" s="98">
        <f t="shared" si="491"/>
        <v>834400</v>
      </c>
      <c r="AQ29" s="98">
        <f t="shared" si="491"/>
        <v>702634</v>
      </c>
      <c r="AR29" s="98">
        <f t="shared" si="491"/>
        <v>1537034</v>
      </c>
      <c r="AS29" s="116">
        <f>AP29/AG29</f>
        <v>0.84887674399204027</v>
      </c>
      <c r="AT29" s="116">
        <f>AQ29/AH29</f>
        <v>0.91007811579166875</v>
      </c>
      <c r="AU29" s="116">
        <f>AR29/AI29</f>
        <v>0.87580035384514576</v>
      </c>
      <c r="AV29" s="99">
        <v>138887</v>
      </c>
      <c r="AW29" s="99">
        <v>112343</v>
      </c>
      <c r="AX29" s="99">
        <f>+AV29+AW29</f>
        <v>251230</v>
      </c>
      <c r="AY29" s="99">
        <v>108819</v>
      </c>
      <c r="AZ29" s="99">
        <v>95959</v>
      </c>
      <c r="BA29" s="99">
        <f>+AY29+AZ29</f>
        <v>204778</v>
      </c>
      <c r="BB29" s="99">
        <v>3795</v>
      </c>
      <c r="BC29" s="99">
        <v>2302</v>
      </c>
      <c r="BD29" s="99">
        <f>+BB29+BC29</f>
        <v>6097</v>
      </c>
      <c r="BE29" s="99">
        <f>+AY29+BB29</f>
        <v>112614</v>
      </c>
      <c r="BF29" s="99">
        <f>+AZ29+BC29</f>
        <v>98261</v>
      </c>
      <c r="BG29" s="99">
        <f>+BA29+BD29</f>
        <v>210875</v>
      </c>
      <c r="BH29" s="116">
        <f>BE29/AV29</f>
        <v>0.81083182731285142</v>
      </c>
      <c r="BI29" s="116">
        <f>BF29/AW29</f>
        <v>0.87465173620074232</v>
      </c>
      <c r="BJ29" s="116">
        <f>BG29/AX29</f>
        <v>0.83937029813318476</v>
      </c>
      <c r="BK29" s="98">
        <v>4522</v>
      </c>
      <c r="BL29" s="98">
        <v>1983</v>
      </c>
      <c r="BM29" s="98">
        <f>BK29+BL29</f>
        <v>6505</v>
      </c>
      <c r="BN29" s="99">
        <v>1625</v>
      </c>
      <c r="BO29" s="99">
        <v>918</v>
      </c>
      <c r="BP29" s="99">
        <f>BN29+BO29</f>
        <v>2543</v>
      </c>
      <c r="BQ29" s="99">
        <v>267</v>
      </c>
      <c r="BR29" s="99">
        <v>108</v>
      </c>
      <c r="BS29" s="99">
        <f>BQ29+BR29</f>
        <v>375</v>
      </c>
      <c r="BT29" s="99">
        <f>+BN29+BQ29</f>
        <v>1892</v>
      </c>
      <c r="BU29" s="99">
        <f>+BO29+BR29</f>
        <v>1026</v>
      </c>
      <c r="BV29" s="99">
        <f>+BP29+BS29</f>
        <v>2918</v>
      </c>
      <c r="BW29" s="116">
        <f>BT29/BK29</f>
        <v>0.41839893852277754</v>
      </c>
      <c r="BX29" s="116">
        <f>BU29/BL29</f>
        <v>0.51739788199697423</v>
      </c>
      <c r="BY29" s="116">
        <f>BV29/BM29</f>
        <v>0.44857801691006916</v>
      </c>
      <c r="BZ29" s="98">
        <f t="shared" ref="BZ29:CK29" si="492">AV29+BK29</f>
        <v>143409</v>
      </c>
      <c r="CA29" s="98">
        <f t="shared" si="492"/>
        <v>114326</v>
      </c>
      <c r="CB29" s="98">
        <f t="shared" si="492"/>
        <v>257735</v>
      </c>
      <c r="CC29" s="98">
        <f t="shared" si="492"/>
        <v>110444</v>
      </c>
      <c r="CD29" s="98">
        <f t="shared" si="492"/>
        <v>96877</v>
      </c>
      <c r="CE29" s="98">
        <f t="shared" si="492"/>
        <v>207321</v>
      </c>
      <c r="CF29" s="98">
        <f t="shared" si="492"/>
        <v>4062</v>
      </c>
      <c r="CG29" s="98">
        <f t="shared" si="492"/>
        <v>2410</v>
      </c>
      <c r="CH29" s="98">
        <f t="shared" si="492"/>
        <v>6472</v>
      </c>
      <c r="CI29" s="98">
        <f t="shared" si="492"/>
        <v>114506</v>
      </c>
      <c r="CJ29" s="98">
        <f t="shared" si="492"/>
        <v>99287</v>
      </c>
      <c r="CK29" s="98">
        <f t="shared" si="492"/>
        <v>213793</v>
      </c>
      <c r="CL29" s="116">
        <f>CI29/BZ29</f>
        <v>0.79845755845170108</v>
      </c>
      <c r="CM29" s="116">
        <f>CJ29/CA29</f>
        <v>0.86845511957035149</v>
      </c>
      <c r="CN29" s="116">
        <f>CK29/CB29</f>
        <v>0.82950705181678852</v>
      </c>
      <c r="CO29" s="99">
        <v>83241</v>
      </c>
      <c r="CP29" s="99">
        <v>66302</v>
      </c>
      <c r="CQ29" s="99">
        <f>+CO29+CP29</f>
        <v>149543</v>
      </c>
      <c r="CR29" s="99">
        <v>63430</v>
      </c>
      <c r="CS29" s="99">
        <v>54168</v>
      </c>
      <c r="CT29" s="99">
        <f>+CR29+CS29</f>
        <v>117598</v>
      </c>
      <c r="CU29" s="99">
        <v>1083</v>
      </c>
      <c r="CV29" s="99">
        <v>1653</v>
      </c>
      <c r="CW29" s="99">
        <f>+CU29+CV29</f>
        <v>2736</v>
      </c>
      <c r="CX29" s="99">
        <f>+CR29+CU29</f>
        <v>64513</v>
      </c>
      <c r="CY29" s="99">
        <f>+CS29+CV29</f>
        <v>55821</v>
      </c>
      <c r="CZ29" s="99">
        <f>+CT29+CW29</f>
        <v>120334</v>
      </c>
      <c r="DA29" s="116">
        <f>CX29/CO29</f>
        <v>0.77501471630566665</v>
      </c>
      <c r="DB29" s="116">
        <f>CY29/CP29</f>
        <v>0.84192030406322582</v>
      </c>
      <c r="DC29" s="116">
        <f>CZ29/CQ29</f>
        <v>0.80467825307771013</v>
      </c>
      <c r="DD29" s="98">
        <v>1560</v>
      </c>
      <c r="DE29" s="98">
        <v>695</v>
      </c>
      <c r="DF29" s="98">
        <f>DD29+DE29</f>
        <v>2255</v>
      </c>
      <c r="DG29" s="99">
        <v>684</v>
      </c>
      <c r="DH29" s="99">
        <v>383</v>
      </c>
      <c r="DI29" s="99">
        <f>+DG29+DH29</f>
        <v>1067</v>
      </c>
      <c r="DJ29" s="99">
        <v>71</v>
      </c>
      <c r="DK29" s="99">
        <v>33</v>
      </c>
      <c r="DL29" s="99">
        <f>DJ29+DK29</f>
        <v>104</v>
      </c>
      <c r="DM29" s="99">
        <f>+DG29+DJ29</f>
        <v>755</v>
      </c>
      <c r="DN29" s="99">
        <f>+DH29+DK29</f>
        <v>416</v>
      </c>
      <c r="DO29" s="99">
        <f>+DI29+DL29</f>
        <v>1171</v>
      </c>
      <c r="DP29" s="116">
        <f>DM29/DD29</f>
        <v>0.48397435897435898</v>
      </c>
      <c r="DQ29" s="116">
        <f>DN29/DE29</f>
        <v>0.59856115107913666</v>
      </c>
      <c r="DR29" s="116">
        <f>DO29/DF29</f>
        <v>0.51929046563192904</v>
      </c>
      <c r="DS29" s="98">
        <f t="shared" ref="DS29:ED29" si="493">CO29+DD29</f>
        <v>84801</v>
      </c>
      <c r="DT29" s="98">
        <f t="shared" si="493"/>
        <v>66997</v>
      </c>
      <c r="DU29" s="98">
        <f t="shared" si="493"/>
        <v>151798</v>
      </c>
      <c r="DV29" s="98">
        <f t="shared" si="493"/>
        <v>64114</v>
      </c>
      <c r="DW29" s="98">
        <f t="shared" si="493"/>
        <v>54551</v>
      </c>
      <c r="DX29" s="98">
        <f t="shared" si="493"/>
        <v>118665</v>
      </c>
      <c r="DY29" s="98">
        <f t="shared" si="493"/>
        <v>1154</v>
      </c>
      <c r="DZ29" s="98">
        <f t="shared" si="493"/>
        <v>1686</v>
      </c>
      <c r="EA29" s="98">
        <f t="shared" si="493"/>
        <v>2840</v>
      </c>
      <c r="EB29" s="98">
        <f t="shared" si="493"/>
        <v>65268</v>
      </c>
      <c r="EC29" s="98">
        <f t="shared" si="493"/>
        <v>56237</v>
      </c>
      <c r="ED29" s="98">
        <f t="shared" si="493"/>
        <v>121505</v>
      </c>
      <c r="EE29" s="116">
        <f>EB29/DS29</f>
        <v>0.76966073513284039</v>
      </c>
      <c r="EF29" s="116">
        <f>EC29/DT29</f>
        <v>0.8393957938415153</v>
      </c>
      <c r="EG29" s="116">
        <f>ED29/DU29</f>
        <v>0.80043874095837886</v>
      </c>
      <c r="EH29" s="98">
        <f>+AP29</f>
        <v>834400</v>
      </c>
      <c r="EI29" s="98">
        <f>+AQ29</f>
        <v>702634</v>
      </c>
      <c r="EJ29" s="98">
        <f>+AR29</f>
        <v>1537034</v>
      </c>
      <c r="EK29" s="98">
        <v>445593</v>
      </c>
      <c r="EL29" s="98">
        <v>452596</v>
      </c>
      <c r="EM29" s="98">
        <f>EK29+EL29</f>
        <v>898189</v>
      </c>
      <c r="EN29" s="100">
        <f>+EK29*100/EH29</f>
        <v>53.402804410354747</v>
      </c>
      <c r="EO29" s="100">
        <f>+EL29*100/EI29</f>
        <v>64.414190033502507</v>
      </c>
      <c r="EP29" s="100">
        <f>+EM29*100/EJ29</f>
        <v>58.436508235992179</v>
      </c>
      <c r="EQ29" s="98">
        <f>+CI29</f>
        <v>114506</v>
      </c>
      <c r="ER29" s="98">
        <f>+CJ29</f>
        <v>99287</v>
      </c>
      <c r="ES29" s="98">
        <f>+CK29</f>
        <v>213793</v>
      </c>
      <c r="ET29" s="98">
        <v>50994</v>
      </c>
      <c r="EU29" s="98">
        <v>55163</v>
      </c>
      <c r="EV29" s="98">
        <f>ET29+EU29</f>
        <v>106157</v>
      </c>
      <c r="EW29" s="100">
        <f>+ET29*100/EQ29</f>
        <v>44.53391088676576</v>
      </c>
      <c r="EX29" s="100">
        <f>+EU29*100/ER29</f>
        <v>55.559136644273671</v>
      </c>
      <c r="EY29" s="100">
        <f>+EV29*100/ES29</f>
        <v>49.654104671340967</v>
      </c>
      <c r="EZ29" s="98">
        <f>+EB29</f>
        <v>65268</v>
      </c>
      <c r="FA29" s="98">
        <f>+EC29</f>
        <v>56237</v>
      </c>
      <c r="FB29" s="98">
        <f>+ED29</f>
        <v>121505</v>
      </c>
      <c r="FC29" s="98">
        <v>27132</v>
      </c>
      <c r="FD29" s="98">
        <v>26310</v>
      </c>
      <c r="FE29" s="98">
        <f>FC29+FD29</f>
        <v>53442</v>
      </c>
      <c r="FF29" s="100">
        <f>+FC29*100/EZ29</f>
        <v>41.570141570141573</v>
      </c>
      <c r="FG29" s="100">
        <f>+FD29*100/FA29</f>
        <v>46.784145669221331</v>
      </c>
      <c r="FH29" s="100">
        <f>+FE29*100/FB29</f>
        <v>43.983375169746104</v>
      </c>
    </row>
    <row r="30" spans="1:164" ht="27" customHeight="1">
      <c r="A30" s="94">
        <v>21</v>
      </c>
      <c r="B30" s="118" t="s">
        <v>155</v>
      </c>
      <c r="C30" s="96">
        <v>429145</v>
      </c>
      <c r="D30" s="96">
        <v>365929</v>
      </c>
      <c r="E30" s="96">
        <f t="shared" si="182"/>
        <v>795074</v>
      </c>
      <c r="F30" s="96">
        <v>207979</v>
      </c>
      <c r="G30" s="96">
        <v>188015</v>
      </c>
      <c r="H30" s="96">
        <f t="shared" si="183"/>
        <v>395994</v>
      </c>
      <c r="I30" s="96">
        <v>62637</v>
      </c>
      <c r="J30" s="96">
        <v>61994</v>
      </c>
      <c r="K30" s="96">
        <f t="shared" si="443"/>
        <v>124631</v>
      </c>
      <c r="L30" s="97">
        <f t="shared" si="460"/>
        <v>270616</v>
      </c>
      <c r="M30" s="98">
        <f t="shared" si="461"/>
        <v>250009</v>
      </c>
      <c r="N30" s="98">
        <f t="shared" si="462"/>
        <v>520625</v>
      </c>
      <c r="O30" s="116">
        <f t="shared" si="187"/>
        <v>0.63059338918081298</v>
      </c>
      <c r="P30" s="116">
        <f t="shared" si="188"/>
        <v>0.68321723613050622</v>
      </c>
      <c r="Q30" s="116">
        <f t="shared" si="189"/>
        <v>0.65481326266485884</v>
      </c>
      <c r="R30" s="98">
        <v>184192</v>
      </c>
      <c r="S30" s="98">
        <v>130125</v>
      </c>
      <c r="T30" s="98">
        <f t="shared" si="478"/>
        <v>314317</v>
      </c>
      <c r="U30" s="98">
        <v>19827</v>
      </c>
      <c r="V30" s="98">
        <v>13154</v>
      </c>
      <c r="W30" s="98">
        <f t="shared" si="258"/>
        <v>32981</v>
      </c>
      <c r="X30" s="98">
        <v>19999</v>
      </c>
      <c r="Y30" s="98">
        <v>17113</v>
      </c>
      <c r="Z30" s="98">
        <f t="shared" si="483"/>
        <v>37112</v>
      </c>
      <c r="AA30" s="98">
        <f t="shared" si="259"/>
        <v>39826</v>
      </c>
      <c r="AB30" s="98">
        <f t="shared" si="260"/>
        <v>30267</v>
      </c>
      <c r="AC30" s="98">
        <f t="shared" si="261"/>
        <v>70093</v>
      </c>
      <c r="AD30" s="116">
        <f t="shared" si="479"/>
        <v>0.21622003127171646</v>
      </c>
      <c r="AE30" s="116">
        <f t="shared" si="480"/>
        <v>0.23259942363112393</v>
      </c>
      <c r="AF30" s="116">
        <f t="shared" si="481"/>
        <v>0.22300098308395663</v>
      </c>
      <c r="AG30" s="98">
        <f t="shared" si="190"/>
        <v>613337</v>
      </c>
      <c r="AH30" s="98">
        <f t="shared" si="191"/>
        <v>496054</v>
      </c>
      <c r="AI30" s="98">
        <f t="shared" si="191"/>
        <v>1109391</v>
      </c>
      <c r="AJ30" s="98">
        <f t="shared" si="193"/>
        <v>227806</v>
      </c>
      <c r="AK30" s="98">
        <f t="shared" si="194"/>
        <v>201169</v>
      </c>
      <c r="AL30" s="98">
        <f t="shared" si="194"/>
        <v>428975</v>
      </c>
      <c r="AM30" s="98">
        <f t="shared" si="447"/>
        <v>82636</v>
      </c>
      <c r="AN30" s="98">
        <f t="shared" si="265"/>
        <v>79107</v>
      </c>
      <c r="AO30" s="98">
        <f t="shared" si="265"/>
        <v>161743</v>
      </c>
      <c r="AP30" s="98">
        <f t="shared" si="195"/>
        <v>310442</v>
      </c>
      <c r="AQ30" s="98">
        <f t="shared" si="196"/>
        <v>280276</v>
      </c>
      <c r="AR30" s="98">
        <f t="shared" si="196"/>
        <v>590718</v>
      </c>
      <c r="AS30" s="116">
        <f t="shared" si="197"/>
        <v>0.50615240887146873</v>
      </c>
      <c r="AT30" s="116">
        <f t="shared" si="198"/>
        <v>0.56501106734347473</v>
      </c>
      <c r="AU30" s="116">
        <f t="shared" si="199"/>
        <v>0.53247051760830943</v>
      </c>
      <c r="AV30" s="99">
        <v>77057</v>
      </c>
      <c r="AW30" s="99">
        <v>58109</v>
      </c>
      <c r="AX30" s="99">
        <f t="shared" si="200"/>
        <v>135166</v>
      </c>
      <c r="AY30" s="99">
        <v>33398</v>
      </c>
      <c r="AZ30" s="99">
        <v>26185</v>
      </c>
      <c r="BA30" s="99">
        <f t="shared" si="201"/>
        <v>59583</v>
      </c>
      <c r="BB30" s="99">
        <v>11212</v>
      </c>
      <c r="BC30" s="99">
        <v>10359</v>
      </c>
      <c r="BD30" s="99">
        <f t="shared" si="448"/>
        <v>21571</v>
      </c>
      <c r="BE30" s="99">
        <f t="shared" si="202"/>
        <v>44610</v>
      </c>
      <c r="BF30" s="99">
        <f t="shared" si="203"/>
        <v>36544</v>
      </c>
      <c r="BG30" s="99">
        <f t="shared" si="203"/>
        <v>81154</v>
      </c>
      <c r="BH30" s="116">
        <f t="shared" si="205"/>
        <v>0.57892209662976757</v>
      </c>
      <c r="BI30" s="116">
        <f t="shared" si="206"/>
        <v>0.62888709150045607</v>
      </c>
      <c r="BJ30" s="116">
        <f t="shared" si="207"/>
        <v>0.60040246807629138</v>
      </c>
      <c r="BK30" s="95">
        <v>37649</v>
      </c>
      <c r="BL30" s="95">
        <v>26543</v>
      </c>
      <c r="BM30" s="98">
        <f t="shared" si="266"/>
        <v>64192</v>
      </c>
      <c r="BN30" s="99">
        <v>3903</v>
      </c>
      <c r="BO30" s="99">
        <v>2486</v>
      </c>
      <c r="BP30" s="99">
        <f t="shared" si="267"/>
        <v>6389</v>
      </c>
      <c r="BQ30" s="99">
        <v>3968</v>
      </c>
      <c r="BR30" s="99">
        <v>3369</v>
      </c>
      <c r="BS30" s="99">
        <f t="shared" si="484"/>
        <v>7337</v>
      </c>
      <c r="BT30" s="99">
        <f t="shared" si="485"/>
        <v>7871</v>
      </c>
      <c r="BU30" s="99">
        <f t="shared" si="486"/>
        <v>5855</v>
      </c>
      <c r="BV30" s="99">
        <f t="shared" si="487"/>
        <v>13726</v>
      </c>
      <c r="BW30" s="116">
        <f t="shared" si="270"/>
        <v>0.20906265770671201</v>
      </c>
      <c r="BX30" s="116">
        <f t="shared" si="271"/>
        <v>0.22058546509437515</v>
      </c>
      <c r="BY30" s="116">
        <f t="shared" si="272"/>
        <v>0.21382726819541376</v>
      </c>
      <c r="BZ30" s="98">
        <f t="shared" si="463"/>
        <v>114706</v>
      </c>
      <c r="CA30" s="98">
        <f t="shared" si="464"/>
        <v>84652</v>
      </c>
      <c r="CB30" s="98">
        <f t="shared" si="465"/>
        <v>199358</v>
      </c>
      <c r="CC30" s="98">
        <f t="shared" si="211"/>
        <v>37301</v>
      </c>
      <c r="CD30" s="98">
        <f t="shared" si="212"/>
        <v>28671</v>
      </c>
      <c r="CE30" s="98">
        <f t="shared" si="213"/>
        <v>65972</v>
      </c>
      <c r="CF30" s="98">
        <f t="shared" si="449"/>
        <v>15180</v>
      </c>
      <c r="CG30" s="98">
        <f t="shared" si="450"/>
        <v>13728</v>
      </c>
      <c r="CH30" s="98">
        <f t="shared" si="451"/>
        <v>28908</v>
      </c>
      <c r="CI30" s="98">
        <f t="shared" si="466"/>
        <v>52481</v>
      </c>
      <c r="CJ30" s="98">
        <f t="shared" si="467"/>
        <v>42399</v>
      </c>
      <c r="CK30" s="98">
        <f t="shared" si="468"/>
        <v>94880</v>
      </c>
      <c r="CL30" s="116">
        <f t="shared" si="454"/>
        <v>0.45752619740902828</v>
      </c>
      <c r="CM30" s="116">
        <f>CJ30/CA30</f>
        <v>0.50086235410858571</v>
      </c>
      <c r="CN30" s="116">
        <f t="shared" si="219"/>
        <v>0.47592772800690214</v>
      </c>
      <c r="CO30" s="99">
        <v>56150</v>
      </c>
      <c r="CP30" s="99">
        <v>58366</v>
      </c>
      <c r="CQ30" s="99">
        <f t="shared" si="220"/>
        <v>114516</v>
      </c>
      <c r="CR30" s="99">
        <v>24925</v>
      </c>
      <c r="CS30" s="99">
        <v>23675</v>
      </c>
      <c r="CT30" s="99">
        <f t="shared" si="221"/>
        <v>48600</v>
      </c>
      <c r="CU30" s="99">
        <v>8174</v>
      </c>
      <c r="CV30" s="98">
        <v>9909</v>
      </c>
      <c r="CW30" s="99">
        <f t="shared" si="455"/>
        <v>18083</v>
      </c>
      <c r="CX30" s="99">
        <f t="shared" si="222"/>
        <v>33099</v>
      </c>
      <c r="CY30" s="99">
        <f t="shared" si="223"/>
        <v>33584</v>
      </c>
      <c r="CZ30" s="99">
        <f t="shared" si="223"/>
        <v>66683</v>
      </c>
      <c r="DA30" s="116">
        <f t="shared" si="273"/>
        <v>0.58947462154942121</v>
      </c>
      <c r="DB30" s="116">
        <f t="shared" si="225"/>
        <v>0.57540348833224819</v>
      </c>
      <c r="DC30" s="116">
        <f t="shared" si="226"/>
        <v>0.58230290963708131</v>
      </c>
      <c r="DD30" s="95">
        <v>41680</v>
      </c>
      <c r="DE30" s="95">
        <v>33256</v>
      </c>
      <c r="DF30" s="98">
        <f t="shared" si="274"/>
        <v>74936</v>
      </c>
      <c r="DG30" s="99">
        <v>3927</v>
      </c>
      <c r="DH30" s="99">
        <v>2839</v>
      </c>
      <c r="DI30" s="99">
        <f t="shared" si="275"/>
        <v>6766</v>
      </c>
      <c r="DJ30" s="99">
        <v>3975</v>
      </c>
      <c r="DK30" s="99">
        <v>3548</v>
      </c>
      <c r="DL30" s="99">
        <f t="shared" si="488"/>
        <v>7523</v>
      </c>
      <c r="DM30" s="99">
        <f t="shared" si="276"/>
        <v>7902</v>
      </c>
      <c r="DN30" s="99">
        <f t="shared" si="277"/>
        <v>6387</v>
      </c>
      <c r="DO30" s="99">
        <f t="shared" si="277"/>
        <v>14289</v>
      </c>
      <c r="DP30" s="116">
        <f t="shared" si="279"/>
        <v>0.18958733205374281</v>
      </c>
      <c r="DQ30" s="116">
        <f t="shared" si="280"/>
        <v>0.19205556891989414</v>
      </c>
      <c r="DR30" s="116">
        <f t="shared" si="281"/>
        <v>0.19068271591758301</v>
      </c>
      <c r="DS30" s="98">
        <f t="shared" ref="DS30" si="494">CO30+DD30</f>
        <v>97830</v>
      </c>
      <c r="DT30" s="98">
        <f t="shared" ref="DT30" si="495">CP30+DE30</f>
        <v>91622</v>
      </c>
      <c r="DU30" s="98">
        <f t="shared" ref="DU30" si="496">CQ30+DF30</f>
        <v>189452</v>
      </c>
      <c r="DV30" s="98">
        <f t="shared" ref="DV30" si="497">CR30+DG30</f>
        <v>28852</v>
      </c>
      <c r="DW30" s="98">
        <f t="shared" ref="DW30" si="498">CS30+DH30</f>
        <v>26514</v>
      </c>
      <c r="DX30" s="98">
        <f t="shared" ref="DX30" si="499">CT30+DI30</f>
        <v>55366</v>
      </c>
      <c r="DY30" s="98">
        <f t="shared" ref="DY30" si="500">CU30+DJ30</f>
        <v>12149</v>
      </c>
      <c r="DZ30" s="98">
        <f t="shared" ref="DZ30" si="501">CV30+DK30</f>
        <v>13457</v>
      </c>
      <c r="EA30" s="98">
        <f t="shared" ref="EA30" si="502">CW30+DL30</f>
        <v>25606</v>
      </c>
      <c r="EB30" s="98">
        <f t="shared" ref="EB30" si="503">CX30+DM30</f>
        <v>41001</v>
      </c>
      <c r="EC30" s="98">
        <f t="shared" ref="EC30" si="504">CY30+DN30</f>
        <v>39971</v>
      </c>
      <c r="ED30" s="98">
        <f t="shared" ref="ED30" si="505">CZ30+DO30</f>
        <v>80972</v>
      </c>
      <c r="EE30" s="116">
        <f t="shared" si="459"/>
        <v>0.41910456915056732</v>
      </c>
      <c r="EF30" s="116">
        <f t="shared" si="236"/>
        <v>0.43625985025430575</v>
      </c>
      <c r="EG30" s="116">
        <f t="shared" si="237"/>
        <v>0.42740113590777612</v>
      </c>
      <c r="EH30" s="98">
        <f t="shared" si="238"/>
        <v>310442</v>
      </c>
      <c r="EI30" s="98">
        <f t="shared" si="239"/>
        <v>280276</v>
      </c>
      <c r="EJ30" s="98">
        <f t="shared" si="239"/>
        <v>590718</v>
      </c>
      <c r="EK30" s="101">
        <v>107790</v>
      </c>
      <c r="EL30" s="101">
        <v>104394</v>
      </c>
      <c r="EM30" s="98">
        <f t="shared" si="241"/>
        <v>212184</v>
      </c>
      <c r="EN30" s="100">
        <f t="shared" si="470"/>
        <v>34.721461657894231</v>
      </c>
      <c r="EO30" s="100">
        <f t="shared" si="471"/>
        <v>37.246856669854004</v>
      </c>
      <c r="EP30" s="100">
        <f t="shared" si="472"/>
        <v>35.919677409525356</v>
      </c>
      <c r="EQ30" s="98">
        <f t="shared" si="245"/>
        <v>52481</v>
      </c>
      <c r="ER30" s="98">
        <f t="shared" si="246"/>
        <v>42399</v>
      </c>
      <c r="ES30" s="98">
        <f t="shared" si="246"/>
        <v>94880</v>
      </c>
      <c r="ET30" s="101">
        <v>15997</v>
      </c>
      <c r="EU30" s="101">
        <v>13136</v>
      </c>
      <c r="EV30" s="98">
        <f t="shared" si="248"/>
        <v>29133</v>
      </c>
      <c r="EW30" s="100">
        <f t="shared" si="473"/>
        <v>30.481507593224215</v>
      </c>
      <c r="EX30" s="100">
        <f t="shared" si="474"/>
        <v>30.981862779782542</v>
      </c>
      <c r="EY30" s="100">
        <f t="shared" si="474"/>
        <v>30.705101180438447</v>
      </c>
      <c r="EZ30" s="98">
        <f t="shared" si="252"/>
        <v>41001</v>
      </c>
      <c r="FA30" s="98">
        <f t="shared" si="253"/>
        <v>39971</v>
      </c>
      <c r="FB30" s="98">
        <f t="shared" si="253"/>
        <v>80972</v>
      </c>
      <c r="FC30" s="101">
        <v>9372</v>
      </c>
      <c r="FD30" s="101">
        <v>8340</v>
      </c>
      <c r="FE30" s="98">
        <f t="shared" si="255"/>
        <v>17712</v>
      </c>
      <c r="FF30" s="100">
        <f t="shared" si="475"/>
        <v>22.857979073681129</v>
      </c>
      <c r="FG30" s="100">
        <f t="shared" si="476"/>
        <v>20.865127217232494</v>
      </c>
      <c r="FH30" s="100">
        <f t="shared" si="477"/>
        <v>21.87422812824186</v>
      </c>
    </row>
    <row r="31" spans="1:164" ht="27" customHeight="1">
      <c r="A31" s="94">
        <v>22</v>
      </c>
      <c r="B31" s="118" t="s">
        <v>141</v>
      </c>
      <c r="C31" s="96">
        <v>17374</v>
      </c>
      <c r="D31" s="96">
        <v>17774</v>
      </c>
      <c r="E31" s="96">
        <f>C31+D31</f>
        <v>35148</v>
      </c>
      <c r="F31" s="96">
        <v>11931</v>
      </c>
      <c r="G31" s="96">
        <v>11313</v>
      </c>
      <c r="H31" s="96">
        <f>F31+G31</f>
        <v>23244</v>
      </c>
      <c r="I31" s="96">
        <v>2057</v>
      </c>
      <c r="J31" s="96">
        <v>2319</v>
      </c>
      <c r="K31" s="96">
        <f>I31+J31</f>
        <v>4376</v>
      </c>
      <c r="L31" s="97">
        <f>F31+I31</f>
        <v>13988</v>
      </c>
      <c r="M31" s="98">
        <f>G31+J31</f>
        <v>13632</v>
      </c>
      <c r="N31" s="98">
        <f>H31+K31</f>
        <v>27620</v>
      </c>
      <c r="O31" s="116">
        <f>L31/C31</f>
        <v>0.80511108553010247</v>
      </c>
      <c r="P31" s="116">
        <f>M31/D31</f>
        <v>0.76696297963317206</v>
      </c>
      <c r="Q31" s="116">
        <f>N31/E31</f>
        <v>0.78581996130647547</v>
      </c>
      <c r="R31" s="98">
        <v>25</v>
      </c>
      <c r="S31" s="98">
        <v>13</v>
      </c>
      <c r="T31" s="98">
        <f>R31+S31</f>
        <v>38</v>
      </c>
      <c r="U31" s="98">
        <v>7</v>
      </c>
      <c r="V31" s="98">
        <v>4</v>
      </c>
      <c r="W31" s="98">
        <f>U31+V31</f>
        <v>11</v>
      </c>
      <c r="X31" s="98">
        <v>1</v>
      </c>
      <c r="Y31" s="98">
        <v>0</v>
      </c>
      <c r="Z31" s="98">
        <f>X31+Y31</f>
        <v>1</v>
      </c>
      <c r="AA31" s="98">
        <f>U31+X31</f>
        <v>8</v>
      </c>
      <c r="AB31" s="98">
        <f>V31+Y31</f>
        <v>4</v>
      </c>
      <c r="AC31" s="98">
        <f>W31+Z31</f>
        <v>12</v>
      </c>
      <c r="AD31" s="116">
        <f t="shared" ref="AD31" si="506">AA31/R31</f>
        <v>0.32</v>
      </c>
      <c r="AE31" s="116">
        <f t="shared" ref="AE31" si="507">AB31/S31</f>
        <v>0.30769230769230771</v>
      </c>
      <c r="AF31" s="116">
        <f>AC31/T31</f>
        <v>0.31578947368421051</v>
      </c>
      <c r="AG31" s="98">
        <f t="shared" ref="AG31:AR31" si="508">C31+R31</f>
        <v>17399</v>
      </c>
      <c r="AH31" s="98">
        <f t="shared" si="508"/>
        <v>17787</v>
      </c>
      <c r="AI31" s="98">
        <f t="shared" si="508"/>
        <v>35186</v>
      </c>
      <c r="AJ31" s="98">
        <f t="shared" si="508"/>
        <v>11938</v>
      </c>
      <c r="AK31" s="98">
        <f t="shared" si="508"/>
        <v>11317</v>
      </c>
      <c r="AL31" s="98">
        <f t="shared" si="508"/>
        <v>23255</v>
      </c>
      <c r="AM31" s="98">
        <f t="shared" si="508"/>
        <v>2058</v>
      </c>
      <c r="AN31" s="98">
        <f t="shared" si="508"/>
        <v>2319</v>
      </c>
      <c r="AO31" s="98">
        <f t="shared" si="508"/>
        <v>4377</v>
      </c>
      <c r="AP31" s="98">
        <f t="shared" si="508"/>
        <v>13996</v>
      </c>
      <c r="AQ31" s="98">
        <f t="shared" si="508"/>
        <v>13636</v>
      </c>
      <c r="AR31" s="98">
        <f t="shared" si="508"/>
        <v>27632</v>
      </c>
      <c r="AS31" s="116">
        <f>AP31/AG31</f>
        <v>0.80441404678429795</v>
      </c>
      <c r="AT31" s="116">
        <f>AQ31/AH31</f>
        <v>0.76662731208185753</v>
      </c>
      <c r="AU31" s="116">
        <f>AR31/AI31</f>
        <v>0.78531234013528106</v>
      </c>
      <c r="AV31" s="99">
        <v>625</v>
      </c>
      <c r="AW31" s="99">
        <v>729</v>
      </c>
      <c r="AX31" s="99">
        <f>+AV31+AW31</f>
        <v>1354</v>
      </c>
      <c r="AY31" s="99">
        <v>449</v>
      </c>
      <c r="AZ31" s="99">
        <v>513</v>
      </c>
      <c r="BA31" s="99">
        <f>+AY31+AZ31</f>
        <v>962</v>
      </c>
      <c r="BB31" s="99">
        <v>67</v>
      </c>
      <c r="BC31" s="99">
        <v>67</v>
      </c>
      <c r="BD31" s="99">
        <f>+BB31+BC31</f>
        <v>134</v>
      </c>
      <c r="BE31" s="99">
        <f>+AY31+BB31</f>
        <v>516</v>
      </c>
      <c r="BF31" s="99">
        <f>+AZ31+BC31</f>
        <v>580</v>
      </c>
      <c r="BG31" s="99">
        <f>+BA31+BD31</f>
        <v>1096</v>
      </c>
      <c r="BH31" s="116">
        <f>BE31/AV31</f>
        <v>0.8256</v>
      </c>
      <c r="BI31" s="116">
        <f>BF31/AW31</f>
        <v>0.79561042524005487</v>
      </c>
      <c r="BJ31" s="116">
        <f>BG31/AX31</f>
        <v>0.80945347119645494</v>
      </c>
      <c r="BK31" s="98">
        <v>1</v>
      </c>
      <c r="BL31" s="98">
        <v>0</v>
      </c>
      <c r="BM31" s="98">
        <f>BK31+BL31</f>
        <v>1</v>
      </c>
      <c r="BN31" s="99">
        <v>0</v>
      </c>
      <c r="BO31" s="99">
        <v>0</v>
      </c>
      <c r="BP31" s="99">
        <f>BN31+BO31</f>
        <v>0</v>
      </c>
      <c r="BQ31" s="99">
        <v>0</v>
      </c>
      <c r="BR31" s="99">
        <v>0</v>
      </c>
      <c r="BS31" s="99">
        <f>BQ31+BR31</f>
        <v>0</v>
      </c>
      <c r="BT31" s="99">
        <f>+BN31+BQ31</f>
        <v>0</v>
      </c>
      <c r="BU31" s="99">
        <f>+BO31+BR31</f>
        <v>0</v>
      </c>
      <c r="BV31" s="99">
        <f>+BP31+BS31</f>
        <v>0</v>
      </c>
      <c r="BW31" s="116">
        <f>BT31/BK31</f>
        <v>0</v>
      </c>
      <c r="BX31" s="116"/>
      <c r="BY31" s="116">
        <f>BV31/BM31</f>
        <v>0</v>
      </c>
      <c r="BZ31" s="98">
        <f t="shared" ref="BZ31:CH31" si="509">AV31+BK31</f>
        <v>626</v>
      </c>
      <c r="CA31" s="98">
        <f t="shared" si="509"/>
        <v>729</v>
      </c>
      <c r="CB31" s="98">
        <f t="shared" si="509"/>
        <v>1355</v>
      </c>
      <c r="CC31" s="98">
        <f t="shared" si="509"/>
        <v>449</v>
      </c>
      <c r="CD31" s="98">
        <f t="shared" si="509"/>
        <v>513</v>
      </c>
      <c r="CE31" s="98">
        <f t="shared" si="509"/>
        <v>962</v>
      </c>
      <c r="CF31" s="98">
        <f t="shared" si="509"/>
        <v>67</v>
      </c>
      <c r="CG31" s="98">
        <f t="shared" si="509"/>
        <v>67</v>
      </c>
      <c r="CH31" s="98">
        <f t="shared" si="509"/>
        <v>134</v>
      </c>
      <c r="CI31" s="98">
        <f t="shared" ref="CI31" si="510">BE31+BT31</f>
        <v>516</v>
      </c>
      <c r="CJ31" s="98">
        <f t="shared" ref="CJ31" si="511">BF31+BU31</f>
        <v>580</v>
      </c>
      <c r="CK31" s="98">
        <f t="shared" ref="CK31" si="512">BG31+BV31</f>
        <v>1096</v>
      </c>
      <c r="CL31" s="116">
        <f>CI31/BZ31</f>
        <v>0.82428115015974446</v>
      </c>
      <c r="CM31" s="116">
        <f>CJ31/CA31</f>
        <v>0.79561042524005487</v>
      </c>
      <c r="CN31" s="116">
        <f>CK31/CB31</f>
        <v>0.80885608856088564</v>
      </c>
      <c r="CO31" s="99">
        <v>6771</v>
      </c>
      <c r="CP31" s="99">
        <v>7070</v>
      </c>
      <c r="CQ31" s="99">
        <f>+CO31+CP31</f>
        <v>13841</v>
      </c>
      <c r="CR31" s="99">
        <v>4549</v>
      </c>
      <c r="CS31" s="99">
        <v>4327</v>
      </c>
      <c r="CT31" s="99">
        <f>+CR31+CS31</f>
        <v>8876</v>
      </c>
      <c r="CU31" s="99">
        <v>922</v>
      </c>
      <c r="CV31" s="99">
        <v>1058</v>
      </c>
      <c r="CW31" s="99">
        <f>+CU31+CV31</f>
        <v>1980</v>
      </c>
      <c r="CX31" s="99">
        <f>+CR31+CU31</f>
        <v>5471</v>
      </c>
      <c r="CY31" s="99">
        <f>+CS31+CV31</f>
        <v>5385</v>
      </c>
      <c r="CZ31" s="99">
        <f>+CT31+CW31</f>
        <v>10856</v>
      </c>
      <c r="DA31" s="116">
        <f>CX31/CO31</f>
        <v>0.80800472603751294</v>
      </c>
      <c r="DB31" s="116">
        <f>CY31/CP31</f>
        <v>0.76166902404526171</v>
      </c>
      <c r="DC31" s="116">
        <f>CZ31/CQ31</f>
        <v>0.78433639187919946</v>
      </c>
      <c r="DD31" s="98">
        <v>5</v>
      </c>
      <c r="DE31" s="98">
        <v>3</v>
      </c>
      <c r="DF31" s="98">
        <f>DD31+DE31</f>
        <v>8</v>
      </c>
      <c r="DG31" s="99">
        <v>1</v>
      </c>
      <c r="DH31" s="99">
        <v>1</v>
      </c>
      <c r="DI31" s="99">
        <f>+DG31+DH31</f>
        <v>2</v>
      </c>
      <c r="DJ31" s="99">
        <v>0</v>
      </c>
      <c r="DK31" s="99">
        <v>0</v>
      </c>
      <c r="DL31" s="99">
        <f>DJ31+DK31</f>
        <v>0</v>
      </c>
      <c r="DM31" s="99">
        <f>+DG31+DJ31</f>
        <v>1</v>
      </c>
      <c r="DN31" s="99">
        <f>+DH31+DK31</f>
        <v>1</v>
      </c>
      <c r="DO31" s="99">
        <f>+DI31+DL31</f>
        <v>2</v>
      </c>
      <c r="DP31" s="116">
        <f>DM31/DD31</f>
        <v>0.2</v>
      </c>
      <c r="DQ31" s="116">
        <f>DN31/DE31</f>
        <v>0.33333333333333331</v>
      </c>
      <c r="DR31" s="116">
        <f>DO31/DF31</f>
        <v>0.25</v>
      </c>
      <c r="DS31" s="98">
        <f t="shared" ref="DS31:ED31" si="513">CO31+DD31</f>
        <v>6776</v>
      </c>
      <c r="DT31" s="98">
        <f t="shared" si="513"/>
        <v>7073</v>
      </c>
      <c r="DU31" s="98">
        <f t="shared" si="513"/>
        <v>13849</v>
      </c>
      <c r="DV31" s="98">
        <f t="shared" si="513"/>
        <v>4550</v>
      </c>
      <c r="DW31" s="98">
        <f t="shared" si="513"/>
        <v>4328</v>
      </c>
      <c r="DX31" s="98">
        <f t="shared" si="513"/>
        <v>8878</v>
      </c>
      <c r="DY31" s="98">
        <f t="shared" si="513"/>
        <v>922</v>
      </c>
      <c r="DZ31" s="98">
        <f t="shared" si="513"/>
        <v>1058</v>
      </c>
      <c r="EA31" s="98">
        <f t="shared" si="513"/>
        <v>1980</v>
      </c>
      <c r="EB31" s="98">
        <f t="shared" si="513"/>
        <v>5472</v>
      </c>
      <c r="EC31" s="98">
        <f t="shared" si="513"/>
        <v>5386</v>
      </c>
      <c r="ED31" s="98">
        <f t="shared" si="513"/>
        <v>10858</v>
      </c>
      <c r="EE31" s="116">
        <f>EB31/DS31</f>
        <v>0.80755608028335302</v>
      </c>
      <c r="EF31" s="116">
        <f>EC31/DT31</f>
        <v>0.76148734624628867</v>
      </c>
      <c r="EG31" s="116">
        <f>ED31/DU31</f>
        <v>0.78402772763376416</v>
      </c>
      <c r="EH31" s="98">
        <f>+AP31</f>
        <v>13996</v>
      </c>
      <c r="EI31" s="98">
        <f>+AQ31</f>
        <v>13636</v>
      </c>
      <c r="EJ31" s="98">
        <f>+AR31</f>
        <v>27632</v>
      </c>
      <c r="EK31" s="98">
        <v>486</v>
      </c>
      <c r="EL31" s="98">
        <v>473</v>
      </c>
      <c r="EM31" s="98">
        <f>EK31+EL31</f>
        <v>959</v>
      </c>
      <c r="EN31" s="100">
        <f>+EK31*100/EH31</f>
        <v>3.4724206916261791</v>
      </c>
      <c r="EO31" s="100">
        <f>+EL31*100/EI31</f>
        <v>3.4687591669111177</v>
      </c>
      <c r="EP31" s="100">
        <f>+EM31*100/EJ31</f>
        <v>3.4706137811233351</v>
      </c>
      <c r="EQ31" s="98">
        <f>+CI31</f>
        <v>516</v>
      </c>
      <c r="ER31" s="98">
        <f>+CJ31</f>
        <v>580</v>
      </c>
      <c r="ES31" s="98">
        <f>+CK31</f>
        <v>1096</v>
      </c>
      <c r="ET31" s="98">
        <v>20</v>
      </c>
      <c r="EU31" s="98">
        <v>38</v>
      </c>
      <c r="EV31" s="98">
        <f>ET31+EU31</f>
        <v>58</v>
      </c>
      <c r="EW31" s="100">
        <f>+ET31*100/EQ31</f>
        <v>3.8759689922480618</v>
      </c>
      <c r="EX31" s="100">
        <f>+EU31*100/ER31</f>
        <v>6.5517241379310347</v>
      </c>
      <c r="EY31" s="100">
        <f>+EV31*100/ES31</f>
        <v>5.2919708029197077</v>
      </c>
      <c r="EZ31" s="98">
        <f>+EB31</f>
        <v>5472</v>
      </c>
      <c r="FA31" s="98">
        <f>+EC31</f>
        <v>5386</v>
      </c>
      <c r="FB31" s="98">
        <f>+ED31</f>
        <v>10858</v>
      </c>
      <c r="FC31" s="98">
        <v>85</v>
      </c>
      <c r="FD31" s="98">
        <v>81</v>
      </c>
      <c r="FE31" s="98">
        <f>FC31+FD31</f>
        <v>166</v>
      </c>
      <c r="FF31" s="100">
        <f>+FC31*100/EZ31</f>
        <v>1.5533625730994152</v>
      </c>
      <c r="FG31" s="100">
        <f>+FD31*100/FA31</f>
        <v>1.5038989974006685</v>
      </c>
      <c r="FH31" s="100">
        <f>+FE31*100/FB31</f>
        <v>1.5288266715785597</v>
      </c>
    </row>
    <row r="32" spans="1:164" ht="27" customHeight="1">
      <c r="A32" s="94">
        <v>23</v>
      </c>
      <c r="B32" s="118" t="s">
        <v>158</v>
      </c>
      <c r="C32" s="96">
        <v>16119</v>
      </c>
      <c r="D32" s="96">
        <v>19116</v>
      </c>
      <c r="E32" s="96">
        <f t="shared" si="182"/>
        <v>35235</v>
      </c>
      <c r="F32" s="96">
        <v>11240</v>
      </c>
      <c r="G32" s="96">
        <v>13046</v>
      </c>
      <c r="H32" s="96">
        <f t="shared" si="183"/>
        <v>24286</v>
      </c>
      <c r="I32" s="104"/>
      <c r="J32" s="104"/>
      <c r="K32" s="104"/>
      <c r="L32" s="97">
        <f t="shared" si="460"/>
        <v>11240</v>
      </c>
      <c r="M32" s="98">
        <f t="shared" si="461"/>
        <v>13046</v>
      </c>
      <c r="N32" s="98">
        <f t="shared" si="462"/>
        <v>24286</v>
      </c>
      <c r="O32" s="116">
        <f t="shared" si="187"/>
        <v>0.69731372913952483</v>
      </c>
      <c r="P32" s="116">
        <f t="shared" si="188"/>
        <v>0.6824649508265328</v>
      </c>
      <c r="Q32" s="116">
        <f t="shared" si="189"/>
        <v>0.68925784021569458</v>
      </c>
      <c r="R32" s="98">
        <v>7536</v>
      </c>
      <c r="S32" s="98">
        <v>8202</v>
      </c>
      <c r="T32" s="98">
        <f t="shared" si="478"/>
        <v>15738</v>
      </c>
      <c r="U32" s="98">
        <v>1449</v>
      </c>
      <c r="V32" s="98">
        <v>1823</v>
      </c>
      <c r="W32" s="98">
        <f t="shared" si="258"/>
        <v>3272</v>
      </c>
      <c r="X32" s="103"/>
      <c r="Y32" s="103"/>
      <c r="Z32" s="103"/>
      <c r="AA32" s="98">
        <f t="shared" si="259"/>
        <v>1449</v>
      </c>
      <c r="AB32" s="98">
        <f t="shared" si="260"/>
        <v>1823</v>
      </c>
      <c r="AC32" s="98">
        <f t="shared" si="261"/>
        <v>3272</v>
      </c>
      <c r="AD32" s="116">
        <f t="shared" ref="AD32:AD34" si="514">AA32/R32</f>
        <v>0.19227707006369427</v>
      </c>
      <c r="AE32" s="116">
        <f t="shared" ref="AE32:AE34" si="515">AB32/S32</f>
        <v>0.22226286271641063</v>
      </c>
      <c r="AF32" s="116">
        <f t="shared" si="481"/>
        <v>0.20790443512517473</v>
      </c>
      <c r="AG32" s="98">
        <f t="shared" si="190"/>
        <v>23655</v>
      </c>
      <c r="AH32" s="98">
        <f t="shared" si="191"/>
        <v>27318</v>
      </c>
      <c r="AI32" s="98">
        <f t="shared" si="191"/>
        <v>50973</v>
      </c>
      <c r="AJ32" s="98">
        <f t="shared" si="193"/>
        <v>12689</v>
      </c>
      <c r="AK32" s="98">
        <f t="shared" si="194"/>
        <v>14869</v>
      </c>
      <c r="AL32" s="98">
        <f t="shared" si="194"/>
        <v>27558</v>
      </c>
      <c r="AM32" s="103"/>
      <c r="AN32" s="103"/>
      <c r="AO32" s="103"/>
      <c r="AP32" s="98">
        <f t="shared" si="195"/>
        <v>12689</v>
      </c>
      <c r="AQ32" s="98">
        <f t="shared" si="196"/>
        <v>14869</v>
      </c>
      <c r="AR32" s="98">
        <f t="shared" si="196"/>
        <v>27558</v>
      </c>
      <c r="AS32" s="116">
        <f t="shared" si="197"/>
        <v>0.53641936165715498</v>
      </c>
      <c r="AT32" s="116">
        <f t="shared" si="198"/>
        <v>0.54429314005417673</v>
      </c>
      <c r="AU32" s="116">
        <f>AR32/AI32</f>
        <v>0.5406391619092461</v>
      </c>
      <c r="AV32" s="99">
        <v>125</v>
      </c>
      <c r="AW32" s="99">
        <v>141</v>
      </c>
      <c r="AX32" s="99">
        <f t="shared" si="200"/>
        <v>266</v>
      </c>
      <c r="AY32" s="99">
        <v>76</v>
      </c>
      <c r="AZ32" s="99">
        <v>95</v>
      </c>
      <c r="BA32" s="99">
        <f t="shared" si="201"/>
        <v>171</v>
      </c>
      <c r="BB32" s="104"/>
      <c r="BC32" s="104"/>
      <c r="BD32" s="104"/>
      <c r="BE32" s="99">
        <f t="shared" si="202"/>
        <v>76</v>
      </c>
      <c r="BF32" s="99">
        <f t="shared" si="203"/>
        <v>95</v>
      </c>
      <c r="BG32" s="99">
        <f t="shared" si="203"/>
        <v>171</v>
      </c>
      <c r="BH32" s="116">
        <f t="shared" si="205"/>
        <v>0.60799999999999998</v>
      </c>
      <c r="BI32" s="116">
        <f t="shared" si="206"/>
        <v>0.67375886524822692</v>
      </c>
      <c r="BJ32" s="116">
        <f t="shared" si="207"/>
        <v>0.6428571428571429</v>
      </c>
      <c r="BK32" s="98">
        <v>15</v>
      </c>
      <c r="BL32" s="98">
        <v>16</v>
      </c>
      <c r="BM32" s="98">
        <f t="shared" si="266"/>
        <v>31</v>
      </c>
      <c r="BN32" s="99">
        <v>4</v>
      </c>
      <c r="BO32" s="99">
        <v>12</v>
      </c>
      <c r="BP32" s="99">
        <f t="shared" si="267"/>
        <v>16</v>
      </c>
      <c r="BQ32" s="104"/>
      <c r="BR32" s="104"/>
      <c r="BS32" s="104"/>
      <c r="BT32" s="99">
        <f t="shared" si="482"/>
        <v>4</v>
      </c>
      <c r="BU32" s="99">
        <f t="shared" si="268"/>
        <v>12</v>
      </c>
      <c r="BV32" s="99">
        <f t="shared" si="268"/>
        <v>16</v>
      </c>
      <c r="BW32" s="116">
        <f t="shared" si="270"/>
        <v>0.26666666666666666</v>
      </c>
      <c r="BX32" s="116">
        <f t="shared" si="271"/>
        <v>0.75</v>
      </c>
      <c r="BY32" s="116">
        <f t="shared" si="272"/>
        <v>0.5161290322580645</v>
      </c>
      <c r="BZ32" s="98">
        <f t="shared" si="463"/>
        <v>140</v>
      </c>
      <c r="CA32" s="98">
        <f t="shared" si="464"/>
        <v>157</v>
      </c>
      <c r="CB32" s="98">
        <f t="shared" si="465"/>
        <v>297</v>
      </c>
      <c r="CC32" s="98">
        <f t="shared" si="211"/>
        <v>80</v>
      </c>
      <c r="CD32" s="98">
        <f t="shared" si="212"/>
        <v>107</v>
      </c>
      <c r="CE32" s="98">
        <f t="shared" si="213"/>
        <v>187</v>
      </c>
      <c r="CF32" s="103"/>
      <c r="CG32" s="103"/>
      <c r="CH32" s="103"/>
      <c r="CI32" s="98">
        <f t="shared" ref="CI32:CI36" si="516">BE32+BT32</f>
        <v>80</v>
      </c>
      <c r="CJ32" s="98">
        <f t="shared" ref="CJ32:CJ36" si="517">BF32+BU32</f>
        <v>107</v>
      </c>
      <c r="CK32" s="98">
        <f t="shared" ref="CK32:CK36" si="518">BG32+BV32</f>
        <v>187</v>
      </c>
      <c r="CL32" s="116">
        <f t="shared" si="454"/>
        <v>0.5714285714285714</v>
      </c>
      <c r="CM32" s="116">
        <f t="shared" si="218"/>
        <v>0.68152866242038213</v>
      </c>
      <c r="CN32" s="116">
        <f t="shared" si="219"/>
        <v>0.62962962962962965</v>
      </c>
      <c r="CO32" s="99">
        <v>14310</v>
      </c>
      <c r="CP32" s="99">
        <v>17452</v>
      </c>
      <c r="CQ32" s="99">
        <f t="shared" si="220"/>
        <v>31762</v>
      </c>
      <c r="CR32" s="99">
        <v>9925</v>
      </c>
      <c r="CS32" s="99">
        <v>11851</v>
      </c>
      <c r="CT32" s="99">
        <f t="shared" si="221"/>
        <v>21776</v>
      </c>
      <c r="CU32" s="104"/>
      <c r="CV32" s="104"/>
      <c r="CW32" s="104"/>
      <c r="CX32" s="99">
        <f t="shared" si="222"/>
        <v>9925</v>
      </c>
      <c r="CY32" s="99">
        <f t="shared" si="223"/>
        <v>11851</v>
      </c>
      <c r="CZ32" s="99">
        <f t="shared" si="223"/>
        <v>21776</v>
      </c>
      <c r="DA32" s="116">
        <f t="shared" si="273"/>
        <v>0.69357092941998599</v>
      </c>
      <c r="DB32" s="116">
        <f t="shared" si="225"/>
        <v>0.6790625716250287</v>
      </c>
      <c r="DC32" s="116">
        <f t="shared" si="226"/>
        <v>0.68559914363075369</v>
      </c>
      <c r="DD32" s="98">
        <v>7379</v>
      </c>
      <c r="DE32" s="98">
        <v>8020</v>
      </c>
      <c r="DF32" s="98">
        <f t="shared" si="274"/>
        <v>15399</v>
      </c>
      <c r="DG32" s="99">
        <v>1385</v>
      </c>
      <c r="DH32" s="99">
        <v>1739</v>
      </c>
      <c r="DI32" s="99">
        <f t="shared" si="275"/>
        <v>3124</v>
      </c>
      <c r="DJ32" s="104"/>
      <c r="DK32" s="104"/>
      <c r="DL32" s="104"/>
      <c r="DM32" s="99">
        <f t="shared" si="276"/>
        <v>1385</v>
      </c>
      <c r="DN32" s="99">
        <f t="shared" si="277"/>
        <v>1739</v>
      </c>
      <c r="DO32" s="99">
        <f t="shared" si="277"/>
        <v>3124</v>
      </c>
      <c r="DP32" s="116">
        <f t="shared" si="279"/>
        <v>0.18769480959479604</v>
      </c>
      <c r="DQ32" s="116">
        <f t="shared" si="280"/>
        <v>0.21683291770573565</v>
      </c>
      <c r="DR32" s="116">
        <f t="shared" si="281"/>
        <v>0.20287031625430224</v>
      </c>
      <c r="DS32" s="98">
        <f t="shared" si="227"/>
        <v>21689</v>
      </c>
      <c r="DT32" s="98">
        <f t="shared" si="228"/>
        <v>25472</v>
      </c>
      <c r="DU32" s="98">
        <f t="shared" si="229"/>
        <v>47161</v>
      </c>
      <c r="DV32" s="98">
        <f t="shared" si="230"/>
        <v>11310</v>
      </c>
      <c r="DW32" s="98">
        <f t="shared" si="231"/>
        <v>13590</v>
      </c>
      <c r="DX32" s="98">
        <f t="shared" si="232"/>
        <v>24900</v>
      </c>
      <c r="DY32" s="103"/>
      <c r="DZ32" s="103"/>
      <c r="EA32" s="103"/>
      <c r="EB32" s="98">
        <f t="shared" si="233"/>
        <v>11310</v>
      </c>
      <c r="EC32" s="98">
        <f t="shared" si="234"/>
        <v>13590</v>
      </c>
      <c r="ED32" s="98">
        <f t="shared" si="235"/>
        <v>24900</v>
      </c>
      <c r="EE32" s="116">
        <f t="shared" si="459"/>
        <v>0.52146249250772281</v>
      </c>
      <c r="EF32" s="116">
        <f t="shared" si="236"/>
        <v>0.53352701005025127</v>
      </c>
      <c r="EG32" s="116">
        <f t="shared" si="237"/>
        <v>0.52797862640741289</v>
      </c>
      <c r="EH32" s="98">
        <f t="shared" si="238"/>
        <v>12689</v>
      </c>
      <c r="EI32" s="98">
        <f t="shared" si="239"/>
        <v>14869</v>
      </c>
      <c r="EJ32" s="98">
        <f t="shared" si="239"/>
        <v>27558</v>
      </c>
      <c r="EK32" s="98">
        <f>677+2177</f>
        <v>2854</v>
      </c>
      <c r="EL32" s="98">
        <f>828+2482</f>
        <v>3310</v>
      </c>
      <c r="EM32" s="98">
        <f t="shared" si="241"/>
        <v>6164</v>
      </c>
      <c r="EN32" s="100">
        <f t="shared" si="470"/>
        <v>22.491922137284263</v>
      </c>
      <c r="EO32" s="100">
        <f t="shared" si="471"/>
        <v>22.261080099535949</v>
      </c>
      <c r="EP32" s="100">
        <f t="shared" si="472"/>
        <v>22.367370636475798</v>
      </c>
      <c r="EQ32" s="98">
        <f t="shared" si="245"/>
        <v>80</v>
      </c>
      <c r="ER32" s="98">
        <f t="shared" si="246"/>
        <v>107</v>
      </c>
      <c r="ES32" s="98">
        <f t="shared" si="246"/>
        <v>187</v>
      </c>
      <c r="ET32" s="98">
        <v>22</v>
      </c>
      <c r="EU32" s="98">
        <v>24</v>
      </c>
      <c r="EV32" s="98">
        <f t="shared" si="248"/>
        <v>46</v>
      </c>
      <c r="EW32" s="100">
        <f t="shared" si="473"/>
        <v>27.5</v>
      </c>
      <c r="EX32" s="100">
        <f t="shared" si="474"/>
        <v>22.429906542056074</v>
      </c>
      <c r="EY32" s="100">
        <f t="shared" si="474"/>
        <v>24.598930481283421</v>
      </c>
      <c r="EZ32" s="98">
        <f t="shared" si="252"/>
        <v>11310</v>
      </c>
      <c r="FA32" s="98">
        <f t="shared" si="253"/>
        <v>13590</v>
      </c>
      <c r="FB32" s="98">
        <f t="shared" si="253"/>
        <v>24900</v>
      </c>
      <c r="FC32" s="98">
        <f>528+1889</f>
        <v>2417</v>
      </c>
      <c r="FD32" s="98">
        <f>683+2232</f>
        <v>2915</v>
      </c>
      <c r="FE32" s="98">
        <f t="shared" si="255"/>
        <v>5332</v>
      </c>
      <c r="FF32" s="100">
        <f t="shared" si="475"/>
        <v>21.370468611847922</v>
      </c>
      <c r="FG32" s="100">
        <f t="shared" si="476"/>
        <v>21.449595290654894</v>
      </c>
      <c r="FH32" s="100">
        <f t="shared" si="477"/>
        <v>21.413654618473895</v>
      </c>
    </row>
    <row r="33" spans="1:164" ht="27" customHeight="1">
      <c r="A33" s="94">
        <v>24</v>
      </c>
      <c r="B33" s="118" t="s">
        <v>159</v>
      </c>
      <c r="C33" s="96">
        <v>6892</v>
      </c>
      <c r="D33" s="96">
        <v>7636</v>
      </c>
      <c r="E33" s="96">
        <f t="shared" si="182"/>
        <v>14528</v>
      </c>
      <c r="F33" s="96">
        <v>5099</v>
      </c>
      <c r="G33" s="96">
        <v>5438</v>
      </c>
      <c r="H33" s="96">
        <f t="shared" si="183"/>
        <v>10537</v>
      </c>
      <c r="I33" s="96">
        <v>45</v>
      </c>
      <c r="J33" s="96">
        <v>38</v>
      </c>
      <c r="K33" s="96">
        <f t="shared" si="443"/>
        <v>83</v>
      </c>
      <c r="L33" s="97">
        <f t="shared" si="460"/>
        <v>5144</v>
      </c>
      <c r="M33" s="98">
        <f t="shared" si="461"/>
        <v>5476</v>
      </c>
      <c r="N33" s="98">
        <f t="shared" si="462"/>
        <v>10620</v>
      </c>
      <c r="O33" s="116">
        <f t="shared" si="187"/>
        <v>0.74637260591990717</v>
      </c>
      <c r="P33" s="116">
        <f t="shared" si="188"/>
        <v>0.71712938711367213</v>
      </c>
      <c r="Q33" s="116">
        <f t="shared" si="189"/>
        <v>0.73100220264317184</v>
      </c>
      <c r="R33" s="98">
        <v>53</v>
      </c>
      <c r="S33" s="98">
        <v>47</v>
      </c>
      <c r="T33" s="98">
        <f t="shared" si="478"/>
        <v>100</v>
      </c>
      <c r="U33" s="98">
        <v>14</v>
      </c>
      <c r="V33" s="98">
        <v>6</v>
      </c>
      <c r="W33" s="98">
        <f t="shared" si="258"/>
        <v>20</v>
      </c>
      <c r="X33" s="103"/>
      <c r="Y33" s="103"/>
      <c r="Z33" s="103"/>
      <c r="AA33" s="98">
        <f t="shared" si="259"/>
        <v>14</v>
      </c>
      <c r="AB33" s="98">
        <f t="shared" si="260"/>
        <v>6</v>
      </c>
      <c r="AC33" s="98">
        <f t="shared" si="261"/>
        <v>20</v>
      </c>
      <c r="AD33" s="116">
        <f t="shared" si="514"/>
        <v>0.26415094339622641</v>
      </c>
      <c r="AE33" s="116">
        <f t="shared" si="515"/>
        <v>0.1276595744680851</v>
      </c>
      <c r="AF33" s="116">
        <f t="shared" si="481"/>
        <v>0.2</v>
      </c>
      <c r="AG33" s="98">
        <f t="shared" si="190"/>
        <v>6945</v>
      </c>
      <c r="AH33" s="98">
        <f t="shared" si="191"/>
        <v>7683</v>
      </c>
      <c r="AI33" s="98">
        <f t="shared" si="191"/>
        <v>14628</v>
      </c>
      <c r="AJ33" s="98">
        <f t="shared" si="193"/>
        <v>5113</v>
      </c>
      <c r="AK33" s="98">
        <f t="shared" si="194"/>
        <v>5444</v>
      </c>
      <c r="AL33" s="98">
        <f t="shared" si="194"/>
        <v>10557</v>
      </c>
      <c r="AM33" s="98">
        <f t="shared" si="447"/>
        <v>45</v>
      </c>
      <c r="AN33" s="98">
        <f t="shared" si="265"/>
        <v>38</v>
      </c>
      <c r="AO33" s="98">
        <f t="shared" si="265"/>
        <v>83</v>
      </c>
      <c r="AP33" s="98">
        <f t="shared" si="195"/>
        <v>5158</v>
      </c>
      <c r="AQ33" s="98">
        <f t="shared" si="196"/>
        <v>5482</v>
      </c>
      <c r="AR33" s="98">
        <f t="shared" si="196"/>
        <v>10640</v>
      </c>
      <c r="AS33" s="116">
        <f t="shared" si="197"/>
        <v>0.74269258459323251</v>
      </c>
      <c r="AT33" s="116">
        <f t="shared" si="198"/>
        <v>0.71352336326955612</v>
      </c>
      <c r="AU33" s="116">
        <f t="shared" si="199"/>
        <v>0.7273721629751162</v>
      </c>
      <c r="AV33" s="99">
        <v>12</v>
      </c>
      <c r="AW33" s="99">
        <v>19</v>
      </c>
      <c r="AX33" s="99">
        <f t="shared" si="200"/>
        <v>31</v>
      </c>
      <c r="AY33" s="99">
        <v>10</v>
      </c>
      <c r="AZ33" s="99">
        <v>13</v>
      </c>
      <c r="BA33" s="99">
        <f t="shared" si="201"/>
        <v>23</v>
      </c>
      <c r="BB33" s="104"/>
      <c r="BC33" s="104"/>
      <c r="BD33" s="104"/>
      <c r="BE33" s="99">
        <f t="shared" si="202"/>
        <v>10</v>
      </c>
      <c r="BF33" s="99">
        <f t="shared" si="203"/>
        <v>13</v>
      </c>
      <c r="BG33" s="99">
        <f t="shared" si="203"/>
        <v>23</v>
      </c>
      <c r="BH33" s="116">
        <f t="shared" si="205"/>
        <v>0.83333333333333337</v>
      </c>
      <c r="BI33" s="116">
        <f t="shared" si="206"/>
        <v>0.68421052631578949</v>
      </c>
      <c r="BJ33" s="116">
        <f t="shared" si="207"/>
        <v>0.74193548387096775</v>
      </c>
      <c r="BK33" s="98">
        <v>0</v>
      </c>
      <c r="BL33" s="98">
        <v>0</v>
      </c>
      <c r="BM33" s="98">
        <f t="shared" si="266"/>
        <v>0</v>
      </c>
      <c r="BN33" s="99">
        <v>0</v>
      </c>
      <c r="BO33" s="99">
        <v>0</v>
      </c>
      <c r="BP33" s="99">
        <f t="shared" si="267"/>
        <v>0</v>
      </c>
      <c r="BQ33" s="104"/>
      <c r="BR33" s="104"/>
      <c r="BS33" s="104"/>
      <c r="BT33" s="99">
        <f t="shared" ref="BT33:BT34" si="519">+BN33+BQ33</f>
        <v>0</v>
      </c>
      <c r="BU33" s="99">
        <f t="shared" ref="BU33:BU34" si="520">+BO33+BR33</f>
        <v>0</v>
      </c>
      <c r="BV33" s="99">
        <f t="shared" ref="BV33:BV34" si="521">+BP33+BS33</f>
        <v>0</v>
      </c>
      <c r="BW33" s="116">
        <v>0</v>
      </c>
      <c r="BX33" s="116">
        <v>0</v>
      </c>
      <c r="BY33" s="116">
        <v>0</v>
      </c>
      <c r="BZ33" s="98">
        <f t="shared" si="463"/>
        <v>12</v>
      </c>
      <c r="CA33" s="98">
        <f t="shared" si="464"/>
        <v>19</v>
      </c>
      <c r="CB33" s="98">
        <f t="shared" si="465"/>
        <v>31</v>
      </c>
      <c r="CC33" s="98">
        <f t="shared" si="211"/>
        <v>10</v>
      </c>
      <c r="CD33" s="98">
        <f t="shared" si="212"/>
        <v>13</v>
      </c>
      <c r="CE33" s="98">
        <f t="shared" si="213"/>
        <v>23</v>
      </c>
      <c r="CF33" s="98">
        <f t="shared" si="449"/>
        <v>0</v>
      </c>
      <c r="CG33" s="98">
        <f t="shared" si="450"/>
        <v>0</v>
      </c>
      <c r="CH33" s="98">
        <f t="shared" si="451"/>
        <v>0</v>
      </c>
      <c r="CI33" s="98">
        <f t="shared" si="516"/>
        <v>10</v>
      </c>
      <c r="CJ33" s="98">
        <f t="shared" si="517"/>
        <v>13</v>
      </c>
      <c r="CK33" s="98">
        <f t="shared" si="518"/>
        <v>23</v>
      </c>
      <c r="CL33" s="116">
        <f t="shared" si="454"/>
        <v>0.83333333333333337</v>
      </c>
      <c r="CM33" s="116">
        <f t="shared" si="218"/>
        <v>0.68421052631578949</v>
      </c>
      <c r="CN33" s="116">
        <f t="shared" si="219"/>
        <v>0.74193548387096775</v>
      </c>
      <c r="CO33" s="99">
        <v>6791</v>
      </c>
      <c r="CP33" s="99">
        <v>7517</v>
      </c>
      <c r="CQ33" s="99">
        <f t="shared" si="220"/>
        <v>14308</v>
      </c>
      <c r="CR33" s="99">
        <v>5012</v>
      </c>
      <c r="CS33" s="99">
        <v>5351</v>
      </c>
      <c r="CT33" s="99">
        <f t="shared" si="221"/>
        <v>10363</v>
      </c>
      <c r="CU33" s="99">
        <v>45</v>
      </c>
      <c r="CV33" s="99">
        <v>38</v>
      </c>
      <c r="CW33" s="99">
        <f t="shared" si="455"/>
        <v>83</v>
      </c>
      <c r="CX33" s="99">
        <f t="shared" si="222"/>
        <v>5057</v>
      </c>
      <c r="CY33" s="99">
        <f t="shared" si="223"/>
        <v>5389</v>
      </c>
      <c r="CZ33" s="99">
        <f t="shared" si="223"/>
        <v>10446</v>
      </c>
      <c r="DA33" s="116">
        <f t="shared" si="273"/>
        <v>0.74466205271683106</v>
      </c>
      <c r="DB33" s="116">
        <f t="shared" si="225"/>
        <v>0.71690834109352131</v>
      </c>
      <c r="DC33" s="116">
        <f t="shared" si="226"/>
        <v>0.73008107352530049</v>
      </c>
      <c r="DD33" s="98">
        <v>53</v>
      </c>
      <c r="DE33" s="98">
        <v>47</v>
      </c>
      <c r="DF33" s="98">
        <f t="shared" si="274"/>
        <v>100</v>
      </c>
      <c r="DG33" s="99">
        <v>14</v>
      </c>
      <c r="DH33" s="99">
        <v>6</v>
      </c>
      <c r="DI33" s="99">
        <f t="shared" si="275"/>
        <v>20</v>
      </c>
      <c r="DJ33" s="104"/>
      <c r="DK33" s="104"/>
      <c r="DL33" s="104"/>
      <c r="DM33" s="99">
        <f t="shared" si="276"/>
        <v>14</v>
      </c>
      <c r="DN33" s="99">
        <f t="shared" si="277"/>
        <v>6</v>
      </c>
      <c r="DO33" s="99">
        <f t="shared" si="277"/>
        <v>20</v>
      </c>
      <c r="DP33" s="116">
        <f t="shared" si="279"/>
        <v>0.26415094339622641</v>
      </c>
      <c r="DQ33" s="116">
        <f t="shared" si="280"/>
        <v>0.1276595744680851</v>
      </c>
      <c r="DR33" s="116">
        <f t="shared" si="281"/>
        <v>0.2</v>
      </c>
      <c r="DS33" s="98">
        <f t="shared" si="227"/>
        <v>6844</v>
      </c>
      <c r="DT33" s="98">
        <f t="shared" si="228"/>
        <v>7564</v>
      </c>
      <c r="DU33" s="98">
        <f t="shared" si="229"/>
        <v>14408</v>
      </c>
      <c r="DV33" s="98">
        <f t="shared" si="230"/>
        <v>5026</v>
      </c>
      <c r="DW33" s="98">
        <f t="shared" si="231"/>
        <v>5357</v>
      </c>
      <c r="DX33" s="98">
        <f t="shared" si="232"/>
        <v>10383</v>
      </c>
      <c r="DY33" s="98">
        <f t="shared" si="456"/>
        <v>45</v>
      </c>
      <c r="DZ33" s="98">
        <f t="shared" si="457"/>
        <v>38</v>
      </c>
      <c r="EA33" s="98">
        <f t="shared" si="458"/>
        <v>83</v>
      </c>
      <c r="EB33" s="98">
        <f t="shared" si="233"/>
        <v>5071</v>
      </c>
      <c r="EC33" s="98">
        <f t="shared" si="234"/>
        <v>5395</v>
      </c>
      <c r="ED33" s="98">
        <f t="shared" si="235"/>
        <v>10466</v>
      </c>
      <c r="EE33" s="116">
        <f t="shared" si="459"/>
        <v>0.74094097019286964</v>
      </c>
      <c r="EF33" s="116">
        <f t="shared" si="236"/>
        <v>0.71324695928080384</v>
      </c>
      <c r="EG33" s="116">
        <f t="shared" si="237"/>
        <v>0.72640199888950585</v>
      </c>
      <c r="EH33" s="98">
        <f t="shared" si="238"/>
        <v>5158</v>
      </c>
      <c r="EI33" s="98">
        <f t="shared" si="239"/>
        <v>5482</v>
      </c>
      <c r="EJ33" s="98">
        <f t="shared" si="239"/>
        <v>10640</v>
      </c>
      <c r="EK33" s="98">
        <v>1885</v>
      </c>
      <c r="EL33" s="98">
        <v>2233</v>
      </c>
      <c r="EM33" s="98">
        <f t="shared" si="241"/>
        <v>4118</v>
      </c>
      <c r="EN33" s="100">
        <f t="shared" si="470"/>
        <v>36.545172547499028</v>
      </c>
      <c r="EO33" s="100">
        <f t="shared" si="471"/>
        <v>40.733309011309743</v>
      </c>
      <c r="EP33" s="100">
        <f t="shared" si="472"/>
        <v>38.703007518796994</v>
      </c>
      <c r="EQ33" s="98">
        <f t="shared" si="245"/>
        <v>10</v>
      </c>
      <c r="ER33" s="98">
        <f t="shared" si="246"/>
        <v>13</v>
      </c>
      <c r="ES33" s="98">
        <f t="shared" si="246"/>
        <v>23</v>
      </c>
      <c r="ET33" s="98">
        <v>5</v>
      </c>
      <c r="EU33" s="98">
        <v>8</v>
      </c>
      <c r="EV33" s="98">
        <f t="shared" si="248"/>
        <v>13</v>
      </c>
      <c r="EW33" s="100">
        <f t="shared" si="473"/>
        <v>50</v>
      </c>
      <c r="EX33" s="100">
        <f t="shared" si="474"/>
        <v>61.53846153846154</v>
      </c>
      <c r="EY33" s="100">
        <f t="shared" si="474"/>
        <v>56.521739130434781</v>
      </c>
      <c r="EZ33" s="98">
        <f t="shared" si="252"/>
        <v>5071</v>
      </c>
      <c r="FA33" s="98">
        <f t="shared" si="253"/>
        <v>5395</v>
      </c>
      <c r="FB33" s="98">
        <f t="shared" si="253"/>
        <v>10466</v>
      </c>
      <c r="FC33" s="98">
        <v>1850</v>
      </c>
      <c r="FD33" s="98">
        <v>2209</v>
      </c>
      <c r="FE33" s="98">
        <f t="shared" si="255"/>
        <v>4059</v>
      </c>
      <c r="FF33" s="100">
        <f t="shared" si="475"/>
        <v>36.481956221652531</v>
      </c>
      <c r="FG33" s="100">
        <f t="shared" si="476"/>
        <v>40.945319740500466</v>
      </c>
      <c r="FH33" s="100">
        <f t="shared" si="477"/>
        <v>38.782725014332122</v>
      </c>
    </row>
    <row r="34" spans="1:164" ht="27" customHeight="1">
      <c r="A34" s="94">
        <v>25</v>
      </c>
      <c r="B34" s="118" t="s">
        <v>160</v>
      </c>
      <c r="C34" s="96">
        <v>9054</v>
      </c>
      <c r="D34" s="96">
        <v>9915</v>
      </c>
      <c r="E34" s="96">
        <f t="shared" si="182"/>
        <v>18969</v>
      </c>
      <c r="F34" s="96">
        <v>6996</v>
      </c>
      <c r="G34" s="96">
        <v>7561</v>
      </c>
      <c r="H34" s="96">
        <f t="shared" si="183"/>
        <v>14557</v>
      </c>
      <c r="I34" s="104"/>
      <c r="J34" s="104"/>
      <c r="K34" s="104"/>
      <c r="L34" s="97">
        <f t="shared" si="460"/>
        <v>6996</v>
      </c>
      <c r="M34" s="98">
        <f t="shared" si="461"/>
        <v>7561</v>
      </c>
      <c r="N34" s="98">
        <f t="shared" si="462"/>
        <v>14557</v>
      </c>
      <c r="O34" s="116">
        <f t="shared" si="187"/>
        <v>0.77269715043074882</v>
      </c>
      <c r="P34" s="116">
        <f t="shared" si="188"/>
        <v>0.76258194654563793</v>
      </c>
      <c r="Q34" s="116">
        <f t="shared" si="189"/>
        <v>0.76740998471189836</v>
      </c>
      <c r="R34" s="98">
        <v>1645</v>
      </c>
      <c r="S34" s="98">
        <v>1832</v>
      </c>
      <c r="T34" s="98">
        <f t="shared" si="478"/>
        <v>3477</v>
      </c>
      <c r="U34" s="98">
        <v>580</v>
      </c>
      <c r="V34" s="98">
        <v>617</v>
      </c>
      <c r="W34" s="98">
        <f t="shared" si="258"/>
        <v>1197</v>
      </c>
      <c r="X34" s="103"/>
      <c r="Y34" s="103"/>
      <c r="Z34" s="103"/>
      <c r="AA34" s="98">
        <f t="shared" si="259"/>
        <v>580</v>
      </c>
      <c r="AB34" s="98">
        <f t="shared" si="260"/>
        <v>617</v>
      </c>
      <c r="AC34" s="98">
        <f t="shared" si="261"/>
        <v>1197</v>
      </c>
      <c r="AD34" s="116">
        <f t="shared" si="514"/>
        <v>0.35258358662613981</v>
      </c>
      <c r="AE34" s="116">
        <f t="shared" si="515"/>
        <v>0.33679039301310043</v>
      </c>
      <c r="AF34" s="116">
        <f t="shared" si="481"/>
        <v>0.34426229508196721</v>
      </c>
      <c r="AG34" s="98">
        <f t="shared" si="190"/>
        <v>10699</v>
      </c>
      <c r="AH34" s="98">
        <f t="shared" si="191"/>
        <v>11747</v>
      </c>
      <c r="AI34" s="98">
        <f t="shared" si="191"/>
        <v>22446</v>
      </c>
      <c r="AJ34" s="98">
        <f t="shared" si="193"/>
        <v>7576</v>
      </c>
      <c r="AK34" s="98">
        <f t="shared" si="194"/>
        <v>8178</v>
      </c>
      <c r="AL34" s="98">
        <f t="shared" si="194"/>
        <v>15754</v>
      </c>
      <c r="AM34" s="103"/>
      <c r="AN34" s="103"/>
      <c r="AO34" s="103"/>
      <c r="AP34" s="98">
        <f t="shared" si="195"/>
        <v>7576</v>
      </c>
      <c r="AQ34" s="98">
        <f t="shared" si="196"/>
        <v>8178</v>
      </c>
      <c r="AR34" s="98">
        <f t="shared" si="196"/>
        <v>15754</v>
      </c>
      <c r="AS34" s="116">
        <f t="shared" si="197"/>
        <v>0.70810356108047479</v>
      </c>
      <c r="AT34" s="116">
        <f t="shared" si="198"/>
        <v>0.69617774751000261</v>
      </c>
      <c r="AU34" s="116">
        <f t="shared" si="199"/>
        <v>0.70186224717098811</v>
      </c>
      <c r="AV34" s="99">
        <v>97</v>
      </c>
      <c r="AW34" s="99">
        <v>82</v>
      </c>
      <c r="AX34" s="99">
        <f t="shared" si="200"/>
        <v>179</v>
      </c>
      <c r="AY34" s="99">
        <v>81</v>
      </c>
      <c r="AZ34" s="99">
        <v>67</v>
      </c>
      <c r="BA34" s="99">
        <f t="shared" si="201"/>
        <v>148</v>
      </c>
      <c r="BB34" s="104"/>
      <c r="BC34" s="104"/>
      <c r="BD34" s="104"/>
      <c r="BE34" s="99">
        <f t="shared" si="202"/>
        <v>81</v>
      </c>
      <c r="BF34" s="99">
        <f t="shared" si="203"/>
        <v>67</v>
      </c>
      <c r="BG34" s="99">
        <f t="shared" si="203"/>
        <v>148</v>
      </c>
      <c r="BH34" s="116">
        <f t="shared" si="205"/>
        <v>0.83505154639175261</v>
      </c>
      <c r="BI34" s="116">
        <f t="shared" si="206"/>
        <v>0.81707317073170727</v>
      </c>
      <c r="BJ34" s="116">
        <f t="shared" si="207"/>
        <v>0.82681564245810057</v>
      </c>
      <c r="BK34" s="95">
        <v>9</v>
      </c>
      <c r="BL34" s="95">
        <v>10</v>
      </c>
      <c r="BM34" s="98">
        <f t="shared" si="266"/>
        <v>19</v>
      </c>
      <c r="BN34" s="99">
        <v>4</v>
      </c>
      <c r="BO34" s="99">
        <v>3</v>
      </c>
      <c r="BP34" s="99">
        <f t="shared" si="267"/>
        <v>7</v>
      </c>
      <c r="BQ34" s="104"/>
      <c r="BR34" s="104"/>
      <c r="BS34" s="104"/>
      <c r="BT34" s="99">
        <f t="shared" si="519"/>
        <v>4</v>
      </c>
      <c r="BU34" s="99">
        <f t="shared" si="520"/>
        <v>3</v>
      </c>
      <c r="BV34" s="99">
        <f t="shared" si="521"/>
        <v>7</v>
      </c>
      <c r="BW34" s="116">
        <f t="shared" si="270"/>
        <v>0.44444444444444442</v>
      </c>
      <c r="BX34" s="116">
        <f t="shared" si="271"/>
        <v>0.3</v>
      </c>
      <c r="BY34" s="116">
        <f t="shared" si="272"/>
        <v>0.36842105263157893</v>
      </c>
      <c r="BZ34" s="98">
        <f t="shared" si="463"/>
        <v>106</v>
      </c>
      <c r="CA34" s="98">
        <f t="shared" si="464"/>
        <v>92</v>
      </c>
      <c r="CB34" s="98">
        <f t="shared" si="465"/>
        <v>198</v>
      </c>
      <c r="CC34" s="98">
        <f t="shared" si="211"/>
        <v>85</v>
      </c>
      <c r="CD34" s="98">
        <f t="shared" si="212"/>
        <v>70</v>
      </c>
      <c r="CE34" s="98">
        <f t="shared" si="213"/>
        <v>155</v>
      </c>
      <c r="CF34" s="103"/>
      <c r="CG34" s="103"/>
      <c r="CH34" s="103"/>
      <c r="CI34" s="98">
        <f t="shared" si="516"/>
        <v>85</v>
      </c>
      <c r="CJ34" s="98">
        <f t="shared" si="517"/>
        <v>70</v>
      </c>
      <c r="CK34" s="98">
        <f t="shared" si="518"/>
        <v>155</v>
      </c>
      <c r="CL34" s="116">
        <f t="shared" si="454"/>
        <v>0.80188679245283023</v>
      </c>
      <c r="CM34" s="116">
        <f t="shared" si="218"/>
        <v>0.76086956521739135</v>
      </c>
      <c r="CN34" s="116">
        <f t="shared" si="219"/>
        <v>0.78282828282828287</v>
      </c>
      <c r="CO34" s="99">
        <v>8103</v>
      </c>
      <c r="CP34" s="99">
        <v>9002</v>
      </c>
      <c r="CQ34" s="99">
        <f t="shared" si="220"/>
        <v>17105</v>
      </c>
      <c r="CR34" s="99">
        <v>6214</v>
      </c>
      <c r="CS34" s="99">
        <v>6806</v>
      </c>
      <c r="CT34" s="99">
        <f t="shared" si="221"/>
        <v>13020</v>
      </c>
      <c r="CU34" s="103"/>
      <c r="CV34" s="103"/>
      <c r="CW34" s="104"/>
      <c r="CX34" s="99">
        <f t="shared" ref="CX34" si="522">+CR34+CU34</f>
        <v>6214</v>
      </c>
      <c r="CY34" s="99">
        <f t="shared" si="223"/>
        <v>6806</v>
      </c>
      <c r="CZ34" s="99">
        <f t="shared" si="223"/>
        <v>13020</v>
      </c>
      <c r="DA34" s="116">
        <f t="shared" si="273"/>
        <v>0.76687646550660249</v>
      </c>
      <c r="DB34" s="116">
        <f t="shared" si="225"/>
        <v>0.75605421017551655</v>
      </c>
      <c r="DC34" s="116">
        <f t="shared" si="226"/>
        <v>0.76118094124524993</v>
      </c>
      <c r="DD34" s="99">
        <v>1574</v>
      </c>
      <c r="DE34" s="99">
        <v>1719</v>
      </c>
      <c r="DF34" s="98">
        <f t="shared" si="274"/>
        <v>3293</v>
      </c>
      <c r="DG34" s="95">
        <v>552</v>
      </c>
      <c r="DH34" s="95">
        <v>571</v>
      </c>
      <c r="DI34" s="99">
        <f t="shared" si="275"/>
        <v>1123</v>
      </c>
      <c r="DJ34" s="104"/>
      <c r="DK34" s="104"/>
      <c r="DL34" s="104"/>
      <c r="DM34" s="99">
        <f t="shared" ref="DM34" si="523">+DG34+DJ34</f>
        <v>552</v>
      </c>
      <c r="DN34" s="99">
        <f t="shared" ref="DN34" si="524">+DH34+DK34</f>
        <v>571</v>
      </c>
      <c r="DO34" s="99">
        <f t="shared" si="277"/>
        <v>1123</v>
      </c>
      <c r="DP34" s="116">
        <f t="shared" si="279"/>
        <v>0.35069885641677256</v>
      </c>
      <c r="DQ34" s="116">
        <f t="shared" si="280"/>
        <v>0.33216986620127981</v>
      </c>
      <c r="DR34" s="116">
        <f t="shared" si="281"/>
        <v>0.3410264196781051</v>
      </c>
      <c r="DS34" s="98">
        <f t="shared" si="227"/>
        <v>9677</v>
      </c>
      <c r="DT34" s="98">
        <f t="shared" si="228"/>
        <v>10721</v>
      </c>
      <c r="DU34" s="98">
        <f t="shared" si="229"/>
        <v>20398</v>
      </c>
      <c r="DV34" s="98">
        <f t="shared" ref="DV34" si="525">CR34+DG34</f>
        <v>6766</v>
      </c>
      <c r="DW34" s="98">
        <f t="shared" ref="DW34" si="526">CS34+DH34</f>
        <v>7377</v>
      </c>
      <c r="DX34" s="98">
        <f t="shared" ref="DX34" si="527">CT34+DI34</f>
        <v>14143</v>
      </c>
      <c r="DY34" s="98">
        <f t="shared" ref="DY34" si="528">CU34+DJ34</f>
        <v>0</v>
      </c>
      <c r="DZ34" s="98">
        <f t="shared" ref="DZ34" si="529">CV34+DK34</f>
        <v>0</v>
      </c>
      <c r="EA34" s="98">
        <f t="shared" ref="EA34" si="530">CW34+DL34</f>
        <v>0</v>
      </c>
      <c r="EB34" s="98">
        <f t="shared" si="233"/>
        <v>6766</v>
      </c>
      <c r="EC34" s="98">
        <f t="shared" si="234"/>
        <v>7377</v>
      </c>
      <c r="ED34" s="98">
        <f t="shared" si="235"/>
        <v>14143</v>
      </c>
      <c r="EE34" s="116">
        <f t="shared" si="459"/>
        <v>0.69918363129068928</v>
      </c>
      <c r="EF34" s="116">
        <f t="shared" si="236"/>
        <v>0.68808879768678299</v>
      </c>
      <c r="EG34" s="116">
        <f t="shared" si="237"/>
        <v>0.69335228944014116</v>
      </c>
      <c r="EH34" s="98">
        <f t="shared" si="238"/>
        <v>7576</v>
      </c>
      <c r="EI34" s="98">
        <f t="shared" si="239"/>
        <v>8178</v>
      </c>
      <c r="EJ34" s="98">
        <f t="shared" si="239"/>
        <v>15754</v>
      </c>
      <c r="EK34" s="101">
        <v>2769</v>
      </c>
      <c r="EL34" s="101">
        <v>3525</v>
      </c>
      <c r="EM34" s="98">
        <f t="shared" si="241"/>
        <v>6294</v>
      </c>
      <c r="EN34" s="100">
        <f t="shared" si="470"/>
        <v>36.549630411826818</v>
      </c>
      <c r="EO34" s="100">
        <f t="shared" si="471"/>
        <v>43.103448275862071</v>
      </c>
      <c r="EP34" s="100">
        <f t="shared" si="472"/>
        <v>39.951758283610509</v>
      </c>
      <c r="EQ34" s="98">
        <f t="shared" si="245"/>
        <v>85</v>
      </c>
      <c r="ER34" s="98">
        <f t="shared" si="246"/>
        <v>70</v>
      </c>
      <c r="ES34" s="98">
        <f t="shared" si="246"/>
        <v>155</v>
      </c>
      <c r="ET34" s="101">
        <v>43</v>
      </c>
      <c r="EU34" s="101">
        <v>27</v>
      </c>
      <c r="EV34" s="98">
        <f t="shared" si="248"/>
        <v>70</v>
      </c>
      <c r="EW34" s="100">
        <f t="shared" si="473"/>
        <v>50.588235294117645</v>
      </c>
      <c r="EX34" s="100">
        <f t="shared" si="474"/>
        <v>38.571428571428569</v>
      </c>
      <c r="EY34" s="100">
        <f t="shared" si="474"/>
        <v>45.161290322580648</v>
      </c>
      <c r="EZ34" s="98">
        <f t="shared" ref="EZ34" si="531">+EB34</f>
        <v>6766</v>
      </c>
      <c r="FA34" s="98">
        <f t="shared" ref="FA34" si="532">+EC34</f>
        <v>7377</v>
      </c>
      <c r="FB34" s="98">
        <f t="shared" ref="FB34" si="533">+ED34</f>
        <v>14143</v>
      </c>
      <c r="FC34" s="101">
        <v>2356</v>
      </c>
      <c r="FD34" s="101">
        <v>3127</v>
      </c>
      <c r="FE34" s="98">
        <f t="shared" si="255"/>
        <v>5483</v>
      </c>
      <c r="FF34" s="100">
        <f t="shared" si="475"/>
        <v>34.821164646763229</v>
      </c>
      <c r="FG34" s="100">
        <f t="shared" si="476"/>
        <v>42.388504812254304</v>
      </c>
      <c r="FH34" s="100">
        <f t="shared" si="477"/>
        <v>38.768295269744748</v>
      </c>
    </row>
    <row r="35" spans="1:164" ht="27" customHeight="1">
      <c r="A35" s="94">
        <v>26</v>
      </c>
      <c r="B35" s="118" t="s">
        <v>142</v>
      </c>
      <c r="C35" s="96">
        <v>280389</v>
      </c>
      <c r="D35" s="96">
        <v>287799</v>
      </c>
      <c r="E35" s="96">
        <f>C35+D35</f>
        <v>568188</v>
      </c>
      <c r="F35" s="96">
        <v>239979</v>
      </c>
      <c r="G35" s="96">
        <v>248893</v>
      </c>
      <c r="H35" s="96">
        <f>F35+G35</f>
        <v>488872</v>
      </c>
      <c r="I35" s="96">
        <v>2324</v>
      </c>
      <c r="J35" s="96">
        <v>2222</v>
      </c>
      <c r="K35" s="96">
        <f>I35+J35</f>
        <v>4546</v>
      </c>
      <c r="L35" s="97">
        <f>F35+I35</f>
        <v>242303</v>
      </c>
      <c r="M35" s="98">
        <f>G35+J35</f>
        <v>251115</v>
      </c>
      <c r="N35" s="98">
        <f>H35+K35</f>
        <v>493418</v>
      </c>
      <c r="O35" s="116">
        <f>L35/C35</f>
        <v>0.86416728188338343</v>
      </c>
      <c r="P35" s="116">
        <f>M35/D35</f>
        <v>0.87253604077845992</v>
      </c>
      <c r="Q35" s="116">
        <f>N35/E35</f>
        <v>0.86840623174019871</v>
      </c>
      <c r="R35" s="98">
        <v>12757</v>
      </c>
      <c r="S35" s="98">
        <v>10037</v>
      </c>
      <c r="T35" s="98">
        <f>R35+S35</f>
        <v>22794</v>
      </c>
      <c r="U35" s="98">
        <v>7969</v>
      </c>
      <c r="V35" s="98">
        <v>6158</v>
      </c>
      <c r="W35" s="98">
        <f>U35+V35</f>
        <v>14127</v>
      </c>
      <c r="X35" s="98">
        <v>372</v>
      </c>
      <c r="Y35" s="98">
        <v>332</v>
      </c>
      <c r="Z35" s="98">
        <f>X35+Y35</f>
        <v>704</v>
      </c>
      <c r="AA35" s="98">
        <f>U35+X35</f>
        <v>8341</v>
      </c>
      <c r="AB35" s="98">
        <f>V35+Y35</f>
        <v>6490</v>
      </c>
      <c r="AC35" s="98">
        <f>W35+Z35</f>
        <v>14831</v>
      </c>
      <c r="AD35" s="116">
        <f>AA35/R35</f>
        <v>0.65383710903817516</v>
      </c>
      <c r="AE35" s="116">
        <f>AB35/S35</f>
        <v>0.64660755205738762</v>
      </c>
      <c r="AF35" s="116">
        <f>AC35/T35</f>
        <v>0.65065368079319119</v>
      </c>
      <c r="AG35" s="98">
        <f t="shared" ref="AG35:AR35" si="534">C35+R35</f>
        <v>293146</v>
      </c>
      <c r="AH35" s="98">
        <f t="shared" si="534"/>
        <v>297836</v>
      </c>
      <c r="AI35" s="98">
        <f t="shared" si="534"/>
        <v>590982</v>
      </c>
      <c r="AJ35" s="98">
        <f t="shared" si="534"/>
        <v>247948</v>
      </c>
      <c r="AK35" s="98">
        <f t="shared" si="534"/>
        <v>255051</v>
      </c>
      <c r="AL35" s="98">
        <f t="shared" si="534"/>
        <v>502999</v>
      </c>
      <c r="AM35" s="98">
        <f t="shared" si="534"/>
        <v>2696</v>
      </c>
      <c r="AN35" s="98">
        <f t="shared" si="534"/>
        <v>2554</v>
      </c>
      <c r="AO35" s="98">
        <f t="shared" si="534"/>
        <v>5250</v>
      </c>
      <c r="AP35" s="98">
        <f t="shared" si="534"/>
        <v>250644</v>
      </c>
      <c r="AQ35" s="98">
        <f t="shared" si="534"/>
        <v>257605</v>
      </c>
      <c r="AR35" s="98">
        <f t="shared" si="534"/>
        <v>508249</v>
      </c>
      <c r="AS35" s="116">
        <f>AP35/AG35</f>
        <v>0.85501422499368918</v>
      </c>
      <c r="AT35" s="116">
        <f>AQ35/AH35</f>
        <v>0.86492230623564648</v>
      </c>
      <c r="AU35" s="116">
        <f>AR35/AI35</f>
        <v>0.86000758060313176</v>
      </c>
      <c r="AV35" s="99">
        <v>53734</v>
      </c>
      <c r="AW35" s="99">
        <v>55747</v>
      </c>
      <c r="AX35" s="99">
        <f>+AV35+AW35</f>
        <v>109481</v>
      </c>
      <c r="AY35" s="99">
        <v>43780</v>
      </c>
      <c r="AZ35" s="99">
        <v>45198</v>
      </c>
      <c r="BA35" s="99">
        <f>+AY35+AZ35</f>
        <v>88978</v>
      </c>
      <c r="BB35" s="99">
        <v>492</v>
      </c>
      <c r="BC35" s="99">
        <v>472</v>
      </c>
      <c r="BD35" s="99">
        <f>+BB35+BC35</f>
        <v>964</v>
      </c>
      <c r="BE35" s="99">
        <f>+AY35+BB35</f>
        <v>44272</v>
      </c>
      <c r="BF35" s="99">
        <f>+AZ35+BC35</f>
        <v>45670</v>
      </c>
      <c r="BG35" s="99">
        <f>+BA35+BD35</f>
        <v>89942</v>
      </c>
      <c r="BH35" s="116">
        <f>BE35/AV35</f>
        <v>0.82391037332043027</v>
      </c>
      <c r="BI35" s="116">
        <f>BF35/AW35</f>
        <v>0.8192369096094857</v>
      </c>
      <c r="BJ35" s="116">
        <f>BG35/AX35</f>
        <v>0.82153067655574941</v>
      </c>
      <c r="BK35" s="95">
        <v>3121</v>
      </c>
      <c r="BL35" s="95">
        <v>2695</v>
      </c>
      <c r="BM35" s="98">
        <f>BK35+BL35</f>
        <v>5816</v>
      </c>
      <c r="BN35" s="99">
        <v>1890</v>
      </c>
      <c r="BO35" s="99">
        <v>1637</v>
      </c>
      <c r="BP35" s="99">
        <f>BN35+BO35</f>
        <v>3527</v>
      </c>
      <c r="BQ35" s="99">
        <v>85</v>
      </c>
      <c r="BR35" s="99">
        <v>85</v>
      </c>
      <c r="BS35" s="99">
        <f>BQ35+BR35</f>
        <v>170</v>
      </c>
      <c r="BT35" s="99">
        <f>+BN35+BQ35</f>
        <v>1975</v>
      </c>
      <c r="BU35" s="99">
        <f>+BO35+BR35</f>
        <v>1722</v>
      </c>
      <c r="BV35" s="99">
        <f>+BP35+BS35</f>
        <v>3697</v>
      </c>
      <c r="BW35" s="116">
        <f>BT35/BK35</f>
        <v>0.63280999679589878</v>
      </c>
      <c r="BX35" s="116">
        <f>BU35/BL35</f>
        <v>0.63896103896103895</v>
      </c>
      <c r="BY35" s="116">
        <f>BV35/BM35</f>
        <v>0.63566024759284734</v>
      </c>
      <c r="BZ35" s="98">
        <f t="shared" ref="BZ35:CK35" si="535">AV35+BK35</f>
        <v>56855</v>
      </c>
      <c r="CA35" s="98">
        <f t="shared" si="535"/>
        <v>58442</v>
      </c>
      <c r="CB35" s="98">
        <f t="shared" si="535"/>
        <v>115297</v>
      </c>
      <c r="CC35" s="98">
        <f t="shared" si="535"/>
        <v>45670</v>
      </c>
      <c r="CD35" s="98">
        <f t="shared" si="535"/>
        <v>46835</v>
      </c>
      <c r="CE35" s="98">
        <f t="shared" si="535"/>
        <v>92505</v>
      </c>
      <c r="CF35" s="98">
        <f t="shared" si="535"/>
        <v>577</v>
      </c>
      <c r="CG35" s="98">
        <f t="shared" si="535"/>
        <v>557</v>
      </c>
      <c r="CH35" s="98">
        <f t="shared" si="535"/>
        <v>1134</v>
      </c>
      <c r="CI35" s="98">
        <f t="shared" si="535"/>
        <v>46247</v>
      </c>
      <c r="CJ35" s="98">
        <f t="shared" si="535"/>
        <v>47392</v>
      </c>
      <c r="CK35" s="98">
        <f t="shared" si="535"/>
        <v>93639</v>
      </c>
      <c r="CL35" s="116">
        <f>CI35/BZ35</f>
        <v>0.81342010377275531</v>
      </c>
      <c r="CM35" s="116">
        <f>CJ35/CA35</f>
        <v>0.81092365079908291</v>
      </c>
      <c r="CN35" s="116">
        <f>CK35/CB35</f>
        <v>0.81215469613259672</v>
      </c>
      <c r="CO35" s="99">
        <v>56181</v>
      </c>
      <c r="CP35" s="99">
        <v>62963</v>
      </c>
      <c r="CQ35" s="99">
        <f>+CO35+CP35</f>
        <v>119144</v>
      </c>
      <c r="CR35" s="99">
        <v>46282</v>
      </c>
      <c r="CS35" s="99">
        <v>53186</v>
      </c>
      <c r="CT35" s="99">
        <f>+CR35+CS35</f>
        <v>99468</v>
      </c>
      <c r="CU35" s="99">
        <v>592</v>
      </c>
      <c r="CV35" s="99">
        <v>616</v>
      </c>
      <c r="CW35" s="99">
        <f>+CU35+CV35</f>
        <v>1208</v>
      </c>
      <c r="CX35" s="99">
        <f>+CR35+CU35</f>
        <v>46874</v>
      </c>
      <c r="CY35" s="99">
        <f>+CS35+CV35</f>
        <v>53802</v>
      </c>
      <c r="CZ35" s="99">
        <f>+CT35+CW35</f>
        <v>100676</v>
      </c>
      <c r="DA35" s="116">
        <f>CX35/CO35</f>
        <v>0.83433901140955125</v>
      </c>
      <c r="DB35" s="116">
        <f>CY35/CP35</f>
        <v>0.85450185029302927</v>
      </c>
      <c r="DC35" s="116">
        <f>CZ35/CQ35</f>
        <v>0.84499429262069425</v>
      </c>
      <c r="DD35" s="95">
        <v>3628</v>
      </c>
      <c r="DE35" s="95">
        <v>3121</v>
      </c>
      <c r="DF35" s="98">
        <f>DD35+DE35</f>
        <v>6749</v>
      </c>
      <c r="DG35" s="99">
        <v>2237</v>
      </c>
      <c r="DH35" s="99">
        <v>1847</v>
      </c>
      <c r="DI35" s="99">
        <f>+DG35+DH35</f>
        <v>4084</v>
      </c>
      <c r="DJ35" s="99">
        <v>102</v>
      </c>
      <c r="DK35" s="99">
        <v>81</v>
      </c>
      <c r="DL35" s="99">
        <f>DJ35+DK35</f>
        <v>183</v>
      </c>
      <c r="DM35" s="99">
        <f>+DG35+DJ35</f>
        <v>2339</v>
      </c>
      <c r="DN35" s="99">
        <f>+DH35+DK35</f>
        <v>1928</v>
      </c>
      <c r="DO35" s="99">
        <f>+DI35+DL35</f>
        <v>4267</v>
      </c>
      <c r="DP35" s="116">
        <f>DM35/DD35</f>
        <v>0.64470782800441018</v>
      </c>
      <c r="DQ35" s="116">
        <f>DN35/DE35</f>
        <v>0.61775072092278116</v>
      </c>
      <c r="DR35" s="116">
        <f>DO35/DF35</f>
        <v>0.63224181360201515</v>
      </c>
      <c r="DS35" s="98">
        <f t="shared" ref="DS35:ED35" si="536">CO35+DD35</f>
        <v>59809</v>
      </c>
      <c r="DT35" s="98">
        <f t="shared" si="536"/>
        <v>66084</v>
      </c>
      <c r="DU35" s="98">
        <f t="shared" si="536"/>
        <v>125893</v>
      </c>
      <c r="DV35" s="98">
        <f t="shared" si="536"/>
        <v>48519</v>
      </c>
      <c r="DW35" s="98">
        <f t="shared" si="536"/>
        <v>55033</v>
      </c>
      <c r="DX35" s="98">
        <f t="shared" si="536"/>
        <v>103552</v>
      </c>
      <c r="DY35" s="98">
        <f t="shared" si="536"/>
        <v>694</v>
      </c>
      <c r="DZ35" s="98">
        <f t="shared" si="536"/>
        <v>697</v>
      </c>
      <c r="EA35" s="98">
        <f t="shared" si="536"/>
        <v>1391</v>
      </c>
      <c r="EB35" s="98">
        <f t="shared" si="536"/>
        <v>49213</v>
      </c>
      <c r="EC35" s="98">
        <f t="shared" si="536"/>
        <v>55730</v>
      </c>
      <c r="ED35" s="98">
        <f t="shared" si="536"/>
        <v>104943</v>
      </c>
      <c r="EE35" s="116">
        <f>EB35/DS35</f>
        <v>0.82283602802253841</v>
      </c>
      <c r="EF35" s="116">
        <f>EC35/DT35</f>
        <v>0.84332062223836335</v>
      </c>
      <c r="EG35" s="116">
        <f>ED35/DU35</f>
        <v>0.83358884131762689</v>
      </c>
      <c r="EH35" s="98">
        <f>+AP35</f>
        <v>250644</v>
      </c>
      <c r="EI35" s="98">
        <f>+AQ35</f>
        <v>257605</v>
      </c>
      <c r="EJ35" s="98">
        <f>+AR35</f>
        <v>508249</v>
      </c>
      <c r="EK35" s="101">
        <v>90662</v>
      </c>
      <c r="EL35" s="101">
        <v>99095</v>
      </c>
      <c r="EM35" s="98">
        <f>EK35+EL35</f>
        <v>189757</v>
      </c>
      <c r="EN35" s="100">
        <f>+EK35*100/EH35</f>
        <v>36.171621901980501</v>
      </c>
      <c r="EO35" s="100">
        <f>+EL35*100/EI35</f>
        <v>38.46780924283302</v>
      </c>
      <c r="EP35" s="100">
        <f>+EM35*100/EJ35</f>
        <v>37.335439912326436</v>
      </c>
      <c r="EQ35" s="98">
        <f>+CI35</f>
        <v>46247</v>
      </c>
      <c r="ER35" s="98">
        <f>+CJ35</f>
        <v>47392</v>
      </c>
      <c r="ES35" s="98">
        <f>+CK35</f>
        <v>93639</v>
      </c>
      <c r="ET35" s="101">
        <v>13640</v>
      </c>
      <c r="EU35" s="101">
        <v>14547</v>
      </c>
      <c r="EV35" s="98">
        <f>ET35+EU35</f>
        <v>28187</v>
      </c>
      <c r="EW35" s="100">
        <f>+ET35*100/EQ35</f>
        <v>29.4938050035678</v>
      </c>
      <c r="EX35" s="100">
        <f>+EU35*100/ER35</f>
        <v>30.695054017555705</v>
      </c>
      <c r="EY35" s="100">
        <f>+EV35*100/ES35</f>
        <v>30.101773833552258</v>
      </c>
      <c r="EZ35" s="98">
        <f>+EB35</f>
        <v>49213</v>
      </c>
      <c r="FA35" s="98">
        <f>+EC35</f>
        <v>55730</v>
      </c>
      <c r="FB35" s="98">
        <f>+ED35</f>
        <v>104943</v>
      </c>
      <c r="FC35" s="101">
        <v>12117</v>
      </c>
      <c r="FD35" s="101">
        <v>15930</v>
      </c>
      <c r="FE35" s="98">
        <f>FC35+FD35</f>
        <v>28047</v>
      </c>
      <c r="FF35" s="100">
        <f>+FC35*100/EZ35</f>
        <v>24.621543088208401</v>
      </c>
      <c r="FG35" s="100">
        <f>+FD35*100/FA35</f>
        <v>28.58424546922663</v>
      </c>
      <c r="FH35" s="100">
        <f>+FE35*100/FB35</f>
        <v>26.725936937194476</v>
      </c>
    </row>
    <row r="36" spans="1:164" ht="27" customHeight="1">
      <c r="A36" s="94">
        <v>27</v>
      </c>
      <c r="B36" s="118" t="s">
        <v>162</v>
      </c>
      <c r="C36" s="96">
        <v>257489</v>
      </c>
      <c r="D36" s="96">
        <v>193275</v>
      </c>
      <c r="E36" s="96">
        <f t="shared" si="182"/>
        <v>450764</v>
      </c>
      <c r="F36" s="96">
        <v>96315</v>
      </c>
      <c r="G36" s="96">
        <v>93686</v>
      </c>
      <c r="H36" s="96">
        <f t="shared" si="183"/>
        <v>190001</v>
      </c>
      <c r="I36" s="96">
        <v>35669</v>
      </c>
      <c r="J36" s="96">
        <v>23301</v>
      </c>
      <c r="K36" s="96">
        <f t="shared" si="443"/>
        <v>58970</v>
      </c>
      <c r="L36" s="97">
        <f t="shared" si="460"/>
        <v>131984</v>
      </c>
      <c r="M36" s="98">
        <f t="shared" si="461"/>
        <v>116987</v>
      </c>
      <c r="N36" s="98">
        <f t="shared" si="462"/>
        <v>248971</v>
      </c>
      <c r="O36" s="116">
        <f t="shared" si="187"/>
        <v>0.51258111997017353</v>
      </c>
      <c r="P36" s="116">
        <f t="shared" si="188"/>
        <v>0.60528780235415858</v>
      </c>
      <c r="Q36" s="116">
        <f t="shared" si="189"/>
        <v>0.55233115333078953</v>
      </c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12"/>
      <c r="AE36" s="112"/>
      <c r="AF36" s="112"/>
      <c r="AG36" s="98">
        <f t="shared" si="190"/>
        <v>257489</v>
      </c>
      <c r="AH36" s="98">
        <f t="shared" si="191"/>
        <v>193275</v>
      </c>
      <c r="AI36" s="98">
        <f t="shared" si="191"/>
        <v>450764</v>
      </c>
      <c r="AJ36" s="98">
        <f t="shared" si="193"/>
        <v>96315</v>
      </c>
      <c r="AK36" s="98">
        <f t="shared" si="194"/>
        <v>93686</v>
      </c>
      <c r="AL36" s="98">
        <f t="shared" si="194"/>
        <v>190001</v>
      </c>
      <c r="AM36" s="98">
        <f t="shared" si="447"/>
        <v>35669</v>
      </c>
      <c r="AN36" s="98">
        <f>J36+Y36</f>
        <v>23301</v>
      </c>
      <c r="AO36" s="98">
        <f t="shared" si="265"/>
        <v>58970</v>
      </c>
      <c r="AP36" s="98">
        <f t="shared" si="195"/>
        <v>131984</v>
      </c>
      <c r="AQ36" s="98">
        <f t="shared" si="196"/>
        <v>116987</v>
      </c>
      <c r="AR36" s="98">
        <f t="shared" si="196"/>
        <v>248971</v>
      </c>
      <c r="AS36" s="116">
        <f t="shared" si="197"/>
        <v>0.51258111997017353</v>
      </c>
      <c r="AT36" s="116">
        <f t="shared" si="198"/>
        <v>0.60528780235415858</v>
      </c>
      <c r="AU36" s="116">
        <f t="shared" si="199"/>
        <v>0.55233115333078953</v>
      </c>
      <c r="AV36" s="99">
        <v>92620</v>
      </c>
      <c r="AW36" s="99">
        <v>78800</v>
      </c>
      <c r="AX36" s="99">
        <f t="shared" si="200"/>
        <v>171420</v>
      </c>
      <c r="AY36" s="99">
        <v>33029</v>
      </c>
      <c r="AZ36" s="99">
        <v>36042</v>
      </c>
      <c r="BA36" s="99">
        <f t="shared" si="201"/>
        <v>69071</v>
      </c>
      <c r="BB36" s="99">
        <v>7854</v>
      </c>
      <c r="BC36" s="99">
        <v>6182</v>
      </c>
      <c r="BD36" s="99">
        <f t="shared" si="448"/>
        <v>14036</v>
      </c>
      <c r="BE36" s="99">
        <f t="shared" si="202"/>
        <v>40883</v>
      </c>
      <c r="BF36" s="99">
        <f t="shared" si="203"/>
        <v>42224</v>
      </c>
      <c r="BG36" s="99">
        <f t="shared" si="203"/>
        <v>83107</v>
      </c>
      <c r="BH36" s="116">
        <f t="shared" si="205"/>
        <v>0.44140574389980564</v>
      </c>
      <c r="BI36" s="116">
        <f t="shared" si="206"/>
        <v>0.53583756345177669</v>
      </c>
      <c r="BJ36" s="116">
        <f t="shared" si="207"/>
        <v>0.48481507408703767</v>
      </c>
      <c r="BK36" s="111"/>
      <c r="BL36" s="111"/>
      <c r="BM36" s="103"/>
      <c r="BN36" s="104"/>
      <c r="BO36" s="104"/>
      <c r="BP36" s="104"/>
      <c r="BQ36" s="104"/>
      <c r="BR36" s="104"/>
      <c r="BS36" s="104"/>
      <c r="BT36" s="104"/>
      <c r="BU36" s="104"/>
      <c r="BV36" s="104"/>
      <c r="BW36" s="112"/>
      <c r="BX36" s="112"/>
      <c r="BY36" s="112"/>
      <c r="BZ36" s="98">
        <f t="shared" si="463"/>
        <v>92620</v>
      </c>
      <c r="CA36" s="98">
        <f t="shared" si="464"/>
        <v>78800</v>
      </c>
      <c r="CB36" s="98">
        <f t="shared" si="465"/>
        <v>171420</v>
      </c>
      <c r="CC36" s="98">
        <f t="shared" si="211"/>
        <v>33029</v>
      </c>
      <c r="CD36" s="98">
        <f t="shared" si="212"/>
        <v>36042</v>
      </c>
      <c r="CE36" s="98">
        <f t="shared" si="213"/>
        <v>69071</v>
      </c>
      <c r="CF36" s="98">
        <f t="shared" si="449"/>
        <v>7854</v>
      </c>
      <c r="CG36" s="98">
        <f t="shared" si="450"/>
        <v>6182</v>
      </c>
      <c r="CH36" s="98">
        <f t="shared" si="451"/>
        <v>14036</v>
      </c>
      <c r="CI36" s="98">
        <f t="shared" si="516"/>
        <v>40883</v>
      </c>
      <c r="CJ36" s="98">
        <f t="shared" si="517"/>
        <v>42224</v>
      </c>
      <c r="CK36" s="98">
        <f t="shared" si="518"/>
        <v>83107</v>
      </c>
      <c r="CL36" s="116">
        <f t="shared" si="454"/>
        <v>0.44140574389980564</v>
      </c>
      <c r="CM36" s="116">
        <f t="shared" si="218"/>
        <v>0.53583756345177669</v>
      </c>
      <c r="CN36" s="116">
        <f t="shared" si="219"/>
        <v>0.48481507408703767</v>
      </c>
      <c r="CO36" s="99">
        <v>34</v>
      </c>
      <c r="CP36" s="99">
        <v>29</v>
      </c>
      <c r="CQ36" s="99">
        <f t="shared" si="220"/>
        <v>63</v>
      </c>
      <c r="CR36" s="99">
        <v>21</v>
      </c>
      <c r="CS36" s="99">
        <v>15</v>
      </c>
      <c r="CT36" s="99">
        <f t="shared" si="221"/>
        <v>36</v>
      </c>
      <c r="CU36" s="99">
        <v>2</v>
      </c>
      <c r="CV36" s="99">
        <v>4</v>
      </c>
      <c r="CW36" s="99">
        <f t="shared" si="455"/>
        <v>6</v>
      </c>
      <c r="CX36" s="99">
        <f t="shared" si="222"/>
        <v>23</v>
      </c>
      <c r="CY36" s="99">
        <f t="shared" si="223"/>
        <v>19</v>
      </c>
      <c r="CZ36" s="99">
        <f t="shared" si="223"/>
        <v>42</v>
      </c>
      <c r="DA36" s="116">
        <f t="shared" si="273"/>
        <v>0.67647058823529416</v>
      </c>
      <c r="DB36" s="116">
        <f t="shared" si="225"/>
        <v>0.65517241379310343</v>
      </c>
      <c r="DC36" s="116">
        <f t="shared" si="226"/>
        <v>0.66666666666666663</v>
      </c>
      <c r="DD36" s="111"/>
      <c r="DE36" s="111"/>
      <c r="DF36" s="103"/>
      <c r="DG36" s="104"/>
      <c r="DH36" s="104"/>
      <c r="DI36" s="104"/>
      <c r="DJ36" s="104"/>
      <c r="DK36" s="104"/>
      <c r="DL36" s="104"/>
      <c r="DM36" s="104"/>
      <c r="DN36" s="104"/>
      <c r="DO36" s="104"/>
      <c r="DP36" s="112"/>
      <c r="DQ36" s="112"/>
      <c r="DR36" s="112"/>
      <c r="DS36" s="98">
        <f t="shared" si="227"/>
        <v>34</v>
      </c>
      <c r="DT36" s="98">
        <f t="shared" si="228"/>
        <v>29</v>
      </c>
      <c r="DU36" s="98">
        <f t="shared" si="229"/>
        <v>63</v>
      </c>
      <c r="DV36" s="98">
        <f t="shared" si="230"/>
        <v>21</v>
      </c>
      <c r="DW36" s="98">
        <f t="shared" si="231"/>
        <v>15</v>
      </c>
      <c r="DX36" s="98">
        <f t="shared" si="232"/>
        <v>36</v>
      </c>
      <c r="DY36" s="98">
        <f t="shared" si="456"/>
        <v>2</v>
      </c>
      <c r="DZ36" s="98">
        <f t="shared" si="457"/>
        <v>4</v>
      </c>
      <c r="EA36" s="98">
        <f t="shared" si="458"/>
        <v>6</v>
      </c>
      <c r="EB36" s="98">
        <f t="shared" si="233"/>
        <v>23</v>
      </c>
      <c r="EC36" s="98">
        <f t="shared" si="234"/>
        <v>19</v>
      </c>
      <c r="ED36" s="98">
        <f t="shared" si="235"/>
        <v>42</v>
      </c>
      <c r="EE36" s="116">
        <f t="shared" si="459"/>
        <v>0.67647058823529416</v>
      </c>
      <c r="EF36" s="116">
        <f t="shared" si="236"/>
        <v>0.65517241379310343</v>
      </c>
      <c r="EG36" s="116">
        <f t="shared" si="237"/>
        <v>0.66666666666666663</v>
      </c>
      <c r="EH36" s="98">
        <f t="shared" si="238"/>
        <v>131984</v>
      </c>
      <c r="EI36" s="98">
        <f t="shared" si="239"/>
        <v>116987</v>
      </c>
      <c r="EJ36" s="98">
        <f t="shared" si="239"/>
        <v>248971</v>
      </c>
      <c r="EK36" s="101">
        <v>92147</v>
      </c>
      <c r="EL36" s="101">
        <v>98190</v>
      </c>
      <c r="EM36" s="98">
        <f t="shared" si="241"/>
        <v>190337</v>
      </c>
      <c r="EN36" s="100">
        <f t="shared" si="470"/>
        <v>69.816795975269727</v>
      </c>
      <c r="EO36" s="100">
        <f t="shared" si="471"/>
        <v>83.932402745604207</v>
      </c>
      <c r="EP36" s="100">
        <f t="shared" si="472"/>
        <v>76.449466002064497</v>
      </c>
      <c r="EQ36" s="98">
        <f t="shared" si="245"/>
        <v>40883</v>
      </c>
      <c r="ER36" s="98">
        <f t="shared" si="246"/>
        <v>42224</v>
      </c>
      <c r="ES36" s="98">
        <f t="shared" si="246"/>
        <v>83107</v>
      </c>
      <c r="ET36" s="101">
        <v>26097</v>
      </c>
      <c r="EU36" s="101">
        <v>33745</v>
      </c>
      <c r="EV36" s="98">
        <f t="shared" si="248"/>
        <v>59842</v>
      </c>
      <c r="EW36" s="100">
        <f t="shared" si="473"/>
        <v>63.833378176748283</v>
      </c>
      <c r="EX36" s="100">
        <f t="shared" si="474"/>
        <v>79.919003410382714</v>
      </c>
      <c r="EY36" s="100">
        <f t="shared" si="474"/>
        <v>72.005968209657425</v>
      </c>
      <c r="EZ36" s="98">
        <f>+EB36</f>
        <v>23</v>
      </c>
      <c r="FA36" s="98">
        <f t="shared" si="253"/>
        <v>19</v>
      </c>
      <c r="FB36" s="98">
        <f t="shared" si="253"/>
        <v>42</v>
      </c>
      <c r="FC36" s="101">
        <v>18</v>
      </c>
      <c r="FD36" s="101">
        <v>17</v>
      </c>
      <c r="FE36" s="98">
        <f t="shared" si="255"/>
        <v>35</v>
      </c>
      <c r="FF36" s="100">
        <f t="shared" si="475"/>
        <v>78.260869565217391</v>
      </c>
      <c r="FG36" s="100">
        <f t="shared" si="476"/>
        <v>89.473684210526315</v>
      </c>
      <c r="FH36" s="100">
        <f t="shared" si="477"/>
        <v>83.333333333333329</v>
      </c>
    </row>
    <row r="37" spans="1:164" ht="27" customHeight="1">
      <c r="A37" s="94">
        <v>28</v>
      </c>
      <c r="B37" s="118" t="s">
        <v>212</v>
      </c>
      <c r="C37" s="96">
        <v>608997</v>
      </c>
      <c r="D37" s="96">
        <v>458682</v>
      </c>
      <c r="E37" s="96">
        <f>C37+D37</f>
        <v>1067679</v>
      </c>
      <c r="F37" s="96">
        <v>483444</v>
      </c>
      <c r="G37" s="96">
        <v>363909</v>
      </c>
      <c r="H37" s="96">
        <f>F37+G37</f>
        <v>847353</v>
      </c>
      <c r="I37" s="96">
        <v>11856</v>
      </c>
      <c r="J37" s="96">
        <v>11165</v>
      </c>
      <c r="K37" s="96">
        <f>I37+J37</f>
        <v>23021</v>
      </c>
      <c r="L37" s="97">
        <f>F37+I37</f>
        <v>495300</v>
      </c>
      <c r="M37" s="98">
        <f t="shared" ref="M37:N37" si="537">G37+J37</f>
        <v>375074</v>
      </c>
      <c r="N37" s="98">
        <f t="shared" si="537"/>
        <v>870374</v>
      </c>
      <c r="O37" s="116">
        <f>L37/C37</f>
        <v>0.81330449903694102</v>
      </c>
      <c r="P37" s="116">
        <f t="shared" ref="P37:Q37" si="538">M37/D37</f>
        <v>0.81772120990141317</v>
      </c>
      <c r="Q37" s="116">
        <f t="shared" si="538"/>
        <v>0.81520194740179397</v>
      </c>
      <c r="R37" s="98">
        <v>2935</v>
      </c>
      <c r="S37" s="98">
        <v>2482</v>
      </c>
      <c r="T37" s="98">
        <f>R37+S37</f>
        <v>5417</v>
      </c>
      <c r="U37" s="98">
        <v>540</v>
      </c>
      <c r="V37" s="98">
        <v>335</v>
      </c>
      <c r="W37" s="98">
        <f>U37+V37</f>
        <v>875</v>
      </c>
      <c r="X37" s="98">
        <v>47</v>
      </c>
      <c r="Y37" s="98">
        <v>83</v>
      </c>
      <c r="Z37" s="98">
        <f>X37+Y37</f>
        <v>130</v>
      </c>
      <c r="AA37" s="98">
        <f>U37+X37</f>
        <v>587</v>
      </c>
      <c r="AB37" s="98">
        <f>V37+Y37</f>
        <v>418</v>
      </c>
      <c r="AC37" s="98">
        <f>W37+Z37</f>
        <v>1005</v>
      </c>
      <c r="AD37" s="116">
        <f>AA37/R37</f>
        <v>0.2</v>
      </c>
      <c r="AE37" s="116">
        <f>AB37/S37</f>
        <v>0.16841257050765512</v>
      </c>
      <c r="AF37" s="116">
        <f>AC37/T37</f>
        <v>0.18552704448956986</v>
      </c>
      <c r="AG37" s="98">
        <f t="shared" ref="AG37:AM37" si="539">C37+R37</f>
        <v>611932</v>
      </c>
      <c r="AH37" s="98">
        <f t="shared" si="539"/>
        <v>461164</v>
      </c>
      <c r="AI37" s="98">
        <f t="shared" si="539"/>
        <v>1073096</v>
      </c>
      <c r="AJ37" s="98">
        <f t="shared" si="539"/>
        <v>483984</v>
      </c>
      <c r="AK37" s="98">
        <f t="shared" si="539"/>
        <v>364244</v>
      </c>
      <c r="AL37" s="98">
        <f t="shared" si="539"/>
        <v>848228</v>
      </c>
      <c r="AM37" s="98">
        <f t="shared" si="539"/>
        <v>11903</v>
      </c>
      <c r="AN37" s="98">
        <f>J37+Y37</f>
        <v>11248</v>
      </c>
      <c r="AO37" s="98">
        <f>K37+Z37</f>
        <v>23151</v>
      </c>
      <c r="AP37" s="98">
        <f>L37+AA37</f>
        <v>495887</v>
      </c>
      <c r="AQ37" s="98">
        <f>M37+AB37</f>
        <v>375492</v>
      </c>
      <c r="AR37" s="98">
        <f>N37+AC37</f>
        <v>871379</v>
      </c>
      <c r="AS37" s="116">
        <f>AP37/AG37</f>
        <v>0.81036291614100908</v>
      </c>
      <c r="AT37" s="116">
        <f t="shared" ref="AT37" si="540">AQ37/AH37</f>
        <v>0.81422660918892198</v>
      </c>
      <c r="AU37" s="116">
        <f>AR37/AI37</f>
        <v>0.81202334180725677</v>
      </c>
      <c r="AV37" s="99">
        <v>113695</v>
      </c>
      <c r="AW37" s="99">
        <v>86041</v>
      </c>
      <c r="AX37" s="99">
        <f>+AV37+AW37</f>
        <v>199736</v>
      </c>
      <c r="AY37" s="99">
        <v>86499</v>
      </c>
      <c r="AZ37" s="99">
        <v>64034</v>
      </c>
      <c r="BA37" s="99">
        <f>+AY37+AZ37</f>
        <v>150533</v>
      </c>
      <c r="BB37" s="99">
        <v>2541</v>
      </c>
      <c r="BC37" s="99">
        <v>2559</v>
      </c>
      <c r="BD37" s="99">
        <f>+BB37+BC37</f>
        <v>5100</v>
      </c>
      <c r="BE37" s="99">
        <f>+AY37+BB37</f>
        <v>89040</v>
      </c>
      <c r="BF37" s="99">
        <f>+AZ37+BC37</f>
        <v>66593</v>
      </c>
      <c r="BG37" s="99">
        <f>+BA37+BD37</f>
        <v>155633</v>
      </c>
      <c r="BH37" s="116">
        <f>BE37/AV37</f>
        <v>0.7831478956858261</v>
      </c>
      <c r="BI37" s="116">
        <f t="shared" ref="BI37:BJ37" si="541">BF37/AW37</f>
        <v>0.77396822445113378</v>
      </c>
      <c r="BJ37" s="116">
        <f t="shared" si="541"/>
        <v>0.77919353546681625</v>
      </c>
      <c r="BK37" s="98">
        <v>590</v>
      </c>
      <c r="BL37" s="98">
        <v>493</v>
      </c>
      <c r="BM37" s="98">
        <f>BK37+BL37</f>
        <v>1083</v>
      </c>
      <c r="BN37" s="99">
        <v>59</v>
      </c>
      <c r="BO37" s="99">
        <v>35</v>
      </c>
      <c r="BP37" s="99">
        <f>BN37+BO37</f>
        <v>94</v>
      </c>
      <c r="BQ37" s="99">
        <v>8</v>
      </c>
      <c r="BR37" s="99">
        <v>15</v>
      </c>
      <c r="BS37" s="99">
        <f>BQ37+BR37</f>
        <v>23</v>
      </c>
      <c r="BT37" s="99">
        <f>+BN37+BQ37</f>
        <v>67</v>
      </c>
      <c r="BU37" s="99">
        <f>+BO37+BR37</f>
        <v>50</v>
      </c>
      <c r="BV37" s="99">
        <f>+BP37+BS37</f>
        <v>117</v>
      </c>
      <c r="BW37" s="116">
        <f>BT37/BK37</f>
        <v>0.11355932203389831</v>
      </c>
      <c r="BX37" s="116">
        <f t="shared" ref="BX37:BY37" si="542">BU37/BL37</f>
        <v>0.10141987829614604</v>
      </c>
      <c r="BY37" s="116">
        <f t="shared" si="542"/>
        <v>0.10803324099722991</v>
      </c>
      <c r="BZ37" s="98">
        <f t="shared" ref="BZ37:CK37" si="543">AV37+BK37</f>
        <v>114285</v>
      </c>
      <c r="CA37" s="98">
        <f t="shared" si="543"/>
        <v>86534</v>
      </c>
      <c r="CB37" s="98">
        <f t="shared" si="543"/>
        <v>200819</v>
      </c>
      <c r="CC37" s="98">
        <f t="shared" si="543"/>
        <v>86558</v>
      </c>
      <c r="CD37" s="98">
        <f t="shared" si="543"/>
        <v>64069</v>
      </c>
      <c r="CE37" s="98">
        <f t="shared" si="543"/>
        <v>150627</v>
      </c>
      <c r="CF37" s="98">
        <f t="shared" si="543"/>
        <v>2549</v>
      </c>
      <c r="CG37" s="98">
        <f t="shared" si="543"/>
        <v>2574</v>
      </c>
      <c r="CH37" s="98">
        <f t="shared" si="543"/>
        <v>5123</v>
      </c>
      <c r="CI37" s="98">
        <f t="shared" si="543"/>
        <v>89107</v>
      </c>
      <c r="CJ37" s="98">
        <f t="shared" si="543"/>
        <v>66643</v>
      </c>
      <c r="CK37" s="98">
        <f t="shared" si="543"/>
        <v>155750</v>
      </c>
      <c r="CL37" s="116">
        <f>CI37/BZ37</f>
        <v>0.77969112306951915</v>
      </c>
      <c r="CM37" s="116">
        <f>CJ37/CA37</f>
        <v>0.77013659370883125</v>
      </c>
      <c r="CN37" s="116">
        <f>CK37/CB37</f>
        <v>0.77557402437020406</v>
      </c>
      <c r="CO37" s="99">
        <v>77675</v>
      </c>
      <c r="CP37" s="99">
        <v>67368</v>
      </c>
      <c r="CQ37" s="99">
        <f>+CO37+CP37</f>
        <v>145043</v>
      </c>
      <c r="CR37" s="99">
        <v>56225</v>
      </c>
      <c r="CS37" s="99">
        <v>46587</v>
      </c>
      <c r="CT37" s="99">
        <f>+CR37+CS37</f>
        <v>102812</v>
      </c>
      <c r="CU37" s="99">
        <v>1767</v>
      </c>
      <c r="CV37" s="99">
        <v>1820</v>
      </c>
      <c r="CW37" s="99">
        <f>+CU37+CV37</f>
        <v>3587</v>
      </c>
      <c r="CX37" s="99">
        <f>+CR37+CU37</f>
        <v>57992</v>
      </c>
      <c r="CY37" s="99">
        <f>+CS37+CV37</f>
        <v>48407</v>
      </c>
      <c r="CZ37" s="99">
        <f>+CT37+CW37</f>
        <v>106399</v>
      </c>
      <c r="DA37" s="116">
        <f>CX37/CO37</f>
        <v>0.74659800450595426</v>
      </c>
      <c r="DB37" s="116">
        <f t="shared" ref="DB37:DC37" si="544">CY37/CP37</f>
        <v>0.71854589716185724</v>
      </c>
      <c r="DC37" s="116">
        <f t="shared" si="544"/>
        <v>0.73356866584392211</v>
      </c>
      <c r="DD37" s="98">
        <v>158</v>
      </c>
      <c r="DE37" s="98">
        <v>135</v>
      </c>
      <c r="DF37" s="98">
        <f>DD37+DE37</f>
        <v>293</v>
      </c>
      <c r="DG37" s="99">
        <v>8</v>
      </c>
      <c r="DH37" s="99">
        <v>9</v>
      </c>
      <c r="DI37" s="99">
        <f>+DG37+DH37</f>
        <v>17</v>
      </c>
      <c r="DJ37" s="99">
        <v>3</v>
      </c>
      <c r="DK37" s="99">
        <v>3</v>
      </c>
      <c r="DL37" s="99">
        <f>DJ37+DK37</f>
        <v>6</v>
      </c>
      <c r="DM37" s="99">
        <f>+DG37+DJ37</f>
        <v>11</v>
      </c>
      <c r="DN37" s="99">
        <f>+DH37+DK37</f>
        <v>12</v>
      </c>
      <c r="DO37" s="99">
        <f>+DI37+DL37</f>
        <v>23</v>
      </c>
      <c r="DP37" s="116">
        <f>DM37/DD37</f>
        <v>6.9620253164556958E-2</v>
      </c>
      <c r="DQ37" s="116">
        <f>DN37/DE37</f>
        <v>8.8888888888888892E-2</v>
      </c>
      <c r="DR37" s="116">
        <f>DO37/DF37</f>
        <v>7.8498293515358364E-2</v>
      </c>
      <c r="DS37" s="98">
        <f t="shared" ref="DS37:ED37" si="545">CO37+DD37</f>
        <v>77833</v>
      </c>
      <c r="DT37" s="98">
        <f t="shared" si="545"/>
        <v>67503</v>
      </c>
      <c r="DU37" s="98">
        <f t="shared" si="545"/>
        <v>145336</v>
      </c>
      <c r="DV37" s="98">
        <f t="shared" si="545"/>
        <v>56233</v>
      </c>
      <c r="DW37" s="98">
        <f t="shared" si="545"/>
        <v>46596</v>
      </c>
      <c r="DX37" s="98">
        <f t="shared" si="545"/>
        <v>102829</v>
      </c>
      <c r="DY37" s="98">
        <f t="shared" si="545"/>
        <v>1770</v>
      </c>
      <c r="DZ37" s="98">
        <f t="shared" si="545"/>
        <v>1823</v>
      </c>
      <c r="EA37" s="98">
        <f t="shared" si="545"/>
        <v>3593</v>
      </c>
      <c r="EB37" s="98">
        <f t="shared" si="545"/>
        <v>58003</v>
      </c>
      <c r="EC37" s="98">
        <f t="shared" si="545"/>
        <v>48419</v>
      </c>
      <c r="ED37" s="98">
        <f t="shared" si="545"/>
        <v>106422</v>
      </c>
      <c r="EE37" s="116">
        <f>EB37/DS37</f>
        <v>0.74522374828157723</v>
      </c>
      <c r="EF37" s="116">
        <f>EC37/DT37</f>
        <v>0.7172866391123357</v>
      </c>
      <c r="EG37" s="116">
        <f>ED37/DU37</f>
        <v>0.73224803214619916</v>
      </c>
      <c r="EH37" s="98">
        <f>+AP37</f>
        <v>495887</v>
      </c>
      <c r="EI37" s="98">
        <f>+AQ37</f>
        <v>375492</v>
      </c>
      <c r="EJ37" s="98">
        <f>+AR37</f>
        <v>871379</v>
      </c>
      <c r="EK37" s="98">
        <v>177850</v>
      </c>
      <c r="EL37" s="98">
        <v>136661</v>
      </c>
      <c r="EM37" s="98">
        <f>EK37+EL37</f>
        <v>314511</v>
      </c>
      <c r="EN37" s="100">
        <f>+EK37*100/EH37</f>
        <v>35.865025701419881</v>
      </c>
      <c r="EO37" s="100">
        <f t="shared" ref="EO37:EP37" si="546">+EL37*100/EI37</f>
        <v>36.395182853429631</v>
      </c>
      <c r="EP37" s="100">
        <f t="shared" si="546"/>
        <v>36.093479415960218</v>
      </c>
      <c r="EQ37" s="98">
        <f>+CI37</f>
        <v>89107</v>
      </c>
      <c r="ER37" s="98">
        <f>+CJ37</f>
        <v>66643</v>
      </c>
      <c r="ES37" s="98">
        <f>+CK37</f>
        <v>155750</v>
      </c>
      <c r="ET37" s="98">
        <v>26127</v>
      </c>
      <c r="EU37" s="98">
        <v>18121</v>
      </c>
      <c r="EV37" s="98">
        <f>ET37+EU37</f>
        <v>44248</v>
      </c>
      <c r="EW37" s="100">
        <f>+ET37*100/EQ37</f>
        <v>29.32092877102809</v>
      </c>
      <c r="EX37" s="100">
        <f>+EU37*100/ER37</f>
        <v>27.191152859265038</v>
      </c>
      <c r="EY37" s="100">
        <f>+EV37*100/ES37</f>
        <v>28.409630818619583</v>
      </c>
      <c r="EZ37" s="98">
        <f>+EB37</f>
        <v>58003</v>
      </c>
      <c r="FA37" s="98">
        <f>+EC37</f>
        <v>48419</v>
      </c>
      <c r="FB37" s="98">
        <f>+ED37</f>
        <v>106422</v>
      </c>
      <c r="FC37" s="98">
        <v>14103</v>
      </c>
      <c r="FD37" s="98">
        <v>6372</v>
      </c>
      <c r="FE37" s="98">
        <f>FC37+FD37</f>
        <v>20475</v>
      </c>
      <c r="FF37" s="100">
        <f>+FC37*100/EZ37</f>
        <v>24.314259607261693</v>
      </c>
      <c r="FG37" s="100">
        <f t="shared" ref="FG37:FH37" si="547">+FD37*100/FA37</f>
        <v>13.16012309217456</v>
      </c>
      <c r="FH37" s="100">
        <f t="shared" si="547"/>
        <v>19.239442972317754</v>
      </c>
    </row>
    <row r="38" spans="1:164" ht="27" customHeight="1">
      <c r="A38" s="94">
        <v>29</v>
      </c>
      <c r="B38" s="118" t="s">
        <v>164</v>
      </c>
      <c r="C38" s="75">
        <v>490870</v>
      </c>
      <c r="D38" s="75">
        <v>491227</v>
      </c>
      <c r="E38" s="75">
        <f t="shared" si="182"/>
        <v>982097</v>
      </c>
      <c r="F38" s="75">
        <v>454212</v>
      </c>
      <c r="G38" s="75">
        <v>472499</v>
      </c>
      <c r="H38" s="75">
        <f t="shared" si="183"/>
        <v>926711</v>
      </c>
      <c r="I38" s="105"/>
      <c r="J38" s="105"/>
      <c r="K38" s="105"/>
      <c r="L38" s="97">
        <f t="shared" si="460"/>
        <v>454212</v>
      </c>
      <c r="M38" s="98">
        <f t="shared" si="461"/>
        <v>472499</v>
      </c>
      <c r="N38" s="98">
        <f t="shared" si="462"/>
        <v>926711</v>
      </c>
      <c r="O38" s="117">
        <f t="shared" si="187"/>
        <v>0.92532034958339271</v>
      </c>
      <c r="P38" s="117">
        <f t="shared" si="188"/>
        <v>0.96187505979923738</v>
      </c>
      <c r="Q38" s="117">
        <f t="shared" si="189"/>
        <v>0.94360434865395171</v>
      </c>
      <c r="R38" s="28">
        <v>31867</v>
      </c>
      <c r="S38" s="28">
        <v>11940</v>
      </c>
      <c r="T38" s="28">
        <f t="shared" si="478"/>
        <v>43807</v>
      </c>
      <c r="U38" s="28">
        <v>7495</v>
      </c>
      <c r="V38" s="28">
        <v>4347</v>
      </c>
      <c r="W38" s="28">
        <f t="shared" si="258"/>
        <v>11842</v>
      </c>
      <c r="X38" s="103"/>
      <c r="Y38" s="103"/>
      <c r="Z38" s="103"/>
      <c r="AA38" s="28">
        <f t="shared" si="259"/>
        <v>7495</v>
      </c>
      <c r="AB38" s="28">
        <f t="shared" si="260"/>
        <v>4347</v>
      </c>
      <c r="AC38" s="28">
        <f t="shared" si="261"/>
        <v>11842</v>
      </c>
      <c r="AD38" s="117">
        <f t="shared" ref="AD38:AD39" si="548">AA38/R38</f>
        <v>0.2351962845576929</v>
      </c>
      <c r="AE38" s="117">
        <f t="shared" ref="AE38:AE39" si="549">AB38/S38</f>
        <v>0.36407035175879399</v>
      </c>
      <c r="AF38" s="117">
        <f t="shared" si="481"/>
        <v>0.27032209464240875</v>
      </c>
      <c r="AG38" s="28">
        <f t="shared" si="190"/>
        <v>522737</v>
      </c>
      <c r="AH38" s="28">
        <f t="shared" si="191"/>
        <v>503167</v>
      </c>
      <c r="AI38" s="28">
        <f t="shared" si="191"/>
        <v>1025904</v>
      </c>
      <c r="AJ38" s="28">
        <f t="shared" si="193"/>
        <v>461707</v>
      </c>
      <c r="AK38" s="28">
        <f t="shared" si="194"/>
        <v>476846</v>
      </c>
      <c r="AL38" s="28">
        <f t="shared" si="194"/>
        <v>938553</v>
      </c>
      <c r="AM38" s="106"/>
      <c r="AN38" s="106"/>
      <c r="AO38" s="106"/>
      <c r="AP38" s="28">
        <f t="shared" si="195"/>
        <v>461707</v>
      </c>
      <c r="AQ38" s="28">
        <f t="shared" si="196"/>
        <v>476846</v>
      </c>
      <c r="AR38" s="28">
        <f t="shared" si="196"/>
        <v>938553</v>
      </c>
      <c r="AS38" s="117">
        <f t="shared" si="197"/>
        <v>0.88324912910316278</v>
      </c>
      <c r="AT38" s="117">
        <f t="shared" si="198"/>
        <v>0.94768933574737613</v>
      </c>
      <c r="AU38" s="117">
        <f t="shared" si="199"/>
        <v>0.9148546062789501</v>
      </c>
      <c r="AV38" s="92">
        <v>117953</v>
      </c>
      <c r="AW38" s="92">
        <v>123166</v>
      </c>
      <c r="AX38" s="92">
        <f t="shared" si="200"/>
        <v>241119</v>
      </c>
      <c r="AY38" s="92">
        <v>103904</v>
      </c>
      <c r="AZ38" s="92">
        <v>114858</v>
      </c>
      <c r="BA38" s="92">
        <f t="shared" si="201"/>
        <v>218762</v>
      </c>
      <c r="BB38" s="105"/>
      <c r="BC38" s="105"/>
      <c r="BD38" s="105"/>
      <c r="BE38" s="92">
        <f t="shared" si="202"/>
        <v>103904</v>
      </c>
      <c r="BF38" s="92">
        <f t="shared" si="203"/>
        <v>114858</v>
      </c>
      <c r="BG38" s="92">
        <f t="shared" si="203"/>
        <v>218762</v>
      </c>
      <c r="BH38" s="117">
        <f>BE38/AV38</f>
        <v>0.88089323713682566</v>
      </c>
      <c r="BI38" s="117">
        <f t="shared" si="206"/>
        <v>0.93254631960118861</v>
      </c>
      <c r="BJ38" s="117">
        <f t="shared" si="207"/>
        <v>0.90727814896378967</v>
      </c>
      <c r="BK38" s="28">
        <v>10394</v>
      </c>
      <c r="BL38" s="28">
        <v>3967</v>
      </c>
      <c r="BM38" s="28">
        <f t="shared" si="266"/>
        <v>14361</v>
      </c>
      <c r="BN38" s="92">
        <v>2183</v>
      </c>
      <c r="BO38" s="92">
        <v>1211</v>
      </c>
      <c r="BP38" s="92">
        <f t="shared" si="267"/>
        <v>3394</v>
      </c>
      <c r="BQ38" s="105"/>
      <c r="BR38" s="105"/>
      <c r="BS38" s="105"/>
      <c r="BT38" s="92">
        <f>+BN38+BQ38</f>
        <v>2183</v>
      </c>
      <c r="BU38" s="92">
        <f t="shared" si="268"/>
        <v>1211</v>
      </c>
      <c r="BV38" s="92">
        <f t="shared" si="268"/>
        <v>3394</v>
      </c>
      <c r="BW38" s="117">
        <f t="shared" si="270"/>
        <v>0.21002501443140273</v>
      </c>
      <c r="BX38" s="117">
        <f t="shared" si="271"/>
        <v>0.30526846483488784</v>
      </c>
      <c r="BY38" s="117">
        <f t="shared" si="272"/>
        <v>0.23633451709490982</v>
      </c>
      <c r="BZ38" s="98">
        <f t="shared" ref="BZ38" si="550">AV38+BK38</f>
        <v>128347</v>
      </c>
      <c r="CA38" s="98">
        <f t="shared" ref="CA38" si="551">AW38+BL38</f>
        <v>127133</v>
      </c>
      <c r="CB38" s="98">
        <f t="shared" ref="CB38" si="552">AX38+BM38</f>
        <v>255480</v>
      </c>
      <c r="CC38" s="28">
        <f t="shared" si="211"/>
        <v>106087</v>
      </c>
      <c r="CD38" s="28">
        <f t="shared" si="212"/>
        <v>116069</v>
      </c>
      <c r="CE38" s="28">
        <f t="shared" si="213"/>
        <v>222156</v>
      </c>
      <c r="CF38" s="106"/>
      <c r="CG38" s="106"/>
      <c r="CH38" s="106"/>
      <c r="CI38" s="28">
        <f t="shared" ref="CI38" si="553">BE38+BT38</f>
        <v>106087</v>
      </c>
      <c r="CJ38" s="28">
        <f t="shared" si="452"/>
        <v>116069</v>
      </c>
      <c r="CK38" s="28">
        <f t="shared" si="453"/>
        <v>222156</v>
      </c>
      <c r="CL38" s="117">
        <f t="shared" si="454"/>
        <v>0.82656392436130177</v>
      </c>
      <c r="CM38" s="117">
        <f t="shared" si="218"/>
        <v>0.91297302824601012</v>
      </c>
      <c r="CN38" s="117">
        <f t="shared" si="219"/>
        <v>0.86956317519962423</v>
      </c>
      <c r="CO38" s="92">
        <v>4798</v>
      </c>
      <c r="CP38" s="92">
        <v>4849</v>
      </c>
      <c r="CQ38" s="92">
        <f t="shared" si="220"/>
        <v>9647</v>
      </c>
      <c r="CR38" s="92">
        <v>4200</v>
      </c>
      <c r="CS38" s="92">
        <v>4357</v>
      </c>
      <c r="CT38" s="92">
        <f t="shared" si="221"/>
        <v>8557</v>
      </c>
      <c r="CU38" s="105"/>
      <c r="CV38" s="105"/>
      <c r="CW38" s="105"/>
      <c r="CX38" s="92">
        <f t="shared" si="222"/>
        <v>4200</v>
      </c>
      <c r="CY38" s="92">
        <f t="shared" si="223"/>
        <v>4357</v>
      </c>
      <c r="CZ38" s="92">
        <f t="shared" si="223"/>
        <v>8557</v>
      </c>
      <c r="DA38" s="117">
        <f t="shared" si="273"/>
        <v>0.87536473530637771</v>
      </c>
      <c r="DB38" s="117">
        <f t="shared" si="225"/>
        <v>0.89853578057331407</v>
      </c>
      <c r="DC38" s="117">
        <f t="shared" si="226"/>
        <v>0.88701150616772051</v>
      </c>
      <c r="DD38" s="28">
        <v>327</v>
      </c>
      <c r="DE38" s="28">
        <v>150</v>
      </c>
      <c r="DF38" s="28">
        <f t="shared" si="274"/>
        <v>477</v>
      </c>
      <c r="DG38" s="92">
        <v>69</v>
      </c>
      <c r="DH38" s="92">
        <v>46</v>
      </c>
      <c r="DI38" s="92">
        <f t="shared" si="275"/>
        <v>115</v>
      </c>
      <c r="DJ38" s="105"/>
      <c r="DK38" s="105"/>
      <c r="DL38" s="105"/>
      <c r="DM38" s="92">
        <f t="shared" si="276"/>
        <v>69</v>
      </c>
      <c r="DN38" s="92">
        <f t="shared" si="277"/>
        <v>46</v>
      </c>
      <c r="DO38" s="92">
        <f t="shared" si="277"/>
        <v>115</v>
      </c>
      <c r="DP38" s="116">
        <f t="shared" si="279"/>
        <v>0.21100917431192662</v>
      </c>
      <c r="DQ38" s="116">
        <f t="shared" si="280"/>
        <v>0.30666666666666664</v>
      </c>
      <c r="DR38" s="116">
        <f t="shared" si="281"/>
        <v>0.24109014675052412</v>
      </c>
      <c r="DS38" s="98">
        <f t="shared" si="227"/>
        <v>5125</v>
      </c>
      <c r="DT38" s="98">
        <f t="shared" si="228"/>
        <v>4999</v>
      </c>
      <c r="DU38" s="28">
        <f t="shared" si="229"/>
        <v>10124</v>
      </c>
      <c r="DV38" s="28">
        <f t="shared" si="230"/>
        <v>4269</v>
      </c>
      <c r="DW38" s="28">
        <f t="shared" si="231"/>
        <v>4403</v>
      </c>
      <c r="DX38" s="28">
        <f t="shared" si="232"/>
        <v>8672</v>
      </c>
      <c r="DY38" s="106"/>
      <c r="DZ38" s="106"/>
      <c r="EA38" s="106"/>
      <c r="EB38" s="28">
        <f t="shared" si="233"/>
        <v>4269</v>
      </c>
      <c r="EC38" s="28">
        <f t="shared" si="234"/>
        <v>4403</v>
      </c>
      <c r="ED38" s="28">
        <f t="shared" si="235"/>
        <v>8672</v>
      </c>
      <c r="EE38" s="117">
        <f t="shared" si="459"/>
        <v>0.83297560975609752</v>
      </c>
      <c r="EF38" s="117">
        <f t="shared" si="236"/>
        <v>0.88077615523104624</v>
      </c>
      <c r="EG38" s="117">
        <f t="shared" si="237"/>
        <v>0.85657842749901225</v>
      </c>
      <c r="EH38" s="28">
        <f t="shared" si="238"/>
        <v>461707</v>
      </c>
      <c r="EI38" s="28">
        <f t="shared" si="239"/>
        <v>476846</v>
      </c>
      <c r="EJ38" s="28">
        <f t="shared" si="239"/>
        <v>938553</v>
      </c>
      <c r="EK38" s="28">
        <v>348603</v>
      </c>
      <c r="EL38" s="28">
        <v>406794</v>
      </c>
      <c r="EM38" s="28">
        <f t="shared" si="241"/>
        <v>755397</v>
      </c>
      <c r="EN38" s="100">
        <f t="shared" si="470"/>
        <v>75.503078792394305</v>
      </c>
      <c r="EO38" s="93">
        <f t="shared" si="471"/>
        <v>85.309303213196714</v>
      </c>
      <c r="EP38" s="93">
        <f t="shared" si="472"/>
        <v>80.485278934700546</v>
      </c>
      <c r="EQ38" s="28">
        <f t="shared" si="245"/>
        <v>106087</v>
      </c>
      <c r="ER38" s="28">
        <f t="shared" si="246"/>
        <v>116069</v>
      </c>
      <c r="ES38" s="28">
        <f t="shared" si="246"/>
        <v>222156</v>
      </c>
      <c r="ET38" s="28">
        <v>69963</v>
      </c>
      <c r="EU38" s="28">
        <v>89856</v>
      </c>
      <c r="EV38" s="28">
        <f t="shared" si="248"/>
        <v>159819</v>
      </c>
      <c r="EW38" s="93">
        <f t="shared" si="473"/>
        <v>65.948702480039969</v>
      </c>
      <c r="EX38" s="93">
        <f t="shared" si="474"/>
        <v>77.416019781336956</v>
      </c>
      <c r="EY38" s="93">
        <f t="shared" si="474"/>
        <v>71.939988116458707</v>
      </c>
      <c r="EZ38" s="28">
        <f t="shared" si="252"/>
        <v>4269</v>
      </c>
      <c r="FA38" s="28">
        <f t="shared" si="253"/>
        <v>4403</v>
      </c>
      <c r="FB38" s="28">
        <f t="shared" si="253"/>
        <v>8672</v>
      </c>
      <c r="FC38" s="28">
        <v>2751</v>
      </c>
      <c r="FD38" s="28">
        <v>3029</v>
      </c>
      <c r="FE38" s="28">
        <f t="shared" si="255"/>
        <v>5780</v>
      </c>
      <c r="FF38" s="93">
        <f t="shared" si="475"/>
        <v>64.441321152494723</v>
      </c>
      <c r="FG38" s="93">
        <f t="shared" si="476"/>
        <v>68.794004088121739</v>
      </c>
      <c r="FH38" s="93">
        <f t="shared" si="477"/>
        <v>66.651291512915122</v>
      </c>
    </row>
    <row r="39" spans="1:164" ht="27" customHeight="1">
      <c r="A39" s="94">
        <v>30</v>
      </c>
      <c r="B39" s="118" t="s">
        <v>165</v>
      </c>
      <c r="C39" s="75">
        <v>23837</v>
      </c>
      <c r="D39" s="75">
        <v>24516</v>
      </c>
      <c r="E39" s="75">
        <f t="shared" si="182"/>
        <v>48353</v>
      </c>
      <c r="F39" s="75">
        <v>14724</v>
      </c>
      <c r="G39" s="75">
        <v>14279</v>
      </c>
      <c r="H39" s="75">
        <f t="shared" si="183"/>
        <v>29003</v>
      </c>
      <c r="I39" s="105"/>
      <c r="J39" s="105"/>
      <c r="K39" s="105"/>
      <c r="L39" s="97">
        <f t="shared" si="460"/>
        <v>14724</v>
      </c>
      <c r="M39" s="98">
        <f t="shared" si="461"/>
        <v>14279</v>
      </c>
      <c r="N39" s="98">
        <f t="shared" si="462"/>
        <v>29003</v>
      </c>
      <c r="O39" s="117">
        <f t="shared" si="187"/>
        <v>0.61769517976255406</v>
      </c>
      <c r="P39" s="117">
        <f t="shared" si="188"/>
        <v>0.58243596018926413</v>
      </c>
      <c r="Q39" s="117">
        <f t="shared" si="189"/>
        <v>0.59981800508758509</v>
      </c>
      <c r="R39" s="28">
        <v>488</v>
      </c>
      <c r="S39" s="28">
        <v>533</v>
      </c>
      <c r="T39" s="28">
        <f t="shared" si="478"/>
        <v>1021</v>
      </c>
      <c r="U39" s="28">
        <v>98</v>
      </c>
      <c r="V39" s="28">
        <v>188</v>
      </c>
      <c r="W39" s="28">
        <f t="shared" si="258"/>
        <v>286</v>
      </c>
      <c r="X39" s="106"/>
      <c r="Y39" s="106"/>
      <c r="Z39" s="106"/>
      <c r="AA39" s="28">
        <f t="shared" si="259"/>
        <v>98</v>
      </c>
      <c r="AB39" s="28">
        <f t="shared" si="260"/>
        <v>188</v>
      </c>
      <c r="AC39" s="28">
        <f t="shared" si="261"/>
        <v>286</v>
      </c>
      <c r="AD39" s="117">
        <f t="shared" si="548"/>
        <v>0.20081967213114754</v>
      </c>
      <c r="AE39" s="117">
        <f t="shared" si="549"/>
        <v>0.3527204502814259</v>
      </c>
      <c r="AF39" s="117">
        <f t="shared" si="481"/>
        <v>0.2801175318315377</v>
      </c>
      <c r="AG39" s="28">
        <f t="shared" si="190"/>
        <v>24325</v>
      </c>
      <c r="AH39" s="28">
        <f t="shared" si="191"/>
        <v>25049</v>
      </c>
      <c r="AI39" s="28">
        <f t="shared" si="191"/>
        <v>49374</v>
      </c>
      <c r="AJ39" s="28">
        <f t="shared" si="193"/>
        <v>14822</v>
      </c>
      <c r="AK39" s="28">
        <f t="shared" si="194"/>
        <v>14467</v>
      </c>
      <c r="AL39" s="28">
        <f t="shared" si="194"/>
        <v>29289</v>
      </c>
      <c r="AM39" s="106"/>
      <c r="AN39" s="106"/>
      <c r="AO39" s="106"/>
      <c r="AP39" s="28">
        <f t="shared" si="195"/>
        <v>14822</v>
      </c>
      <c r="AQ39" s="28">
        <f t="shared" si="196"/>
        <v>14467</v>
      </c>
      <c r="AR39" s="28">
        <f t="shared" si="196"/>
        <v>29289</v>
      </c>
      <c r="AS39" s="117">
        <f t="shared" si="197"/>
        <v>0.60933196300102777</v>
      </c>
      <c r="AT39" s="117">
        <f t="shared" si="198"/>
        <v>0.57754800590841948</v>
      </c>
      <c r="AU39" s="117">
        <f t="shared" si="199"/>
        <v>0.59320695102685628</v>
      </c>
      <c r="AV39" s="92">
        <v>4644</v>
      </c>
      <c r="AW39" s="92">
        <v>4581</v>
      </c>
      <c r="AX39" s="92">
        <f t="shared" si="200"/>
        <v>9225</v>
      </c>
      <c r="AY39" s="92">
        <v>3091</v>
      </c>
      <c r="AZ39" s="92">
        <v>2989</v>
      </c>
      <c r="BA39" s="92">
        <f t="shared" si="201"/>
        <v>6080</v>
      </c>
      <c r="BB39" s="105"/>
      <c r="BC39" s="105"/>
      <c r="BD39" s="105"/>
      <c r="BE39" s="92">
        <f t="shared" si="202"/>
        <v>3091</v>
      </c>
      <c r="BF39" s="92">
        <f t="shared" si="203"/>
        <v>2989</v>
      </c>
      <c r="BG39" s="92">
        <f t="shared" si="203"/>
        <v>6080</v>
      </c>
      <c r="BH39" s="117">
        <f t="shared" si="205"/>
        <v>0.66559000861326445</v>
      </c>
      <c r="BI39" s="117">
        <f t="shared" si="206"/>
        <v>0.65247762497271333</v>
      </c>
      <c r="BJ39" s="117">
        <f t="shared" si="207"/>
        <v>0.65907859078590791</v>
      </c>
      <c r="BK39" s="28">
        <v>95</v>
      </c>
      <c r="BL39" s="28">
        <v>84</v>
      </c>
      <c r="BM39" s="28">
        <f t="shared" si="266"/>
        <v>179</v>
      </c>
      <c r="BN39" s="92">
        <v>16</v>
      </c>
      <c r="BO39" s="92">
        <v>36</v>
      </c>
      <c r="BP39" s="92">
        <f t="shared" si="267"/>
        <v>52</v>
      </c>
      <c r="BQ39" s="105"/>
      <c r="BR39" s="105"/>
      <c r="BS39" s="105"/>
      <c r="BT39" s="92">
        <f t="shared" si="482"/>
        <v>16</v>
      </c>
      <c r="BU39" s="92">
        <f t="shared" si="268"/>
        <v>36</v>
      </c>
      <c r="BV39" s="92">
        <f t="shared" si="268"/>
        <v>52</v>
      </c>
      <c r="BW39" s="117">
        <f t="shared" si="270"/>
        <v>0.16842105263157894</v>
      </c>
      <c r="BX39" s="117">
        <f t="shared" si="271"/>
        <v>0.42857142857142855</v>
      </c>
      <c r="BY39" s="117">
        <f t="shared" si="272"/>
        <v>0.29050279329608941</v>
      </c>
      <c r="BZ39" s="98">
        <f t="shared" ref="BZ39:BZ43" si="554">AV39+BK39</f>
        <v>4739</v>
      </c>
      <c r="CA39" s="98">
        <f t="shared" ref="CA39:CA43" si="555">AW39+BL39</f>
        <v>4665</v>
      </c>
      <c r="CB39" s="98">
        <f t="shared" ref="CB39:CB43" si="556">AX39+BM39</f>
        <v>9404</v>
      </c>
      <c r="CC39" s="28">
        <f t="shared" si="211"/>
        <v>3107</v>
      </c>
      <c r="CD39" s="28">
        <f t="shared" si="212"/>
        <v>3025</v>
      </c>
      <c r="CE39" s="28">
        <f t="shared" si="213"/>
        <v>6132</v>
      </c>
      <c r="CF39" s="106"/>
      <c r="CG39" s="106"/>
      <c r="CH39" s="106"/>
      <c r="CI39" s="28">
        <f t="shared" ref="CI39:CI43" si="557">BE39+BT39</f>
        <v>3107</v>
      </c>
      <c r="CJ39" s="28">
        <f t="shared" ref="CJ39:CJ43" si="558">BF39+BU39</f>
        <v>3025</v>
      </c>
      <c r="CK39" s="28">
        <f t="shared" ref="CK39:CK43" si="559">BG39+BV39</f>
        <v>6132</v>
      </c>
      <c r="CL39" s="117">
        <f t="shared" si="454"/>
        <v>0.65562354927199828</v>
      </c>
      <c r="CM39" s="117">
        <f t="shared" si="218"/>
        <v>0.64844587352625938</v>
      </c>
      <c r="CN39" s="117">
        <f t="shared" si="219"/>
        <v>0.65206295193534669</v>
      </c>
      <c r="CO39" s="92">
        <v>7905</v>
      </c>
      <c r="CP39" s="92">
        <v>7934</v>
      </c>
      <c r="CQ39" s="92">
        <f t="shared" si="220"/>
        <v>15839</v>
      </c>
      <c r="CR39" s="92">
        <v>3614</v>
      </c>
      <c r="CS39" s="92">
        <v>3023</v>
      </c>
      <c r="CT39" s="92">
        <f t="shared" si="221"/>
        <v>6637</v>
      </c>
      <c r="CU39" s="105"/>
      <c r="CV39" s="105"/>
      <c r="CW39" s="105"/>
      <c r="CX39" s="92">
        <f t="shared" si="222"/>
        <v>3614</v>
      </c>
      <c r="CY39" s="92">
        <f t="shared" si="223"/>
        <v>3023</v>
      </c>
      <c r="CZ39" s="92">
        <f t="shared" si="223"/>
        <v>6637</v>
      </c>
      <c r="DA39" s="117">
        <f t="shared" si="273"/>
        <v>0.45717900063251105</v>
      </c>
      <c r="DB39" s="117">
        <f t="shared" si="225"/>
        <v>0.38101840181497354</v>
      </c>
      <c r="DC39" s="117">
        <f t="shared" si="226"/>
        <v>0.41902897910221604</v>
      </c>
      <c r="DD39" s="28">
        <v>139</v>
      </c>
      <c r="DE39" s="28">
        <v>170</v>
      </c>
      <c r="DF39" s="28">
        <f t="shared" si="274"/>
        <v>309</v>
      </c>
      <c r="DG39" s="92">
        <v>29</v>
      </c>
      <c r="DH39" s="92">
        <v>40</v>
      </c>
      <c r="DI39" s="92">
        <f t="shared" si="275"/>
        <v>69</v>
      </c>
      <c r="DJ39" s="105"/>
      <c r="DK39" s="105"/>
      <c r="DL39" s="105"/>
      <c r="DM39" s="92">
        <f t="shared" si="276"/>
        <v>29</v>
      </c>
      <c r="DN39" s="92">
        <f t="shared" si="277"/>
        <v>40</v>
      </c>
      <c r="DO39" s="92">
        <f t="shared" si="277"/>
        <v>69</v>
      </c>
      <c r="DP39" s="116">
        <f t="shared" si="279"/>
        <v>0.20863309352517986</v>
      </c>
      <c r="DQ39" s="116">
        <f t="shared" si="280"/>
        <v>0.23529411764705882</v>
      </c>
      <c r="DR39" s="116">
        <f t="shared" si="281"/>
        <v>0.22330097087378642</v>
      </c>
      <c r="DS39" s="98">
        <f t="shared" si="227"/>
        <v>8044</v>
      </c>
      <c r="DT39" s="98">
        <f t="shared" si="228"/>
        <v>8104</v>
      </c>
      <c r="DU39" s="28">
        <f t="shared" si="229"/>
        <v>16148</v>
      </c>
      <c r="DV39" s="28">
        <f t="shared" si="230"/>
        <v>3643</v>
      </c>
      <c r="DW39" s="28">
        <f t="shared" si="231"/>
        <v>3063</v>
      </c>
      <c r="DX39" s="28">
        <f t="shared" si="232"/>
        <v>6706</v>
      </c>
      <c r="DY39" s="106"/>
      <c r="DZ39" s="106"/>
      <c r="EA39" s="106"/>
      <c r="EB39" s="28">
        <f t="shared" si="233"/>
        <v>3643</v>
      </c>
      <c r="EC39" s="28">
        <f t="shared" si="234"/>
        <v>3063</v>
      </c>
      <c r="ED39" s="28">
        <f t="shared" si="235"/>
        <v>6706</v>
      </c>
      <c r="EE39" s="117">
        <f t="shared" si="459"/>
        <v>0.45288413724515164</v>
      </c>
      <c r="EF39" s="117">
        <f t="shared" si="236"/>
        <v>0.3779615004935834</v>
      </c>
      <c r="EG39" s="117">
        <f t="shared" si="237"/>
        <v>0.4152836264552886</v>
      </c>
      <c r="EH39" s="28">
        <f t="shared" si="238"/>
        <v>14822</v>
      </c>
      <c r="EI39" s="28">
        <f t="shared" si="239"/>
        <v>14467</v>
      </c>
      <c r="EJ39" s="28">
        <f t="shared" si="239"/>
        <v>29289</v>
      </c>
      <c r="EK39" s="28">
        <v>2325</v>
      </c>
      <c r="EL39" s="28">
        <v>2155</v>
      </c>
      <c r="EM39" s="28">
        <f t="shared" si="241"/>
        <v>4480</v>
      </c>
      <c r="EN39" s="100">
        <f t="shared" si="470"/>
        <v>15.686142221022804</v>
      </c>
      <c r="EO39" s="93">
        <f t="shared" si="471"/>
        <v>14.895970138936891</v>
      </c>
      <c r="EP39" s="93">
        <f t="shared" si="472"/>
        <v>15.295844856430742</v>
      </c>
      <c r="EQ39" s="28">
        <f t="shared" si="245"/>
        <v>3107</v>
      </c>
      <c r="ER39" s="28">
        <f t="shared" si="246"/>
        <v>3025</v>
      </c>
      <c r="ES39" s="28">
        <f t="shared" si="246"/>
        <v>6132</v>
      </c>
      <c r="ET39" s="28">
        <v>510</v>
      </c>
      <c r="EU39" s="28">
        <v>456</v>
      </c>
      <c r="EV39" s="28">
        <f t="shared" si="248"/>
        <v>966</v>
      </c>
      <c r="EW39" s="93">
        <f t="shared" si="473"/>
        <v>16.414547795300933</v>
      </c>
      <c r="EX39" s="93">
        <f t="shared" si="474"/>
        <v>15.074380165289256</v>
      </c>
      <c r="EY39" s="93">
        <f t="shared" si="474"/>
        <v>15.753424657534246</v>
      </c>
      <c r="EZ39" s="28">
        <f t="shared" si="252"/>
        <v>3643</v>
      </c>
      <c r="FA39" s="28">
        <f t="shared" si="253"/>
        <v>3063</v>
      </c>
      <c r="FB39" s="28">
        <f t="shared" si="253"/>
        <v>6706</v>
      </c>
      <c r="FC39" s="28">
        <v>128</v>
      </c>
      <c r="FD39" s="28">
        <v>104</v>
      </c>
      <c r="FE39" s="28">
        <f t="shared" si="255"/>
        <v>232</v>
      </c>
      <c r="FF39" s="93">
        <f t="shared" si="475"/>
        <v>3.5135877024430413</v>
      </c>
      <c r="FG39" s="93">
        <f t="shared" si="476"/>
        <v>3.3953640222004569</v>
      </c>
      <c r="FH39" s="93">
        <f t="shared" si="477"/>
        <v>3.4595884282731881</v>
      </c>
    </row>
    <row r="40" spans="1:164" ht="27" customHeight="1">
      <c r="A40" s="94">
        <v>31</v>
      </c>
      <c r="B40" s="118" t="s">
        <v>168</v>
      </c>
      <c r="C40" s="75">
        <v>1520426</v>
      </c>
      <c r="D40" s="75">
        <v>1338045</v>
      </c>
      <c r="E40" s="75">
        <f>C40+D40</f>
        <v>2858471</v>
      </c>
      <c r="F40" s="75">
        <v>1167948</v>
      </c>
      <c r="G40" s="75">
        <v>1159662</v>
      </c>
      <c r="H40" s="75">
        <f t="shared" si="183"/>
        <v>2327610</v>
      </c>
      <c r="I40" s="75">
        <v>181</v>
      </c>
      <c r="J40" s="75">
        <v>64</v>
      </c>
      <c r="K40" s="75">
        <f t="shared" si="443"/>
        <v>245</v>
      </c>
      <c r="L40" s="97">
        <f t="shared" si="460"/>
        <v>1168129</v>
      </c>
      <c r="M40" s="98">
        <f t="shared" si="461"/>
        <v>1159726</v>
      </c>
      <c r="N40" s="98">
        <f t="shared" si="462"/>
        <v>2327855</v>
      </c>
      <c r="O40" s="117">
        <f t="shared" si="187"/>
        <v>0.76829059750359441</v>
      </c>
      <c r="P40" s="117">
        <f t="shared" si="188"/>
        <v>0.86673168690141211</v>
      </c>
      <c r="Q40" s="117">
        <f t="shared" si="189"/>
        <v>0.8143706897848535</v>
      </c>
      <c r="R40" s="28">
        <v>113777</v>
      </c>
      <c r="S40" s="28">
        <v>26244</v>
      </c>
      <c r="T40" s="28">
        <f t="shared" si="478"/>
        <v>140021</v>
      </c>
      <c r="U40" s="28">
        <v>86223</v>
      </c>
      <c r="V40" s="28">
        <v>20409</v>
      </c>
      <c r="W40" s="28">
        <f t="shared" si="258"/>
        <v>106632</v>
      </c>
      <c r="X40" s="28">
        <v>25</v>
      </c>
      <c r="Y40" s="28">
        <v>3</v>
      </c>
      <c r="Z40" s="28">
        <f t="shared" si="483"/>
        <v>28</v>
      </c>
      <c r="AA40" s="28">
        <f t="shared" si="259"/>
        <v>86248</v>
      </c>
      <c r="AB40" s="28">
        <f t="shared" si="260"/>
        <v>20412</v>
      </c>
      <c r="AC40" s="28">
        <f t="shared" si="261"/>
        <v>106660</v>
      </c>
      <c r="AD40" s="117">
        <f t="shared" ref="AD40:AD43" si="560">AA40/R40</f>
        <v>0.75804424444307728</v>
      </c>
      <c r="AE40" s="117">
        <f t="shared" ref="AE40:AE43" si="561">AB40/S40</f>
        <v>0.77777777777777779</v>
      </c>
      <c r="AF40" s="117">
        <f t="shared" si="481"/>
        <v>0.76174288142492907</v>
      </c>
      <c r="AG40" s="28">
        <f t="shared" si="190"/>
        <v>1634203</v>
      </c>
      <c r="AH40" s="28">
        <f t="shared" si="191"/>
        <v>1364289</v>
      </c>
      <c r="AI40" s="28">
        <f t="shared" si="191"/>
        <v>2998492</v>
      </c>
      <c r="AJ40" s="28">
        <f t="shared" si="193"/>
        <v>1254171</v>
      </c>
      <c r="AK40" s="28">
        <f t="shared" si="194"/>
        <v>1180071</v>
      </c>
      <c r="AL40" s="28">
        <f t="shared" si="194"/>
        <v>2434242</v>
      </c>
      <c r="AM40" s="28">
        <f t="shared" si="447"/>
        <v>206</v>
      </c>
      <c r="AN40" s="28">
        <f t="shared" si="265"/>
        <v>67</v>
      </c>
      <c r="AO40" s="28">
        <f t="shared" si="265"/>
        <v>273</v>
      </c>
      <c r="AP40" s="28">
        <f t="shared" si="195"/>
        <v>1254377</v>
      </c>
      <c r="AQ40" s="28">
        <f t="shared" si="196"/>
        <v>1180138</v>
      </c>
      <c r="AR40" s="28">
        <f t="shared" si="196"/>
        <v>2434515</v>
      </c>
      <c r="AS40" s="117">
        <f t="shared" si="197"/>
        <v>0.76757722265838457</v>
      </c>
      <c r="AT40" s="117">
        <f t="shared" si="198"/>
        <v>0.86502053450551897</v>
      </c>
      <c r="AU40" s="117">
        <f t="shared" si="199"/>
        <v>0.81191312166248897</v>
      </c>
      <c r="AV40" s="92">
        <v>345966</v>
      </c>
      <c r="AW40" s="92">
        <v>301752</v>
      </c>
      <c r="AX40" s="92">
        <f t="shared" si="200"/>
        <v>647718</v>
      </c>
      <c r="AY40" s="92">
        <v>242066</v>
      </c>
      <c r="AZ40" s="92">
        <v>238925</v>
      </c>
      <c r="BA40" s="92">
        <f t="shared" si="201"/>
        <v>480991</v>
      </c>
      <c r="BB40" s="92">
        <v>27</v>
      </c>
      <c r="BC40" s="92">
        <v>16</v>
      </c>
      <c r="BD40" s="92">
        <f t="shared" si="448"/>
        <v>43</v>
      </c>
      <c r="BE40" s="92">
        <f t="shared" si="202"/>
        <v>242093</v>
      </c>
      <c r="BF40" s="92">
        <f t="shared" si="203"/>
        <v>238941</v>
      </c>
      <c r="BG40" s="92">
        <f t="shared" si="203"/>
        <v>481034</v>
      </c>
      <c r="BH40" s="117">
        <f t="shared" si="205"/>
        <v>0.69975951394067626</v>
      </c>
      <c r="BI40" s="117">
        <f t="shared" si="206"/>
        <v>0.79184562157003102</v>
      </c>
      <c r="BJ40" s="117">
        <f t="shared" si="207"/>
        <v>0.74265961421482807</v>
      </c>
      <c r="BK40" s="28">
        <v>20183</v>
      </c>
      <c r="BL40" s="28">
        <v>4238</v>
      </c>
      <c r="BM40" s="28">
        <f t="shared" si="266"/>
        <v>24421</v>
      </c>
      <c r="BN40" s="92">
        <v>12768</v>
      </c>
      <c r="BO40" s="92">
        <v>2781</v>
      </c>
      <c r="BP40" s="92">
        <f t="shared" si="267"/>
        <v>15549</v>
      </c>
      <c r="BQ40" s="92">
        <v>5</v>
      </c>
      <c r="BR40" s="92">
        <v>1</v>
      </c>
      <c r="BS40" s="92">
        <f t="shared" si="484"/>
        <v>6</v>
      </c>
      <c r="BT40" s="92">
        <f t="shared" si="482"/>
        <v>12773</v>
      </c>
      <c r="BU40" s="92">
        <f t="shared" si="268"/>
        <v>2782</v>
      </c>
      <c r="BV40" s="92">
        <f t="shared" si="268"/>
        <v>15555</v>
      </c>
      <c r="BW40" s="117">
        <f t="shared" si="270"/>
        <v>0.63285933706584752</v>
      </c>
      <c r="BX40" s="117">
        <f t="shared" si="271"/>
        <v>0.65644171779141103</v>
      </c>
      <c r="BY40" s="117">
        <f t="shared" si="272"/>
        <v>0.63695180377543914</v>
      </c>
      <c r="BZ40" s="98">
        <f t="shared" si="554"/>
        <v>366149</v>
      </c>
      <c r="CA40" s="98">
        <f t="shared" si="555"/>
        <v>305990</v>
      </c>
      <c r="CB40" s="98">
        <f t="shared" si="556"/>
        <v>672139</v>
      </c>
      <c r="CC40" s="28">
        <f t="shared" si="211"/>
        <v>254834</v>
      </c>
      <c r="CD40" s="28">
        <f t="shared" si="212"/>
        <v>241706</v>
      </c>
      <c r="CE40" s="28">
        <f t="shared" si="213"/>
        <v>496540</v>
      </c>
      <c r="CF40" s="28">
        <f t="shared" si="449"/>
        <v>32</v>
      </c>
      <c r="CG40" s="28">
        <f t="shared" si="450"/>
        <v>17</v>
      </c>
      <c r="CH40" s="28">
        <f t="shared" si="451"/>
        <v>49</v>
      </c>
      <c r="CI40" s="28">
        <f t="shared" si="557"/>
        <v>254866</v>
      </c>
      <c r="CJ40" s="28">
        <f t="shared" si="558"/>
        <v>241723</v>
      </c>
      <c r="CK40" s="28">
        <f t="shared" si="559"/>
        <v>496589</v>
      </c>
      <c r="CL40" s="117">
        <f t="shared" si="454"/>
        <v>0.6960718177572518</v>
      </c>
      <c r="CM40" s="117">
        <f t="shared" si="218"/>
        <v>0.78997026046602825</v>
      </c>
      <c r="CN40" s="117">
        <f t="shared" si="219"/>
        <v>0.7388189050181585</v>
      </c>
      <c r="CO40" s="92">
        <v>11391</v>
      </c>
      <c r="CP40" s="92">
        <v>9445</v>
      </c>
      <c r="CQ40" s="92">
        <f t="shared" si="220"/>
        <v>20836</v>
      </c>
      <c r="CR40" s="92">
        <v>8118</v>
      </c>
      <c r="CS40" s="92">
        <v>7552</v>
      </c>
      <c r="CT40" s="92">
        <f t="shared" si="221"/>
        <v>15670</v>
      </c>
      <c r="CU40" s="92">
        <v>1</v>
      </c>
      <c r="CV40" s="92">
        <v>1</v>
      </c>
      <c r="CW40" s="92">
        <f t="shared" si="455"/>
        <v>2</v>
      </c>
      <c r="CX40" s="92">
        <f t="shared" si="222"/>
        <v>8119</v>
      </c>
      <c r="CY40" s="92">
        <f t="shared" si="223"/>
        <v>7553</v>
      </c>
      <c r="CZ40" s="92">
        <f t="shared" si="223"/>
        <v>15672</v>
      </c>
      <c r="DA40" s="117">
        <f t="shared" si="273"/>
        <v>0.71275568431217629</v>
      </c>
      <c r="DB40" s="117">
        <f t="shared" si="225"/>
        <v>0.79968237162519851</v>
      </c>
      <c r="DC40" s="117">
        <f t="shared" si="226"/>
        <v>0.75215972355538496</v>
      </c>
      <c r="DD40" s="28">
        <v>1207</v>
      </c>
      <c r="DE40" s="28">
        <v>259</v>
      </c>
      <c r="DF40" s="28">
        <f t="shared" si="274"/>
        <v>1466</v>
      </c>
      <c r="DG40" s="92">
        <v>808</v>
      </c>
      <c r="DH40" s="92">
        <v>177</v>
      </c>
      <c r="DI40" s="92">
        <f t="shared" si="275"/>
        <v>985</v>
      </c>
      <c r="DJ40" s="92">
        <v>1</v>
      </c>
      <c r="DK40" s="92">
        <v>0</v>
      </c>
      <c r="DL40" s="92">
        <f t="shared" si="488"/>
        <v>1</v>
      </c>
      <c r="DM40" s="92">
        <f t="shared" si="276"/>
        <v>809</v>
      </c>
      <c r="DN40" s="92">
        <f t="shared" si="277"/>
        <v>177</v>
      </c>
      <c r="DO40" s="92">
        <f t="shared" si="277"/>
        <v>986</v>
      </c>
      <c r="DP40" s="116">
        <f t="shared" si="279"/>
        <v>0.67025683512841761</v>
      </c>
      <c r="DQ40" s="116">
        <f t="shared" si="280"/>
        <v>0.68339768339768336</v>
      </c>
      <c r="DR40" s="116">
        <f t="shared" si="281"/>
        <v>0.67257844474761252</v>
      </c>
      <c r="DS40" s="98">
        <f t="shared" si="227"/>
        <v>12598</v>
      </c>
      <c r="DT40" s="98">
        <f t="shared" si="228"/>
        <v>9704</v>
      </c>
      <c r="DU40" s="28">
        <f t="shared" si="229"/>
        <v>22302</v>
      </c>
      <c r="DV40" s="28">
        <f t="shared" si="230"/>
        <v>8926</v>
      </c>
      <c r="DW40" s="28">
        <f t="shared" si="231"/>
        <v>7729</v>
      </c>
      <c r="DX40" s="28">
        <f t="shared" si="232"/>
        <v>16655</v>
      </c>
      <c r="DY40" s="28">
        <f t="shared" si="456"/>
        <v>2</v>
      </c>
      <c r="DZ40" s="28">
        <f t="shared" si="457"/>
        <v>1</v>
      </c>
      <c r="EA40" s="28">
        <f t="shared" si="458"/>
        <v>3</v>
      </c>
      <c r="EB40" s="28">
        <f t="shared" si="233"/>
        <v>8928</v>
      </c>
      <c r="EC40" s="28">
        <f t="shared" si="234"/>
        <v>7730</v>
      </c>
      <c r="ED40" s="28">
        <f t="shared" si="235"/>
        <v>16658</v>
      </c>
      <c r="EE40" s="117">
        <f t="shared" si="459"/>
        <v>0.7086839180822353</v>
      </c>
      <c r="EF40" s="117">
        <f t="shared" si="236"/>
        <v>0.79657873042044514</v>
      </c>
      <c r="EG40" s="117">
        <f t="shared" si="237"/>
        <v>0.74692852658954356</v>
      </c>
      <c r="EH40" s="28">
        <f t="shared" si="238"/>
        <v>1254377</v>
      </c>
      <c r="EI40" s="28">
        <f t="shared" si="239"/>
        <v>1180138</v>
      </c>
      <c r="EJ40" s="28">
        <f t="shared" si="239"/>
        <v>2434515</v>
      </c>
      <c r="EK40" s="28">
        <v>823632</v>
      </c>
      <c r="EL40" s="28">
        <v>887607</v>
      </c>
      <c r="EM40" s="28">
        <f t="shared" si="241"/>
        <v>1711239</v>
      </c>
      <c r="EN40" s="100">
        <f t="shared" si="470"/>
        <v>65.66064269354429</v>
      </c>
      <c r="EO40" s="93">
        <f t="shared" si="471"/>
        <v>75.212136207799432</v>
      </c>
      <c r="EP40" s="93">
        <f t="shared" si="472"/>
        <v>70.290756064349566</v>
      </c>
      <c r="EQ40" s="28">
        <f t="shared" si="245"/>
        <v>254866</v>
      </c>
      <c r="ER40" s="28">
        <f t="shared" si="246"/>
        <v>241723</v>
      </c>
      <c r="ES40" s="28">
        <f t="shared" si="246"/>
        <v>496589</v>
      </c>
      <c r="ET40" s="28">
        <v>154120</v>
      </c>
      <c r="EU40" s="28">
        <v>164020</v>
      </c>
      <c r="EV40" s="28">
        <f t="shared" si="248"/>
        <v>318140</v>
      </c>
      <c r="EW40" s="93">
        <f t="shared" si="473"/>
        <v>60.470992600032957</v>
      </c>
      <c r="EX40" s="93">
        <f t="shared" si="474"/>
        <v>67.854527703197462</v>
      </c>
      <c r="EY40" s="93">
        <f t="shared" si="474"/>
        <v>64.065051783265432</v>
      </c>
      <c r="EZ40" s="28">
        <f t="shared" si="252"/>
        <v>8928</v>
      </c>
      <c r="FA40" s="28">
        <f t="shared" si="253"/>
        <v>7730</v>
      </c>
      <c r="FB40" s="28">
        <f t="shared" si="253"/>
        <v>16658</v>
      </c>
      <c r="FC40" s="28">
        <v>6079</v>
      </c>
      <c r="FD40" s="28">
        <v>5450</v>
      </c>
      <c r="FE40" s="28">
        <f t="shared" si="255"/>
        <v>11529</v>
      </c>
      <c r="FF40" s="93">
        <f t="shared" si="475"/>
        <v>68.089157706093189</v>
      </c>
      <c r="FG40" s="93">
        <f t="shared" si="476"/>
        <v>70.504527813712812</v>
      </c>
      <c r="FH40" s="93">
        <f t="shared" si="477"/>
        <v>69.20998919438108</v>
      </c>
    </row>
    <row r="41" spans="1:164" ht="27" customHeight="1">
      <c r="A41" s="94">
        <v>32</v>
      </c>
      <c r="B41" s="118" t="s">
        <v>169</v>
      </c>
      <c r="C41" s="75">
        <v>71473</v>
      </c>
      <c r="D41" s="75">
        <v>73962</v>
      </c>
      <c r="E41" s="75">
        <f>C41+D41</f>
        <v>145435</v>
      </c>
      <c r="F41" s="75">
        <v>50328</v>
      </c>
      <c r="G41" s="75">
        <v>58810</v>
      </c>
      <c r="H41" s="75">
        <f t="shared" si="183"/>
        <v>109138</v>
      </c>
      <c r="I41" s="105"/>
      <c r="J41" s="105"/>
      <c r="K41" s="105"/>
      <c r="L41" s="97">
        <f t="shared" si="460"/>
        <v>50328</v>
      </c>
      <c r="M41" s="98">
        <f t="shared" si="461"/>
        <v>58810</v>
      </c>
      <c r="N41" s="98">
        <f t="shared" si="462"/>
        <v>109138</v>
      </c>
      <c r="O41" s="117">
        <f t="shared" si="187"/>
        <v>0.70415401620192242</v>
      </c>
      <c r="P41" s="117">
        <f t="shared" si="188"/>
        <v>0.79513804386036069</v>
      </c>
      <c r="Q41" s="117">
        <f t="shared" si="189"/>
        <v>0.75042458830405334</v>
      </c>
      <c r="R41" s="28">
        <v>3141</v>
      </c>
      <c r="S41" s="28">
        <v>1997</v>
      </c>
      <c r="T41" s="28">
        <f t="shared" si="478"/>
        <v>5138</v>
      </c>
      <c r="U41" s="28">
        <v>977</v>
      </c>
      <c r="V41" s="28">
        <v>826</v>
      </c>
      <c r="W41" s="28">
        <f t="shared" si="258"/>
        <v>1803</v>
      </c>
      <c r="X41" s="105"/>
      <c r="Y41" s="105"/>
      <c r="Z41" s="105"/>
      <c r="AA41" s="28">
        <f t="shared" si="259"/>
        <v>977</v>
      </c>
      <c r="AB41" s="28">
        <f t="shared" si="260"/>
        <v>826</v>
      </c>
      <c r="AC41" s="28">
        <f t="shared" si="261"/>
        <v>1803</v>
      </c>
      <c r="AD41" s="117">
        <f t="shared" si="560"/>
        <v>0.31104743712193567</v>
      </c>
      <c r="AE41" s="117">
        <f t="shared" si="561"/>
        <v>0.41362043064596893</v>
      </c>
      <c r="AF41" s="117">
        <f t="shared" si="481"/>
        <v>0.35091475282210977</v>
      </c>
      <c r="AG41" s="28">
        <f t="shared" si="190"/>
        <v>74614</v>
      </c>
      <c r="AH41" s="28">
        <f t="shared" si="191"/>
        <v>75959</v>
      </c>
      <c r="AI41" s="28">
        <f t="shared" si="191"/>
        <v>150573</v>
      </c>
      <c r="AJ41" s="28">
        <f t="shared" si="193"/>
        <v>51305</v>
      </c>
      <c r="AK41" s="28">
        <f t="shared" si="194"/>
        <v>59636</v>
      </c>
      <c r="AL41" s="28">
        <f t="shared" si="194"/>
        <v>110941</v>
      </c>
      <c r="AM41" s="105"/>
      <c r="AN41" s="105"/>
      <c r="AO41" s="105"/>
      <c r="AP41" s="28">
        <f t="shared" si="195"/>
        <v>51305</v>
      </c>
      <c r="AQ41" s="28">
        <f t="shared" si="196"/>
        <v>59636</v>
      </c>
      <c r="AR41" s="28">
        <f t="shared" si="196"/>
        <v>110941</v>
      </c>
      <c r="AS41" s="117">
        <f t="shared" si="197"/>
        <v>0.68760554319564693</v>
      </c>
      <c r="AT41" s="117">
        <f t="shared" si="198"/>
        <v>0.78510775549967748</v>
      </c>
      <c r="AU41" s="117">
        <f t="shared" si="199"/>
        <v>0.73679212076534306</v>
      </c>
      <c r="AV41" s="92">
        <v>20476</v>
      </c>
      <c r="AW41" s="92">
        <v>21219</v>
      </c>
      <c r="AX41" s="92">
        <f t="shared" si="200"/>
        <v>41695</v>
      </c>
      <c r="AY41" s="92">
        <v>12974</v>
      </c>
      <c r="AZ41" s="92">
        <v>15369</v>
      </c>
      <c r="BA41" s="92">
        <f t="shared" si="201"/>
        <v>28343</v>
      </c>
      <c r="BB41" s="105"/>
      <c r="BC41" s="105"/>
      <c r="BD41" s="105"/>
      <c r="BE41" s="92">
        <f t="shared" si="202"/>
        <v>12974</v>
      </c>
      <c r="BF41" s="92">
        <f t="shared" si="203"/>
        <v>15369</v>
      </c>
      <c r="BG41" s="92">
        <f t="shared" si="203"/>
        <v>28343</v>
      </c>
      <c r="BH41" s="117">
        <f t="shared" si="205"/>
        <v>0.6336198476264896</v>
      </c>
      <c r="BI41" s="117">
        <f t="shared" si="206"/>
        <v>0.72430369008907114</v>
      </c>
      <c r="BJ41" s="117">
        <f t="shared" si="207"/>
        <v>0.6797697565655354</v>
      </c>
      <c r="BK41" s="31">
        <v>1207</v>
      </c>
      <c r="BL41" s="31">
        <v>782</v>
      </c>
      <c r="BM41" s="28">
        <f t="shared" si="266"/>
        <v>1989</v>
      </c>
      <c r="BN41" s="92">
        <v>351</v>
      </c>
      <c r="BO41" s="92">
        <v>279</v>
      </c>
      <c r="BP41" s="92">
        <f t="shared" si="267"/>
        <v>630</v>
      </c>
      <c r="BQ41" s="105"/>
      <c r="BR41" s="105"/>
      <c r="BS41" s="105"/>
      <c r="BT41" s="92">
        <f t="shared" si="482"/>
        <v>351</v>
      </c>
      <c r="BU41" s="92">
        <f t="shared" si="268"/>
        <v>279</v>
      </c>
      <c r="BV41" s="92">
        <f t="shared" si="268"/>
        <v>630</v>
      </c>
      <c r="BW41" s="117">
        <f t="shared" si="270"/>
        <v>0.29080364540182269</v>
      </c>
      <c r="BX41" s="117">
        <f t="shared" si="271"/>
        <v>0.35677749360613809</v>
      </c>
      <c r="BY41" s="117">
        <f t="shared" si="272"/>
        <v>0.31674208144796379</v>
      </c>
      <c r="BZ41" s="98">
        <f t="shared" si="554"/>
        <v>21683</v>
      </c>
      <c r="CA41" s="98">
        <f t="shared" si="555"/>
        <v>22001</v>
      </c>
      <c r="CB41" s="98">
        <f t="shared" si="556"/>
        <v>43684</v>
      </c>
      <c r="CC41" s="28">
        <f t="shared" si="211"/>
        <v>13325</v>
      </c>
      <c r="CD41" s="28">
        <f t="shared" si="212"/>
        <v>15648</v>
      </c>
      <c r="CE41" s="28">
        <f t="shared" si="213"/>
        <v>28973</v>
      </c>
      <c r="CF41" s="105"/>
      <c r="CG41" s="105"/>
      <c r="CH41" s="105"/>
      <c r="CI41" s="28">
        <f t="shared" si="557"/>
        <v>13325</v>
      </c>
      <c r="CJ41" s="28">
        <f t="shared" si="558"/>
        <v>15648</v>
      </c>
      <c r="CK41" s="28">
        <f t="shared" si="559"/>
        <v>28973</v>
      </c>
      <c r="CL41" s="117">
        <f t="shared" si="454"/>
        <v>0.61453673384679242</v>
      </c>
      <c r="CM41" s="117">
        <f t="shared" si="218"/>
        <v>0.71124039816371987</v>
      </c>
      <c r="CN41" s="117">
        <f t="shared" si="219"/>
        <v>0.66324054573756985</v>
      </c>
      <c r="CO41" s="92">
        <v>2455</v>
      </c>
      <c r="CP41" s="92">
        <v>2676</v>
      </c>
      <c r="CQ41" s="92">
        <f t="shared" si="220"/>
        <v>5131</v>
      </c>
      <c r="CR41" s="92">
        <v>1711</v>
      </c>
      <c r="CS41" s="92">
        <v>2124</v>
      </c>
      <c r="CT41" s="92">
        <f t="shared" si="221"/>
        <v>3835</v>
      </c>
      <c r="CU41" s="105"/>
      <c r="CV41" s="105"/>
      <c r="CW41" s="105"/>
      <c r="CX41" s="92">
        <f t="shared" si="222"/>
        <v>1711</v>
      </c>
      <c r="CY41" s="92">
        <f t="shared" si="223"/>
        <v>2124</v>
      </c>
      <c r="CZ41" s="92">
        <f t="shared" si="223"/>
        <v>3835</v>
      </c>
      <c r="DA41" s="117">
        <f t="shared" si="273"/>
        <v>0.69694501018329935</v>
      </c>
      <c r="DB41" s="117">
        <f t="shared" si="225"/>
        <v>0.79372197309417036</v>
      </c>
      <c r="DC41" s="117">
        <f t="shared" si="226"/>
        <v>0.74741765737672972</v>
      </c>
      <c r="DD41" s="31">
        <v>85</v>
      </c>
      <c r="DE41" s="31">
        <v>71</v>
      </c>
      <c r="DF41" s="28">
        <f t="shared" si="274"/>
        <v>156</v>
      </c>
      <c r="DG41" s="92">
        <v>26</v>
      </c>
      <c r="DH41" s="92">
        <v>33</v>
      </c>
      <c r="DI41" s="92">
        <f t="shared" si="275"/>
        <v>59</v>
      </c>
      <c r="DJ41" s="105"/>
      <c r="DK41" s="105"/>
      <c r="DL41" s="105"/>
      <c r="DM41" s="92">
        <f t="shared" si="276"/>
        <v>26</v>
      </c>
      <c r="DN41" s="92">
        <f t="shared" si="277"/>
        <v>33</v>
      </c>
      <c r="DO41" s="92">
        <f t="shared" si="277"/>
        <v>59</v>
      </c>
      <c r="DP41" s="116">
        <f t="shared" si="279"/>
        <v>0.30588235294117649</v>
      </c>
      <c r="DQ41" s="116">
        <f t="shared" si="280"/>
        <v>0.46478873239436619</v>
      </c>
      <c r="DR41" s="116">
        <f t="shared" si="281"/>
        <v>0.37820512820512819</v>
      </c>
      <c r="DS41" s="98">
        <f t="shared" si="227"/>
        <v>2540</v>
      </c>
      <c r="DT41" s="98">
        <f t="shared" si="228"/>
        <v>2747</v>
      </c>
      <c r="DU41" s="28">
        <f t="shared" si="229"/>
        <v>5287</v>
      </c>
      <c r="DV41" s="28">
        <f t="shared" si="230"/>
        <v>1737</v>
      </c>
      <c r="DW41" s="28">
        <f t="shared" si="231"/>
        <v>2157</v>
      </c>
      <c r="DX41" s="28">
        <f t="shared" si="232"/>
        <v>3894</v>
      </c>
      <c r="DY41" s="105"/>
      <c r="DZ41" s="105"/>
      <c r="EA41" s="105"/>
      <c r="EB41" s="28">
        <f t="shared" si="233"/>
        <v>1737</v>
      </c>
      <c r="EC41" s="28">
        <f t="shared" si="234"/>
        <v>2157</v>
      </c>
      <c r="ED41" s="28">
        <f t="shared" si="235"/>
        <v>3894</v>
      </c>
      <c r="EE41" s="117">
        <f t="shared" si="459"/>
        <v>0.68385826771653546</v>
      </c>
      <c r="EF41" s="117">
        <f t="shared" si="236"/>
        <v>0.78522024026210413</v>
      </c>
      <c r="EG41" s="117">
        <f t="shared" si="237"/>
        <v>0.7365235483260828</v>
      </c>
      <c r="EH41" s="28">
        <f t="shared" si="238"/>
        <v>51305</v>
      </c>
      <c r="EI41" s="28">
        <f t="shared" si="239"/>
        <v>59636</v>
      </c>
      <c r="EJ41" s="28">
        <f t="shared" si="239"/>
        <v>110941</v>
      </c>
      <c r="EK41" s="32">
        <v>12783</v>
      </c>
      <c r="EL41" s="32">
        <v>18737</v>
      </c>
      <c r="EM41" s="28">
        <f t="shared" si="241"/>
        <v>31520</v>
      </c>
      <c r="EN41" s="100">
        <f t="shared" si="470"/>
        <v>24.915700224149692</v>
      </c>
      <c r="EO41" s="93">
        <f t="shared" si="471"/>
        <v>31.418941578912065</v>
      </c>
      <c r="EP41" s="93">
        <f t="shared" si="472"/>
        <v>28.41149800344327</v>
      </c>
      <c r="EQ41" s="28">
        <f t="shared" si="245"/>
        <v>13325</v>
      </c>
      <c r="ER41" s="28">
        <f t="shared" si="246"/>
        <v>15648</v>
      </c>
      <c r="ES41" s="28">
        <f t="shared" si="246"/>
        <v>28973</v>
      </c>
      <c r="ET41" s="32">
        <v>2194</v>
      </c>
      <c r="EU41" s="32">
        <v>3389</v>
      </c>
      <c r="EV41" s="28">
        <f t="shared" si="248"/>
        <v>5583</v>
      </c>
      <c r="EW41" s="93">
        <f t="shared" si="473"/>
        <v>16.465290806754222</v>
      </c>
      <c r="EX41" s="93">
        <f t="shared" si="474"/>
        <v>21.657719836400819</v>
      </c>
      <c r="EY41" s="93">
        <f t="shared" si="474"/>
        <v>19.269664860387255</v>
      </c>
      <c r="EZ41" s="28">
        <f t="shared" si="252"/>
        <v>1737</v>
      </c>
      <c r="FA41" s="28">
        <f t="shared" si="253"/>
        <v>2157</v>
      </c>
      <c r="FB41" s="28">
        <f t="shared" si="253"/>
        <v>3894</v>
      </c>
      <c r="FC41" s="32">
        <v>454</v>
      </c>
      <c r="FD41" s="32">
        <v>632</v>
      </c>
      <c r="FE41" s="28">
        <f t="shared" si="255"/>
        <v>1086</v>
      </c>
      <c r="FF41" s="93">
        <f t="shared" si="475"/>
        <v>26.137017846862406</v>
      </c>
      <c r="FG41" s="93">
        <f t="shared" si="476"/>
        <v>29.299953639313863</v>
      </c>
      <c r="FH41" s="93">
        <f t="shared" si="477"/>
        <v>27.889060092449924</v>
      </c>
    </row>
    <row r="42" spans="1:164" ht="27" customHeight="1">
      <c r="A42" s="94">
        <v>33</v>
      </c>
      <c r="B42" s="118" t="s">
        <v>314</v>
      </c>
      <c r="C42" s="75">
        <v>473003</v>
      </c>
      <c r="D42" s="75">
        <v>587495</v>
      </c>
      <c r="E42" s="75">
        <f>C42+D42</f>
        <v>1060498</v>
      </c>
      <c r="F42" s="75">
        <v>412446</v>
      </c>
      <c r="G42" s="75">
        <v>462117</v>
      </c>
      <c r="H42" s="75">
        <f>F42+G42</f>
        <v>874563</v>
      </c>
      <c r="I42" s="105"/>
      <c r="J42" s="105"/>
      <c r="K42" s="105"/>
      <c r="L42" s="97">
        <f>F42+I42</f>
        <v>412446</v>
      </c>
      <c r="M42" s="98">
        <f>G42+J42</f>
        <v>462117</v>
      </c>
      <c r="N42" s="98">
        <f>H42+K42</f>
        <v>874563</v>
      </c>
      <c r="O42" s="117">
        <f>L42/C42</f>
        <v>0.87197332786472814</v>
      </c>
      <c r="P42" s="117">
        <f>M42/D42</f>
        <v>0.78658882203252789</v>
      </c>
      <c r="Q42" s="117">
        <f>N42/E42</f>
        <v>0.82467199372370337</v>
      </c>
      <c r="R42" s="28">
        <v>466</v>
      </c>
      <c r="S42" s="28">
        <v>159</v>
      </c>
      <c r="T42" s="28">
        <f>R42+S42</f>
        <v>625</v>
      </c>
      <c r="U42" s="28">
        <v>358</v>
      </c>
      <c r="V42" s="28">
        <v>63</v>
      </c>
      <c r="W42" s="28">
        <f>U42+V42</f>
        <v>421</v>
      </c>
      <c r="X42" s="106"/>
      <c r="Y42" s="106"/>
      <c r="Z42" s="106"/>
      <c r="AA42" s="28">
        <f>U42+X42</f>
        <v>358</v>
      </c>
      <c r="AB42" s="28">
        <f>V42+Y42</f>
        <v>63</v>
      </c>
      <c r="AC42" s="28">
        <f>W42+Z42</f>
        <v>421</v>
      </c>
      <c r="AD42" s="117">
        <f>AA42/R42</f>
        <v>0.76824034334763946</v>
      </c>
      <c r="AE42" s="117">
        <f>AB42/S42</f>
        <v>0.39622641509433965</v>
      </c>
      <c r="AF42" s="117">
        <f>AC42/T42</f>
        <v>0.67359999999999998</v>
      </c>
      <c r="AG42" s="28">
        <f t="shared" ref="AG42:AL42" si="562">C42+R42</f>
        <v>473469</v>
      </c>
      <c r="AH42" s="28">
        <f t="shared" si="562"/>
        <v>587654</v>
      </c>
      <c r="AI42" s="28">
        <f t="shared" si="562"/>
        <v>1061123</v>
      </c>
      <c r="AJ42" s="28">
        <f t="shared" si="562"/>
        <v>412804</v>
      </c>
      <c r="AK42" s="28">
        <f t="shared" si="562"/>
        <v>462180</v>
      </c>
      <c r="AL42" s="28">
        <f t="shared" si="562"/>
        <v>874984</v>
      </c>
      <c r="AM42" s="106"/>
      <c r="AN42" s="106"/>
      <c r="AO42" s="106"/>
      <c r="AP42" s="28">
        <f>L42+AA42</f>
        <v>412804</v>
      </c>
      <c r="AQ42" s="28">
        <f>M42+AB42</f>
        <v>462180</v>
      </c>
      <c r="AR42" s="28">
        <f>N42+AC42</f>
        <v>874984</v>
      </c>
      <c r="AS42" s="117">
        <f>AP42/AG42</f>
        <v>0.87187123127385324</v>
      </c>
      <c r="AT42" s="117">
        <f>AQ42/AH42</f>
        <v>0.78648320270090899</v>
      </c>
      <c r="AU42" s="117">
        <f>AR42/AI42</f>
        <v>0.82458301252540944</v>
      </c>
      <c r="AV42" s="92">
        <v>139447</v>
      </c>
      <c r="AW42" s="92">
        <v>164679</v>
      </c>
      <c r="AX42" s="92">
        <f>+AV42+AW42</f>
        <v>304126</v>
      </c>
      <c r="AY42" s="92">
        <v>116600</v>
      </c>
      <c r="AZ42" s="92">
        <v>122050</v>
      </c>
      <c r="BA42" s="92">
        <f>+AY42+AZ42</f>
        <v>238650</v>
      </c>
      <c r="BB42" s="105"/>
      <c r="BC42" s="105"/>
      <c r="BD42" s="105"/>
      <c r="BE42" s="92">
        <f>+AY42+BB42</f>
        <v>116600</v>
      </c>
      <c r="BF42" s="92">
        <f>+AZ42+BC42</f>
        <v>122050</v>
      </c>
      <c r="BG42" s="92">
        <f>+BA42+BD42</f>
        <v>238650</v>
      </c>
      <c r="BH42" s="117">
        <f>BE42/AV42</f>
        <v>0.83615997475743475</v>
      </c>
      <c r="BI42" s="117">
        <f>BF42/AW42</f>
        <v>0.74113882158623745</v>
      </c>
      <c r="BJ42" s="117">
        <f>BG42/AX42</f>
        <v>0.78470765406443377</v>
      </c>
      <c r="BK42" s="28">
        <v>83</v>
      </c>
      <c r="BL42" s="28">
        <v>22</v>
      </c>
      <c r="BM42" s="28">
        <f>BK42+BL42</f>
        <v>105</v>
      </c>
      <c r="BN42" s="92">
        <v>70</v>
      </c>
      <c r="BO42" s="92">
        <v>10</v>
      </c>
      <c r="BP42" s="92">
        <f>BN42+BO42</f>
        <v>80</v>
      </c>
      <c r="BQ42" s="105"/>
      <c r="BR42" s="105"/>
      <c r="BS42" s="105"/>
      <c r="BT42" s="92">
        <f>+BN42+BQ42</f>
        <v>70</v>
      </c>
      <c r="BU42" s="92">
        <f>+BO42+BR42</f>
        <v>10</v>
      </c>
      <c r="BV42" s="92">
        <f>+BP42+BS42</f>
        <v>80</v>
      </c>
      <c r="BW42" s="117">
        <f>BT42/BK42</f>
        <v>0.84337349397590367</v>
      </c>
      <c r="BX42" s="117">
        <f>BU42/BL42</f>
        <v>0.45454545454545453</v>
      </c>
      <c r="BY42" s="117">
        <f>BV42/BM42</f>
        <v>0.76190476190476186</v>
      </c>
      <c r="BZ42" s="98">
        <f t="shared" ref="BZ42:CE42" si="563">AV42+BK42</f>
        <v>139530</v>
      </c>
      <c r="CA42" s="98">
        <f t="shared" si="563"/>
        <v>164701</v>
      </c>
      <c r="CB42" s="98">
        <f t="shared" si="563"/>
        <v>304231</v>
      </c>
      <c r="CC42" s="28">
        <f t="shared" si="563"/>
        <v>116670</v>
      </c>
      <c r="CD42" s="28">
        <f t="shared" si="563"/>
        <v>122060</v>
      </c>
      <c r="CE42" s="28">
        <f t="shared" si="563"/>
        <v>238730</v>
      </c>
      <c r="CF42" s="106"/>
      <c r="CG42" s="106"/>
      <c r="CH42" s="106"/>
      <c r="CI42" s="28">
        <f>BE42+BT42</f>
        <v>116670</v>
      </c>
      <c r="CJ42" s="28">
        <f>BF42+BU42</f>
        <v>122060</v>
      </c>
      <c r="CK42" s="28">
        <f>BG42+BV42</f>
        <v>238730</v>
      </c>
      <c r="CL42" s="117">
        <f>CI42/BZ42</f>
        <v>0.83616426574930125</v>
      </c>
      <c r="CM42" s="117">
        <f>CJ42/CA42</f>
        <v>0.74110053976600021</v>
      </c>
      <c r="CN42" s="117">
        <f>CK42/CB42</f>
        <v>0.78469978404567586</v>
      </c>
      <c r="CO42" s="92">
        <v>27618</v>
      </c>
      <c r="CP42" s="92">
        <v>35521</v>
      </c>
      <c r="CQ42" s="92">
        <f>+CO42+CP42</f>
        <v>63139</v>
      </c>
      <c r="CR42" s="92">
        <v>20038</v>
      </c>
      <c r="CS42" s="92">
        <v>21529</v>
      </c>
      <c r="CT42" s="92">
        <f>+CR42+CS42</f>
        <v>41567</v>
      </c>
      <c r="CU42" s="105"/>
      <c r="CV42" s="105"/>
      <c r="CW42" s="105"/>
      <c r="CX42" s="92">
        <f>+CR42+CU42</f>
        <v>20038</v>
      </c>
      <c r="CY42" s="92">
        <f>+CS42+CV42</f>
        <v>21529</v>
      </c>
      <c r="CZ42" s="92">
        <f>+CT42+CW42</f>
        <v>41567</v>
      </c>
      <c r="DA42" s="117">
        <f>CX42/CO42</f>
        <v>0.72554131363603447</v>
      </c>
      <c r="DB42" s="117">
        <f>CY42/CP42</f>
        <v>0.60609217082852396</v>
      </c>
      <c r="DC42" s="117">
        <f>CZ42/CQ42</f>
        <v>0.65834112038518189</v>
      </c>
      <c r="DD42" s="28">
        <v>28</v>
      </c>
      <c r="DE42" s="28">
        <v>10</v>
      </c>
      <c r="DF42" s="28">
        <f>DD42+DE42</f>
        <v>38</v>
      </c>
      <c r="DG42" s="92">
        <v>13</v>
      </c>
      <c r="DH42" s="92">
        <v>5</v>
      </c>
      <c r="DI42" s="92">
        <f>+DG42+DH42</f>
        <v>18</v>
      </c>
      <c r="DJ42" s="105"/>
      <c r="DK42" s="105"/>
      <c r="DL42" s="105"/>
      <c r="DM42" s="92">
        <f>+DG42+DJ42</f>
        <v>13</v>
      </c>
      <c r="DN42" s="92">
        <f>+DH42+DK42</f>
        <v>5</v>
      </c>
      <c r="DO42" s="92">
        <f>+DI42+DL42</f>
        <v>18</v>
      </c>
      <c r="DP42" s="116">
        <f>DM42/DD42</f>
        <v>0.4642857142857143</v>
      </c>
      <c r="DQ42" s="116">
        <f>DN42/DE42</f>
        <v>0.5</v>
      </c>
      <c r="DR42" s="116">
        <f>DO42/DF42</f>
        <v>0.47368421052631576</v>
      </c>
      <c r="DS42" s="98">
        <f t="shared" ref="DS42:DX42" si="564">CO42+DD42</f>
        <v>27646</v>
      </c>
      <c r="DT42" s="98">
        <f t="shared" si="564"/>
        <v>35531</v>
      </c>
      <c r="DU42" s="28">
        <f t="shared" si="564"/>
        <v>63177</v>
      </c>
      <c r="DV42" s="28">
        <f t="shared" si="564"/>
        <v>20051</v>
      </c>
      <c r="DW42" s="28">
        <f t="shared" si="564"/>
        <v>21534</v>
      </c>
      <c r="DX42" s="28">
        <f t="shared" si="564"/>
        <v>41585</v>
      </c>
      <c r="DY42" s="106"/>
      <c r="DZ42" s="106"/>
      <c r="EA42" s="106"/>
      <c r="EB42" s="28">
        <f>CX42+DM42</f>
        <v>20051</v>
      </c>
      <c r="EC42" s="28">
        <f>CY42+DN42</f>
        <v>21534</v>
      </c>
      <c r="ED42" s="28">
        <f>CZ42+DO42</f>
        <v>41585</v>
      </c>
      <c r="EE42" s="117">
        <f>EB42/DS42</f>
        <v>0.72527671272516825</v>
      </c>
      <c r="EF42" s="117">
        <f>EC42/DT42</f>
        <v>0.60606231178407588</v>
      </c>
      <c r="EG42" s="117">
        <f>ED42/DU42</f>
        <v>0.65823005207591367</v>
      </c>
      <c r="EH42" s="28">
        <f>+AP42</f>
        <v>412804</v>
      </c>
      <c r="EI42" s="28">
        <f>+AQ42</f>
        <v>462180</v>
      </c>
      <c r="EJ42" s="28">
        <f>+AR42</f>
        <v>874984</v>
      </c>
      <c r="EK42" s="28">
        <f>27813+36860</f>
        <v>64673</v>
      </c>
      <c r="EL42" s="28">
        <f>20599+33974</f>
        <v>54573</v>
      </c>
      <c r="EM42" s="28">
        <f>EK42+EL42</f>
        <v>119246</v>
      </c>
      <c r="EN42" s="100">
        <f>+EK42*100/EH42</f>
        <v>15.666757105066811</v>
      </c>
      <c r="EO42" s="93">
        <f>+EL42*100/EI42</f>
        <v>11.807737245229131</v>
      </c>
      <c r="EP42" s="93">
        <f>+EM42*100/EJ42</f>
        <v>13.628363490075246</v>
      </c>
      <c r="EQ42" s="28">
        <f>+CI42</f>
        <v>116670</v>
      </c>
      <c r="ER42" s="28">
        <f>+CJ42</f>
        <v>122060</v>
      </c>
      <c r="ES42" s="28">
        <f>+CK42</f>
        <v>238730</v>
      </c>
      <c r="ET42" s="28">
        <f>4152+7165</f>
        <v>11317</v>
      </c>
      <c r="EU42" s="28">
        <f>2688+5667</f>
        <v>8355</v>
      </c>
      <c r="EV42" s="28">
        <f>ET42+EU42</f>
        <v>19672</v>
      </c>
      <c r="EW42" s="93">
        <f>+ET42*100/EQ42</f>
        <v>9.7000085711836803</v>
      </c>
      <c r="EX42" s="93">
        <f>+EU42*100/ER42</f>
        <v>6.8449942651155169</v>
      </c>
      <c r="EY42" s="93">
        <f>+EV42*100/ES42</f>
        <v>8.2402714363506888</v>
      </c>
      <c r="EZ42" s="28">
        <f>+EB42</f>
        <v>20051</v>
      </c>
      <c r="FA42" s="28">
        <f>+EC42</f>
        <v>21534</v>
      </c>
      <c r="FB42" s="28">
        <f>+ED42</f>
        <v>41585</v>
      </c>
      <c r="FC42" s="28">
        <f>253+722</f>
        <v>975</v>
      </c>
      <c r="FD42" s="28">
        <f>180+517</f>
        <v>697</v>
      </c>
      <c r="FE42" s="28">
        <f>FC42+FD42</f>
        <v>1672</v>
      </c>
      <c r="FF42" s="93">
        <f>+FC42*100/EZ42</f>
        <v>4.8626003690588995</v>
      </c>
      <c r="FG42" s="93">
        <f>+FD42*100/FA42</f>
        <v>3.2367418965357109</v>
      </c>
      <c r="FH42" s="93">
        <f>+FE42*100/FB42</f>
        <v>4.0206805338463392</v>
      </c>
    </row>
    <row r="43" spans="1:164" ht="27" customHeight="1">
      <c r="A43" s="94">
        <v>34</v>
      </c>
      <c r="B43" s="118" t="s">
        <v>171</v>
      </c>
      <c r="C43" s="75">
        <v>14322</v>
      </c>
      <c r="D43" s="75">
        <v>35489</v>
      </c>
      <c r="E43" s="75">
        <f t="shared" si="182"/>
        <v>49811</v>
      </c>
      <c r="F43" s="75">
        <v>11937</v>
      </c>
      <c r="G43" s="75">
        <v>26315</v>
      </c>
      <c r="H43" s="75">
        <f t="shared" si="183"/>
        <v>38252</v>
      </c>
      <c r="I43" s="105"/>
      <c r="J43" s="105"/>
      <c r="K43" s="105"/>
      <c r="L43" s="97">
        <f t="shared" si="460"/>
        <v>11937</v>
      </c>
      <c r="M43" s="98">
        <f t="shared" si="461"/>
        <v>26315</v>
      </c>
      <c r="N43" s="98">
        <f t="shared" si="462"/>
        <v>38252</v>
      </c>
      <c r="O43" s="117">
        <f t="shared" ref="O43:O50" si="565">L43/C43</f>
        <v>0.83347297863426895</v>
      </c>
      <c r="P43" s="117">
        <f t="shared" si="188"/>
        <v>0.74149736538082223</v>
      </c>
      <c r="Q43" s="117">
        <f t="shared" si="189"/>
        <v>0.76794282387424462</v>
      </c>
      <c r="R43" s="28">
        <v>1517</v>
      </c>
      <c r="S43" s="28">
        <v>787</v>
      </c>
      <c r="T43" s="28">
        <f t="shared" si="478"/>
        <v>2304</v>
      </c>
      <c r="U43" s="28">
        <v>1212</v>
      </c>
      <c r="V43" s="28">
        <v>652</v>
      </c>
      <c r="W43" s="28">
        <f t="shared" si="258"/>
        <v>1864</v>
      </c>
      <c r="X43" s="106"/>
      <c r="Y43" s="106"/>
      <c r="Z43" s="106"/>
      <c r="AA43" s="28">
        <f t="shared" si="259"/>
        <v>1212</v>
      </c>
      <c r="AB43" s="28">
        <f t="shared" si="260"/>
        <v>652</v>
      </c>
      <c r="AC43" s="28">
        <f t="shared" si="261"/>
        <v>1864</v>
      </c>
      <c r="AD43" s="117">
        <f t="shared" si="560"/>
        <v>0.79894528675016485</v>
      </c>
      <c r="AE43" s="117">
        <f t="shared" si="561"/>
        <v>0.82846251588310038</v>
      </c>
      <c r="AF43" s="117">
        <f t="shared" si="481"/>
        <v>0.80902777777777779</v>
      </c>
      <c r="AG43" s="28">
        <f t="shared" si="190"/>
        <v>15839</v>
      </c>
      <c r="AH43" s="28">
        <f t="shared" si="191"/>
        <v>36276</v>
      </c>
      <c r="AI43" s="28">
        <f t="shared" si="191"/>
        <v>52115</v>
      </c>
      <c r="AJ43" s="28">
        <f t="shared" si="193"/>
        <v>13149</v>
      </c>
      <c r="AK43" s="28">
        <f t="shared" si="194"/>
        <v>26967</v>
      </c>
      <c r="AL43" s="28">
        <f t="shared" si="194"/>
        <v>40116</v>
      </c>
      <c r="AM43" s="106"/>
      <c r="AN43" s="106"/>
      <c r="AO43" s="106"/>
      <c r="AP43" s="28">
        <f t="shared" si="195"/>
        <v>13149</v>
      </c>
      <c r="AQ43" s="28">
        <f t="shared" si="196"/>
        <v>26967</v>
      </c>
      <c r="AR43" s="28">
        <f t="shared" si="196"/>
        <v>40116</v>
      </c>
      <c r="AS43" s="117">
        <f t="shared" si="197"/>
        <v>0.830166045836227</v>
      </c>
      <c r="AT43" s="117">
        <f t="shared" si="198"/>
        <v>0.74338405557393317</v>
      </c>
      <c r="AU43" s="117">
        <f t="shared" si="199"/>
        <v>0.7697591864146599</v>
      </c>
      <c r="AV43" s="92">
        <v>308</v>
      </c>
      <c r="AW43" s="92">
        <v>602</v>
      </c>
      <c r="AX43" s="92">
        <f t="shared" si="200"/>
        <v>910</v>
      </c>
      <c r="AY43" s="92">
        <v>244</v>
      </c>
      <c r="AZ43" s="92">
        <v>394</v>
      </c>
      <c r="BA43" s="92">
        <f t="shared" si="201"/>
        <v>638</v>
      </c>
      <c r="BB43" s="105"/>
      <c r="BC43" s="105"/>
      <c r="BD43" s="105"/>
      <c r="BE43" s="92">
        <f t="shared" si="202"/>
        <v>244</v>
      </c>
      <c r="BF43" s="92">
        <f t="shared" si="203"/>
        <v>394</v>
      </c>
      <c r="BG43" s="92">
        <f t="shared" si="203"/>
        <v>638</v>
      </c>
      <c r="BH43" s="117">
        <f t="shared" si="205"/>
        <v>0.79220779220779225</v>
      </c>
      <c r="BI43" s="117">
        <f t="shared" si="206"/>
        <v>0.654485049833887</v>
      </c>
      <c r="BJ43" s="117">
        <f t="shared" si="207"/>
        <v>0.70109890109890105</v>
      </c>
      <c r="BK43" s="28">
        <v>104</v>
      </c>
      <c r="BL43" s="28">
        <v>36</v>
      </c>
      <c r="BM43" s="28">
        <f t="shared" si="266"/>
        <v>140</v>
      </c>
      <c r="BN43" s="92">
        <v>58</v>
      </c>
      <c r="BO43" s="92">
        <v>23</v>
      </c>
      <c r="BP43" s="92">
        <f t="shared" si="267"/>
        <v>81</v>
      </c>
      <c r="BQ43" s="105"/>
      <c r="BR43" s="105"/>
      <c r="BS43" s="105"/>
      <c r="BT43" s="92">
        <f t="shared" si="482"/>
        <v>58</v>
      </c>
      <c r="BU43" s="92">
        <f t="shared" si="268"/>
        <v>23</v>
      </c>
      <c r="BV43" s="92">
        <f t="shared" si="268"/>
        <v>81</v>
      </c>
      <c r="BW43" s="117">
        <f t="shared" si="270"/>
        <v>0.55769230769230771</v>
      </c>
      <c r="BX43" s="117">
        <f t="shared" si="271"/>
        <v>0.63888888888888884</v>
      </c>
      <c r="BY43" s="117">
        <f t="shared" si="272"/>
        <v>0.57857142857142863</v>
      </c>
      <c r="BZ43" s="98">
        <f t="shared" si="554"/>
        <v>412</v>
      </c>
      <c r="CA43" s="98">
        <f t="shared" si="555"/>
        <v>638</v>
      </c>
      <c r="CB43" s="98">
        <f t="shared" si="556"/>
        <v>1050</v>
      </c>
      <c r="CC43" s="28">
        <f t="shared" si="211"/>
        <v>302</v>
      </c>
      <c r="CD43" s="28">
        <f t="shared" si="212"/>
        <v>417</v>
      </c>
      <c r="CE43" s="28">
        <f t="shared" si="213"/>
        <v>719</v>
      </c>
      <c r="CF43" s="106"/>
      <c r="CG43" s="106"/>
      <c r="CH43" s="106"/>
      <c r="CI43" s="28">
        <f t="shared" si="557"/>
        <v>302</v>
      </c>
      <c r="CJ43" s="28">
        <f t="shared" si="558"/>
        <v>417</v>
      </c>
      <c r="CK43" s="28">
        <f t="shared" si="559"/>
        <v>719</v>
      </c>
      <c r="CL43" s="117">
        <f t="shared" si="454"/>
        <v>0.73300970873786409</v>
      </c>
      <c r="CM43" s="117">
        <f t="shared" si="218"/>
        <v>0.65360501567398122</v>
      </c>
      <c r="CN43" s="117">
        <f t="shared" si="219"/>
        <v>0.68476190476190479</v>
      </c>
      <c r="CO43" s="92">
        <v>150</v>
      </c>
      <c r="CP43" s="92">
        <v>183</v>
      </c>
      <c r="CQ43" s="92">
        <f t="shared" si="220"/>
        <v>333</v>
      </c>
      <c r="CR43" s="92">
        <v>114</v>
      </c>
      <c r="CS43" s="92">
        <v>98</v>
      </c>
      <c r="CT43" s="92">
        <f t="shared" si="221"/>
        <v>212</v>
      </c>
      <c r="CU43" s="105"/>
      <c r="CV43" s="105"/>
      <c r="CW43" s="105"/>
      <c r="CX43" s="92">
        <f t="shared" si="222"/>
        <v>114</v>
      </c>
      <c r="CY43" s="92">
        <f t="shared" si="223"/>
        <v>98</v>
      </c>
      <c r="CZ43" s="92">
        <f t="shared" si="223"/>
        <v>212</v>
      </c>
      <c r="DA43" s="117">
        <f t="shared" si="273"/>
        <v>0.76</v>
      </c>
      <c r="DB43" s="117">
        <f t="shared" si="225"/>
        <v>0.53551912568306015</v>
      </c>
      <c r="DC43" s="117">
        <f t="shared" si="226"/>
        <v>0.63663663663663661</v>
      </c>
      <c r="DD43" s="28">
        <v>39</v>
      </c>
      <c r="DE43" s="28">
        <v>26</v>
      </c>
      <c r="DF43" s="28">
        <f t="shared" si="274"/>
        <v>65</v>
      </c>
      <c r="DG43" s="92">
        <v>24</v>
      </c>
      <c r="DH43" s="92">
        <v>15</v>
      </c>
      <c r="DI43" s="92">
        <f t="shared" si="275"/>
        <v>39</v>
      </c>
      <c r="DJ43" s="105"/>
      <c r="DK43" s="105"/>
      <c r="DL43" s="105"/>
      <c r="DM43" s="92">
        <f t="shared" si="276"/>
        <v>24</v>
      </c>
      <c r="DN43" s="92">
        <f t="shared" si="277"/>
        <v>15</v>
      </c>
      <c r="DO43" s="92">
        <f t="shared" si="277"/>
        <v>39</v>
      </c>
      <c r="DP43" s="116">
        <f t="shared" si="279"/>
        <v>0.61538461538461542</v>
      </c>
      <c r="DQ43" s="116">
        <f t="shared" si="280"/>
        <v>0.57692307692307687</v>
      </c>
      <c r="DR43" s="116">
        <f t="shared" si="281"/>
        <v>0.6</v>
      </c>
      <c r="DS43" s="98">
        <f t="shared" si="227"/>
        <v>189</v>
      </c>
      <c r="DT43" s="98">
        <f t="shared" si="228"/>
        <v>209</v>
      </c>
      <c r="DU43" s="28">
        <f t="shared" si="229"/>
        <v>398</v>
      </c>
      <c r="DV43" s="28">
        <f t="shared" si="230"/>
        <v>138</v>
      </c>
      <c r="DW43" s="28">
        <f t="shared" si="231"/>
        <v>113</v>
      </c>
      <c r="DX43" s="28">
        <f t="shared" si="232"/>
        <v>251</v>
      </c>
      <c r="DY43" s="106"/>
      <c r="DZ43" s="106"/>
      <c r="EA43" s="106"/>
      <c r="EB43" s="28">
        <f t="shared" si="233"/>
        <v>138</v>
      </c>
      <c r="EC43" s="28">
        <f t="shared" si="234"/>
        <v>113</v>
      </c>
      <c r="ED43" s="28">
        <f t="shared" si="235"/>
        <v>251</v>
      </c>
      <c r="EE43" s="117">
        <f t="shared" si="459"/>
        <v>0.73015873015873012</v>
      </c>
      <c r="EF43" s="117">
        <f t="shared" si="236"/>
        <v>0.54066985645933019</v>
      </c>
      <c r="EG43" s="117">
        <f t="shared" si="237"/>
        <v>0.6306532663316583</v>
      </c>
      <c r="EH43" s="28">
        <f t="shared" si="238"/>
        <v>13149</v>
      </c>
      <c r="EI43" s="28">
        <f t="shared" si="239"/>
        <v>26967</v>
      </c>
      <c r="EJ43" s="28">
        <f t="shared" si="239"/>
        <v>40116</v>
      </c>
      <c r="EK43" s="28">
        <v>1307</v>
      </c>
      <c r="EL43" s="28">
        <v>1846</v>
      </c>
      <c r="EM43" s="28">
        <f t="shared" si="241"/>
        <v>3153</v>
      </c>
      <c r="EN43" s="100">
        <f t="shared" si="470"/>
        <v>9.9399193855046004</v>
      </c>
      <c r="EO43" s="93">
        <f t="shared" si="471"/>
        <v>6.8454036414877439</v>
      </c>
      <c r="EP43" s="93">
        <f t="shared" si="472"/>
        <v>7.8597068501346099</v>
      </c>
      <c r="EQ43" s="28">
        <f t="shared" si="245"/>
        <v>302</v>
      </c>
      <c r="ER43" s="28">
        <f t="shared" si="246"/>
        <v>417</v>
      </c>
      <c r="ES43" s="28">
        <f t="shared" si="246"/>
        <v>719</v>
      </c>
      <c r="ET43" s="28">
        <v>10</v>
      </c>
      <c r="EU43" s="28">
        <v>11</v>
      </c>
      <c r="EV43" s="28">
        <f t="shared" si="248"/>
        <v>21</v>
      </c>
      <c r="EW43" s="93">
        <f t="shared" si="473"/>
        <v>3.3112582781456954</v>
      </c>
      <c r="EX43" s="93">
        <f t="shared" si="474"/>
        <v>2.6378896882494005</v>
      </c>
      <c r="EY43" s="93">
        <f t="shared" si="474"/>
        <v>2.9207232267037551</v>
      </c>
      <c r="EZ43" s="28">
        <f t="shared" si="252"/>
        <v>138</v>
      </c>
      <c r="FA43" s="28">
        <f t="shared" si="253"/>
        <v>113</v>
      </c>
      <c r="FB43" s="28">
        <f t="shared" si="253"/>
        <v>251</v>
      </c>
      <c r="FC43" s="28">
        <v>2</v>
      </c>
      <c r="FD43" s="28">
        <v>5</v>
      </c>
      <c r="FE43" s="28">
        <f t="shared" si="255"/>
        <v>7</v>
      </c>
      <c r="FF43" s="93">
        <f t="shared" si="475"/>
        <v>1.4492753623188406</v>
      </c>
      <c r="FG43" s="93">
        <f t="shared" si="476"/>
        <v>4.4247787610619467</v>
      </c>
      <c r="FH43" s="93">
        <f t="shared" si="477"/>
        <v>2.7888446215139444</v>
      </c>
    </row>
    <row r="44" spans="1:164" ht="27" customHeight="1">
      <c r="A44" s="94">
        <v>35</v>
      </c>
      <c r="B44" s="118" t="s">
        <v>163</v>
      </c>
      <c r="C44" s="96">
        <v>1485</v>
      </c>
      <c r="D44" s="96">
        <v>785</v>
      </c>
      <c r="E44" s="96">
        <f t="shared" ref="E44:E50" si="566">C44+D44</f>
        <v>2270</v>
      </c>
      <c r="F44" s="96">
        <v>1258</v>
      </c>
      <c r="G44" s="96">
        <v>667</v>
      </c>
      <c r="H44" s="96">
        <f t="shared" ref="H44:H50" si="567">F44+G44</f>
        <v>1925</v>
      </c>
      <c r="I44" s="96">
        <v>5</v>
      </c>
      <c r="J44" s="96">
        <v>0</v>
      </c>
      <c r="K44" s="96">
        <f>I44+J44</f>
        <v>5</v>
      </c>
      <c r="L44" s="97">
        <f t="shared" ref="L44:N50" si="568">F44+I44</f>
        <v>1263</v>
      </c>
      <c r="M44" s="98">
        <f t="shared" si="568"/>
        <v>667</v>
      </c>
      <c r="N44" s="98">
        <f t="shared" si="568"/>
        <v>1930</v>
      </c>
      <c r="O44" s="116">
        <f t="shared" si="565"/>
        <v>0.85050505050505054</v>
      </c>
      <c r="P44" s="116">
        <f t="shared" ref="P44:Q50" si="569">M44/D44</f>
        <v>0.84968152866242042</v>
      </c>
      <c r="Q44" s="116">
        <f t="shared" si="569"/>
        <v>0.85022026431718056</v>
      </c>
      <c r="R44" s="98">
        <v>4</v>
      </c>
      <c r="S44" s="98">
        <v>0</v>
      </c>
      <c r="T44" s="98">
        <f>R44+S44</f>
        <v>4</v>
      </c>
      <c r="U44" s="98">
        <v>4</v>
      </c>
      <c r="V44" s="98">
        <v>0</v>
      </c>
      <c r="W44" s="98">
        <f>U44+V44</f>
        <v>4</v>
      </c>
      <c r="X44" s="103"/>
      <c r="Y44" s="103"/>
      <c r="Z44" s="103"/>
      <c r="AA44" s="98">
        <f>U44+X44</f>
        <v>4</v>
      </c>
      <c r="AB44" s="98">
        <f>V44+Y44</f>
        <v>0</v>
      </c>
      <c r="AC44" s="98">
        <f>W44+Z44</f>
        <v>4</v>
      </c>
      <c r="AD44" s="116">
        <f t="shared" ref="AD44" si="570">AA44/R44</f>
        <v>1</v>
      </c>
      <c r="AE44" s="116">
        <v>0</v>
      </c>
      <c r="AF44" s="116">
        <f>AC44/T44</f>
        <v>1</v>
      </c>
      <c r="AG44" s="98">
        <f t="shared" ref="AG44:AR44" si="571">C44+R44</f>
        <v>1489</v>
      </c>
      <c r="AH44" s="98">
        <f t="shared" si="571"/>
        <v>785</v>
      </c>
      <c r="AI44" s="98">
        <f t="shared" si="571"/>
        <v>2274</v>
      </c>
      <c r="AJ44" s="98">
        <f t="shared" si="571"/>
        <v>1262</v>
      </c>
      <c r="AK44" s="98">
        <f t="shared" si="571"/>
        <v>667</v>
      </c>
      <c r="AL44" s="98">
        <f t="shared" si="571"/>
        <v>1929</v>
      </c>
      <c r="AM44" s="98">
        <f t="shared" si="571"/>
        <v>5</v>
      </c>
      <c r="AN44" s="98">
        <f t="shared" si="571"/>
        <v>0</v>
      </c>
      <c r="AO44" s="98">
        <f t="shared" si="571"/>
        <v>5</v>
      </c>
      <c r="AP44" s="98">
        <f t="shared" si="571"/>
        <v>1267</v>
      </c>
      <c r="AQ44" s="98">
        <f t="shared" si="571"/>
        <v>667</v>
      </c>
      <c r="AR44" s="98">
        <f t="shared" si="571"/>
        <v>1934</v>
      </c>
      <c r="AS44" s="116">
        <f t="shared" ref="AS44:AU50" si="572">AP44/AG44</f>
        <v>0.85090664875755539</v>
      </c>
      <c r="AT44" s="116">
        <f t="shared" si="572"/>
        <v>0.84968152866242042</v>
      </c>
      <c r="AU44" s="116">
        <f t="shared" si="572"/>
        <v>0.85048372911169745</v>
      </c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12"/>
      <c r="BI44" s="112"/>
      <c r="BJ44" s="112"/>
      <c r="BK44" s="103"/>
      <c r="BL44" s="103"/>
      <c r="BM44" s="103"/>
      <c r="BN44" s="104"/>
      <c r="BO44" s="104"/>
      <c r="BP44" s="104"/>
      <c r="BQ44" s="104"/>
      <c r="BR44" s="104"/>
      <c r="BS44" s="104"/>
      <c r="BT44" s="104"/>
      <c r="BU44" s="104"/>
      <c r="BV44" s="104"/>
      <c r="BW44" s="112"/>
      <c r="BX44" s="112"/>
      <c r="BY44" s="112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12"/>
      <c r="CM44" s="112"/>
      <c r="CN44" s="112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12"/>
      <c r="DB44" s="112"/>
      <c r="DC44" s="112"/>
      <c r="DD44" s="103"/>
      <c r="DE44" s="103"/>
      <c r="DF44" s="103"/>
      <c r="DG44" s="104"/>
      <c r="DH44" s="104"/>
      <c r="DI44" s="104"/>
      <c r="DJ44" s="104"/>
      <c r="DK44" s="104"/>
      <c r="DL44" s="104"/>
      <c r="DM44" s="104"/>
      <c r="DN44" s="104"/>
      <c r="DO44" s="104"/>
      <c r="DP44" s="112"/>
      <c r="DQ44" s="112"/>
      <c r="DR44" s="112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12"/>
      <c r="EF44" s="112"/>
      <c r="EG44" s="112"/>
      <c r="EH44" s="98">
        <f t="shared" ref="EH44:EI50" si="573">+AP44</f>
        <v>1267</v>
      </c>
      <c r="EI44" s="98">
        <f t="shared" si="573"/>
        <v>667</v>
      </c>
      <c r="EJ44" s="103"/>
      <c r="EK44" s="103"/>
      <c r="EL44" s="103"/>
      <c r="EM44" s="103"/>
      <c r="EN44" s="110"/>
      <c r="EO44" s="110"/>
      <c r="EP44" s="110"/>
      <c r="EQ44" s="103"/>
      <c r="ER44" s="103"/>
      <c r="ES44" s="103"/>
      <c r="ET44" s="103"/>
      <c r="EU44" s="103"/>
      <c r="EV44" s="103"/>
      <c r="EW44" s="110"/>
      <c r="EX44" s="110"/>
      <c r="EY44" s="110"/>
      <c r="EZ44" s="103"/>
      <c r="FA44" s="103"/>
      <c r="FB44" s="103"/>
      <c r="FC44" s="103"/>
      <c r="FD44" s="103"/>
      <c r="FE44" s="103"/>
      <c r="FF44" s="110"/>
      <c r="FG44" s="110"/>
      <c r="FH44" s="110"/>
    </row>
    <row r="45" spans="1:164" ht="28.5">
      <c r="A45" s="94">
        <v>36</v>
      </c>
      <c r="B45" s="118" t="s">
        <v>132</v>
      </c>
      <c r="C45" s="96">
        <v>876</v>
      </c>
      <c r="D45" s="96">
        <v>762</v>
      </c>
      <c r="E45" s="96">
        <f t="shared" si="566"/>
        <v>1638</v>
      </c>
      <c r="F45" s="96">
        <v>854</v>
      </c>
      <c r="G45" s="96">
        <v>719</v>
      </c>
      <c r="H45" s="96">
        <f t="shared" si="567"/>
        <v>1573</v>
      </c>
      <c r="I45" s="96">
        <v>8</v>
      </c>
      <c r="J45" s="96">
        <v>7</v>
      </c>
      <c r="K45" s="96">
        <f>I45+J45</f>
        <v>15</v>
      </c>
      <c r="L45" s="97">
        <f t="shared" si="568"/>
        <v>862</v>
      </c>
      <c r="M45" s="98">
        <f t="shared" si="568"/>
        <v>726</v>
      </c>
      <c r="N45" s="98">
        <f t="shared" si="568"/>
        <v>1588</v>
      </c>
      <c r="O45" s="116">
        <f t="shared" si="565"/>
        <v>0.98401826484018262</v>
      </c>
      <c r="P45" s="116">
        <f t="shared" si="569"/>
        <v>0.952755905511811</v>
      </c>
      <c r="Q45" s="116">
        <f t="shared" si="569"/>
        <v>0.96947496947496947</v>
      </c>
      <c r="R45" s="98">
        <v>0</v>
      </c>
      <c r="S45" s="98">
        <v>293</v>
      </c>
      <c r="T45" s="98">
        <f>R45+S45</f>
        <v>293</v>
      </c>
      <c r="U45" s="98">
        <v>0</v>
      </c>
      <c r="V45" s="98">
        <v>76</v>
      </c>
      <c r="W45" s="98">
        <f>U45+V45</f>
        <v>76</v>
      </c>
      <c r="X45" s="98">
        <v>0</v>
      </c>
      <c r="Y45" s="98">
        <v>61</v>
      </c>
      <c r="Z45" s="98">
        <f>X45+Y45</f>
        <v>61</v>
      </c>
      <c r="AA45" s="98">
        <f t="shared" ref="AA45" si="574">U45+X45</f>
        <v>0</v>
      </c>
      <c r="AB45" s="98">
        <f t="shared" ref="AB45" si="575">V45+Y45</f>
        <v>137</v>
      </c>
      <c r="AC45" s="98">
        <f t="shared" ref="AC45" si="576">W45+Z45</f>
        <v>137</v>
      </c>
      <c r="AD45" s="116">
        <v>0</v>
      </c>
      <c r="AE45" s="116">
        <f>AB45/S45</f>
        <v>0.46757679180887374</v>
      </c>
      <c r="AF45" s="116">
        <f>AC45/T45</f>
        <v>0.46757679180887374</v>
      </c>
      <c r="AG45" s="98">
        <f t="shared" ref="AG45" si="577">C45+R45</f>
        <v>876</v>
      </c>
      <c r="AH45" s="98">
        <f t="shared" ref="AH45" si="578">D45+S45</f>
        <v>1055</v>
      </c>
      <c r="AI45" s="98">
        <f t="shared" ref="AI45:AI50" si="579">E45+T45</f>
        <v>1931</v>
      </c>
      <c r="AJ45" s="98">
        <f t="shared" ref="AJ45" si="580">F45+U45</f>
        <v>854</v>
      </c>
      <c r="AK45" s="98">
        <f t="shared" ref="AK45" si="581">G45+V45</f>
        <v>795</v>
      </c>
      <c r="AL45" s="98">
        <f t="shared" ref="AL45:AL50" si="582">H45+W45</f>
        <v>1649</v>
      </c>
      <c r="AM45" s="98">
        <f t="shared" ref="AM45" si="583">I45+X45</f>
        <v>8</v>
      </c>
      <c r="AN45" s="98">
        <f t="shared" ref="AN45" si="584">J45+Y45</f>
        <v>68</v>
      </c>
      <c r="AO45" s="98">
        <f>K45+Z45</f>
        <v>76</v>
      </c>
      <c r="AP45" s="98">
        <f t="shared" ref="AP45" si="585">L45+AA45</f>
        <v>862</v>
      </c>
      <c r="AQ45" s="98">
        <f t="shared" ref="AQ45" si="586">M45+AB45</f>
        <v>863</v>
      </c>
      <c r="AR45" s="98">
        <f t="shared" ref="AR45:AR50" si="587">N45+AC45</f>
        <v>1725</v>
      </c>
      <c r="AS45" s="116">
        <f t="shared" si="572"/>
        <v>0.98401826484018262</v>
      </c>
      <c r="AT45" s="116">
        <f t="shared" si="572"/>
        <v>0.81800947867298579</v>
      </c>
      <c r="AU45" s="116">
        <f t="shared" si="572"/>
        <v>0.89331952356292077</v>
      </c>
      <c r="AV45" s="99">
        <v>10</v>
      </c>
      <c r="AW45" s="99">
        <v>7</v>
      </c>
      <c r="AX45" s="99">
        <f t="shared" ref="AX45:AX50" si="588">+AV45+AW45</f>
        <v>17</v>
      </c>
      <c r="AY45" s="99">
        <v>10</v>
      </c>
      <c r="AZ45" s="99">
        <v>7</v>
      </c>
      <c r="BA45" s="99">
        <f t="shared" ref="BA45:BA50" si="589">+AY45+AZ45</f>
        <v>17</v>
      </c>
      <c r="BB45" s="104"/>
      <c r="BC45" s="104"/>
      <c r="BD45" s="104"/>
      <c r="BE45" s="99">
        <f t="shared" ref="BE45:BG50" si="590">+AY45+BB45</f>
        <v>10</v>
      </c>
      <c r="BF45" s="99">
        <f t="shared" si="590"/>
        <v>7</v>
      </c>
      <c r="BG45" s="99">
        <f t="shared" si="590"/>
        <v>17</v>
      </c>
      <c r="BH45" s="116">
        <f t="shared" ref="BH45:BJ50" si="591">BE45/AV45</f>
        <v>1</v>
      </c>
      <c r="BI45" s="116">
        <f t="shared" si="591"/>
        <v>1</v>
      </c>
      <c r="BJ45" s="116">
        <f t="shared" si="591"/>
        <v>1</v>
      </c>
      <c r="BK45" s="103"/>
      <c r="BL45" s="103"/>
      <c r="BM45" s="103"/>
      <c r="BN45" s="104"/>
      <c r="BO45" s="104"/>
      <c r="BP45" s="104"/>
      <c r="BQ45" s="104"/>
      <c r="BR45" s="104"/>
      <c r="BS45" s="104"/>
      <c r="BT45" s="104"/>
      <c r="BU45" s="104"/>
      <c r="BV45" s="104"/>
      <c r="BW45" s="112"/>
      <c r="BX45" s="112"/>
      <c r="BY45" s="112"/>
      <c r="BZ45" s="98">
        <f t="shared" ref="BZ45:CE50" si="592">AV45+BK45</f>
        <v>10</v>
      </c>
      <c r="CA45" s="98">
        <f t="shared" si="592"/>
        <v>7</v>
      </c>
      <c r="CB45" s="98">
        <f t="shared" si="592"/>
        <v>17</v>
      </c>
      <c r="CC45" s="98">
        <f t="shared" si="592"/>
        <v>10</v>
      </c>
      <c r="CD45" s="98">
        <f t="shared" si="592"/>
        <v>7</v>
      </c>
      <c r="CE45" s="98">
        <f t="shared" si="592"/>
        <v>17</v>
      </c>
      <c r="CF45" s="103"/>
      <c r="CG45" s="103"/>
      <c r="CH45" s="103"/>
      <c r="CI45" s="98">
        <f t="shared" ref="CI45:CK50" si="593">BE45+BT45</f>
        <v>10</v>
      </c>
      <c r="CJ45" s="98">
        <f t="shared" si="593"/>
        <v>7</v>
      </c>
      <c r="CK45" s="98">
        <f t="shared" si="593"/>
        <v>17</v>
      </c>
      <c r="CL45" s="116">
        <f t="shared" ref="CL45:CN50" si="594">CI45/BZ45</f>
        <v>1</v>
      </c>
      <c r="CM45" s="116">
        <f t="shared" si="594"/>
        <v>1</v>
      </c>
      <c r="CN45" s="116">
        <f t="shared" si="594"/>
        <v>1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12"/>
      <c r="DB45" s="112"/>
      <c r="DC45" s="112"/>
      <c r="DD45" s="103"/>
      <c r="DE45" s="103"/>
      <c r="DF45" s="103"/>
      <c r="DG45" s="104"/>
      <c r="DH45" s="104"/>
      <c r="DI45" s="104"/>
      <c r="DJ45" s="104"/>
      <c r="DK45" s="104"/>
      <c r="DL45" s="104"/>
      <c r="DM45" s="104"/>
      <c r="DN45" s="104"/>
      <c r="DO45" s="104"/>
      <c r="DP45" s="112"/>
      <c r="DQ45" s="112"/>
      <c r="DR45" s="112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12"/>
      <c r="EF45" s="112"/>
      <c r="EG45" s="112"/>
      <c r="EH45" s="98">
        <f t="shared" si="573"/>
        <v>862</v>
      </c>
      <c r="EI45" s="98">
        <f t="shared" si="573"/>
        <v>863</v>
      </c>
      <c r="EJ45" s="98">
        <f t="shared" ref="EJ45:EJ50" si="595">+AR45</f>
        <v>1725</v>
      </c>
      <c r="EK45" s="98">
        <v>848</v>
      </c>
      <c r="EL45" s="98">
        <v>740</v>
      </c>
      <c r="EM45" s="98">
        <f>EK45+EL45</f>
        <v>1588</v>
      </c>
      <c r="EN45" s="100">
        <f>+EK45*100/EH45</f>
        <v>98.375870069605568</v>
      </c>
      <c r="EO45" s="100">
        <f t="shared" ref="EO45" si="596">+EL45*100/EI45</f>
        <v>85.747392815758985</v>
      </c>
      <c r="EP45" s="100">
        <f t="shared" ref="EP45" si="597">+EM45*100/EJ45</f>
        <v>92.05797101449275</v>
      </c>
      <c r="EQ45" s="98">
        <f t="shared" ref="EQ45:ES50" si="598">+CI45</f>
        <v>10</v>
      </c>
      <c r="ER45" s="98">
        <f t="shared" si="598"/>
        <v>7</v>
      </c>
      <c r="ES45" s="98">
        <f t="shared" si="598"/>
        <v>17</v>
      </c>
      <c r="ET45" s="98">
        <v>10</v>
      </c>
      <c r="EU45" s="98">
        <v>7</v>
      </c>
      <c r="EV45" s="98">
        <f>ET45+EU45</f>
        <v>17</v>
      </c>
      <c r="EW45" s="100">
        <f>+ET45*100/EQ45</f>
        <v>100</v>
      </c>
      <c r="EX45" s="100">
        <f t="shared" ref="EX45" si="599">+EU45*100/ER45</f>
        <v>100</v>
      </c>
      <c r="EY45" s="100">
        <f t="shared" ref="EY45" si="600">+EV45*100/ES45</f>
        <v>100</v>
      </c>
      <c r="EZ45" s="103"/>
      <c r="FA45" s="103"/>
      <c r="FB45" s="103"/>
      <c r="FC45" s="103"/>
      <c r="FD45" s="103"/>
      <c r="FE45" s="103"/>
      <c r="FF45" s="110"/>
      <c r="FG45" s="110"/>
      <c r="FH45" s="110"/>
    </row>
    <row r="46" spans="1:164" ht="28.5">
      <c r="A46" s="94">
        <v>37</v>
      </c>
      <c r="B46" s="118" t="s">
        <v>157</v>
      </c>
      <c r="C46" s="96">
        <v>1406</v>
      </c>
      <c r="D46" s="96">
        <v>448</v>
      </c>
      <c r="E46" s="96">
        <f t="shared" si="566"/>
        <v>1854</v>
      </c>
      <c r="F46" s="96">
        <v>519</v>
      </c>
      <c r="G46" s="96">
        <v>32</v>
      </c>
      <c r="H46" s="96">
        <f t="shared" si="567"/>
        <v>551</v>
      </c>
      <c r="I46" s="96">
        <v>318</v>
      </c>
      <c r="J46" s="96">
        <v>83</v>
      </c>
      <c r="K46" s="96">
        <f>I46+J46</f>
        <v>401</v>
      </c>
      <c r="L46" s="97">
        <f t="shared" si="568"/>
        <v>837</v>
      </c>
      <c r="M46" s="98">
        <f t="shared" si="568"/>
        <v>115</v>
      </c>
      <c r="N46" s="98">
        <f t="shared" si="568"/>
        <v>952</v>
      </c>
      <c r="O46" s="116">
        <f t="shared" si="565"/>
        <v>0.59530583214793742</v>
      </c>
      <c r="P46" s="116">
        <f t="shared" si="569"/>
        <v>0.25669642857142855</v>
      </c>
      <c r="Q46" s="116">
        <f t="shared" si="569"/>
        <v>0.51348435814455229</v>
      </c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12"/>
      <c r="AE46" s="112"/>
      <c r="AF46" s="112"/>
      <c r="AG46" s="98">
        <f t="shared" ref="AG46:AH50" si="601">C46+R46</f>
        <v>1406</v>
      </c>
      <c r="AH46" s="98">
        <f t="shared" si="601"/>
        <v>448</v>
      </c>
      <c r="AI46" s="98">
        <f t="shared" si="579"/>
        <v>1854</v>
      </c>
      <c r="AJ46" s="98">
        <f t="shared" ref="AJ46:AK50" si="602">F46+U46</f>
        <v>519</v>
      </c>
      <c r="AK46" s="98">
        <f t="shared" si="602"/>
        <v>32</v>
      </c>
      <c r="AL46" s="98">
        <f t="shared" si="582"/>
        <v>551</v>
      </c>
      <c r="AM46" s="98">
        <f t="shared" ref="AM46:AN48" si="603">I46+X46</f>
        <v>318</v>
      </c>
      <c r="AN46" s="98">
        <f t="shared" si="603"/>
        <v>83</v>
      </c>
      <c r="AO46" s="98">
        <f>K46+Z46</f>
        <v>401</v>
      </c>
      <c r="AP46" s="98">
        <f t="shared" ref="AP46:AQ50" si="604">L46+AA46</f>
        <v>837</v>
      </c>
      <c r="AQ46" s="98">
        <f t="shared" si="604"/>
        <v>115</v>
      </c>
      <c r="AR46" s="98">
        <f t="shared" si="587"/>
        <v>952</v>
      </c>
      <c r="AS46" s="116">
        <f t="shared" si="572"/>
        <v>0.59530583214793742</v>
      </c>
      <c r="AT46" s="116">
        <f t="shared" si="572"/>
        <v>0.25669642857142855</v>
      </c>
      <c r="AU46" s="116">
        <f t="shared" si="572"/>
        <v>0.51348435814455229</v>
      </c>
      <c r="AV46" s="99">
        <v>104</v>
      </c>
      <c r="AW46" s="99">
        <v>71</v>
      </c>
      <c r="AX46" s="99">
        <f t="shared" si="588"/>
        <v>175</v>
      </c>
      <c r="AY46" s="99">
        <v>11</v>
      </c>
      <c r="AZ46" s="99">
        <v>5</v>
      </c>
      <c r="BA46" s="99">
        <f t="shared" si="589"/>
        <v>16</v>
      </c>
      <c r="BB46" s="99">
        <v>20</v>
      </c>
      <c r="BC46" s="99">
        <v>13</v>
      </c>
      <c r="BD46" s="99">
        <f>+BB46+BC46</f>
        <v>33</v>
      </c>
      <c r="BE46" s="99">
        <f t="shared" si="590"/>
        <v>31</v>
      </c>
      <c r="BF46" s="99">
        <f t="shared" si="590"/>
        <v>18</v>
      </c>
      <c r="BG46" s="99">
        <f t="shared" si="590"/>
        <v>49</v>
      </c>
      <c r="BH46" s="116">
        <f t="shared" si="591"/>
        <v>0.29807692307692307</v>
      </c>
      <c r="BI46" s="116">
        <f t="shared" si="591"/>
        <v>0.25352112676056338</v>
      </c>
      <c r="BJ46" s="116">
        <f t="shared" si="591"/>
        <v>0.28000000000000003</v>
      </c>
      <c r="BK46" s="103"/>
      <c r="BL46" s="103"/>
      <c r="BM46" s="103"/>
      <c r="BN46" s="104"/>
      <c r="BO46" s="104"/>
      <c r="BP46" s="104"/>
      <c r="BQ46" s="104"/>
      <c r="BR46" s="104"/>
      <c r="BS46" s="104"/>
      <c r="BT46" s="104"/>
      <c r="BU46" s="104"/>
      <c r="BV46" s="104"/>
      <c r="BW46" s="112"/>
      <c r="BX46" s="112"/>
      <c r="BY46" s="112"/>
      <c r="BZ46" s="98">
        <f t="shared" si="592"/>
        <v>104</v>
      </c>
      <c r="CA46" s="98">
        <f t="shared" si="592"/>
        <v>71</v>
      </c>
      <c r="CB46" s="98">
        <f t="shared" si="592"/>
        <v>175</v>
      </c>
      <c r="CC46" s="98">
        <f t="shared" si="592"/>
        <v>11</v>
      </c>
      <c r="CD46" s="98">
        <f t="shared" si="592"/>
        <v>5</v>
      </c>
      <c r="CE46" s="98">
        <f t="shared" si="592"/>
        <v>16</v>
      </c>
      <c r="CF46" s="98">
        <f t="shared" ref="CF46:CH48" si="605">BB46+BQ46</f>
        <v>20</v>
      </c>
      <c r="CG46" s="98">
        <f t="shared" si="605"/>
        <v>13</v>
      </c>
      <c r="CH46" s="98">
        <f t="shared" si="605"/>
        <v>33</v>
      </c>
      <c r="CI46" s="98">
        <f t="shared" si="593"/>
        <v>31</v>
      </c>
      <c r="CJ46" s="98">
        <f t="shared" si="593"/>
        <v>18</v>
      </c>
      <c r="CK46" s="98">
        <f t="shared" si="593"/>
        <v>49</v>
      </c>
      <c r="CL46" s="116">
        <f t="shared" si="594"/>
        <v>0.29807692307692307</v>
      </c>
      <c r="CM46" s="116">
        <f t="shared" si="594"/>
        <v>0.25352112676056338</v>
      </c>
      <c r="CN46" s="116">
        <f t="shared" si="594"/>
        <v>0.28000000000000003</v>
      </c>
      <c r="CO46" s="99">
        <v>52</v>
      </c>
      <c r="CP46" s="99">
        <v>56</v>
      </c>
      <c r="CQ46" s="99">
        <f>+CO46+CP46</f>
        <v>108</v>
      </c>
      <c r="CR46" s="99">
        <v>1</v>
      </c>
      <c r="CS46" s="99">
        <v>2</v>
      </c>
      <c r="CT46" s="99">
        <f>+CR46+CS46</f>
        <v>3</v>
      </c>
      <c r="CU46" s="99">
        <v>6</v>
      </c>
      <c r="CV46" s="99">
        <v>16</v>
      </c>
      <c r="CW46" s="99">
        <f>+CU46+CV46</f>
        <v>22</v>
      </c>
      <c r="CX46" s="99">
        <f t="shared" ref="CX46:CZ50" si="606">+CR46+CU46</f>
        <v>7</v>
      </c>
      <c r="CY46" s="99">
        <f t="shared" si="606"/>
        <v>18</v>
      </c>
      <c r="CZ46" s="99">
        <f t="shared" si="606"/>
        <v>25</v>
      </c>
      <c r="DA46" s="116">
        <f t="shared" ref="DA46:DC48" si="607">CX46/CO46</f>
        <v>0.13461538461538461</v>
      </c>
      <c r="DB46" s="116">
        <f t="shared" si="607"/>
        <v>0.32142857142857145</v>
      </c>
      <c r="DC46" s="116">
        <f t="shared" si="607"/>
        <v>0.23148148148148148</v>
      </c>
      <c r="DD46" s="103"/>
      <c r="DE46" s="103"/>
      <c r="DF46" s="103"/>
      <c r="DG46" s="104"/>
      <c r="DH46" s="104"/>
      <c r="DI46" s="104"/>
      <c r="DJ46" s="104"/>
      <c r="DK46" s="104"/>
      <c r="DL46" s="104"/>
      <c r="DM46" s="104"/>
      <c r="DN46" s="104"/>
      <c r="DO46" s="104"/>
      <c r="DP46" s="112"/>
      <c r="DQ46" s="112"/>
      <c r="DR46" s="112"/>
      <c r="DS46" s="98">
        <f t="shared" ref="DS46:ED47" si="608">CO46+DD46</f>
        <v>52</v>
      </c>
      <c r="DT46" s="98">
        <f t="shared" si="608"/>
        <v>56</v>
      </c>
      <c r="DU46" s="98">
        <f t="shared" si="608"/>
        <v>108</v>
      </c>
      <c r="DV46" s="98">
        <f t="shared" si="608"/>
        <v>1</v>
      </c>
      <c r="DW46" s="98">
        <f t="shared" si="608"/>
        <v>2</v>
      </c>
      <c r="DX46" s="98">
        <f t="shared" si="608"/>
        <v>3</v>
      </c>
      <c r="DY46" s="98">
        <f t="shared" si="608"/>
        <v>6</v>
      </c>
      <c r="DZ46" s="98">
        <f t="shared" si="608"/>
        <v>16</v>
      </c>
      <c r="EA46" s="98">
        <f t="shared" si="608"/>
        <v>22</v>
      </c>
      <c r="EB46" s="98">
        <f t="shared" si="608"/>
        <v>7</v>
      </c>
      <c r="EC46" s="98">
        <f t="shared" si="608"/>
        <v>18</v>
      </c>
      <c r="ED46" s="98">
        <f t="shared" si="608"/>
        <v>25</v>
      </c>
      <c r="EE46" s="116">
        <f t="shared" ref="EE46:EG48" si="609">EB46/DS46</f>
        <v>0.13461538461538461</v>
      </c>
      <c r="EF46" s="116">
        <f t="shared" si="609"/>
        <v>0.32142857142857145</v>
      </c>
      <c r="EG46" s="116">
        <f t="shared" si="609"/>
        <v>0.23148148148148148</v>
      </c>
      <c r="EH46" s="98">
        <f t="shared" si="573"/>
        <v>837</v>
      </c>
      <c r="EI46" s="98">
        <f t="shared" si="573"/>
        <v>115</v>
      </c>
      <c r="EJ46" s="98">
        <f t="shared" si="595"/>
        <v>952</v>
      </c>
      <c r="EK46" s="103"/>
      <c r="EL46" s="103"/>
      <c r="EM46" s="103"/>
      <c r="EN46" s="110"/>
      <c r="EO46" s="110"/>
      <c r="EP46" s="110"/>
      <c r="EQ46" s="98">
        <f t="shared" si="598"/>
        <v>31</v>
      </c>
      <c r="ER46" s="98">
        <f t="shared" si="598"/>
        <v>18</v>
      </c>
      <c r="ES46" s="98">
        <f t="shared" si="598"/>
        <v>49</v>
      </c>
      <c r="ET46" s="103"/>
      <c r="EU46" s="103"/>
      <c r="EV46" s="103"/>
      <c r="EW46" s="103"/>
      <c r="EX46" s="103"/>
      <c r="EY46" s="103"/>
      <c r="EZ46" s="98">
        <f t="shared" ref="EZ46:FB50" si="610">+EB46</f>
        <v>7</v>
      </c>
      <c r="FA46" s="98">
        <f t="shared" si="610"/>
        <v>18</v>
      </c>
      <c r="FB46" s="98">
        <f t="shared" si="610"/>
        <v>25</v>
      </c>
      <c r="FC46" s="103"/>
      <c r="FD46" s="103"/>
      <c r="FE46" s="103"/>
      <c r="FF46" s="103"/>
      <c r="FG46" s="103"/>
      <c r="FH46" s="103"/>
    </row>
    <row r="47" spans="1:164" ht="27" customHeight="1">
      <c r="A47" s="94">
        <v>38</v>
      </c>
      <c r="B47" s="118" t="s">
        <v>161</v>
      </c>
      <c r="C47" s="96">
        <v>546</v>
      </c>
      <c r="D47" s="96">
        <v>284</v>
      </c>
      <c r="E47" s="96">
        <f t="shared" si="566"/>
        <v>830</v>
      </c>
      <c r="F47" s="96">
        <v>518</v>
      </c>
      <c r="G47" s="96">
        <v>264</v>
      </c>
      <c r="H47" s="96">
        <f t="shared" si="567"/>
        <v>782</v>
      </c>
      <c r="I47" s="96">
        <v>0</v>
      </c>
      <c r="J47" s="96">
        <v>0</v>
      </c>
      <c r="K47" s="96">
        <f>I47+J47</f>
        <v>0</v>
      </c>
      <c r="L47" s="97">
        <f t="shared" si="568"/>
        <v>518</v>
      </c>
      <c r="M47" s="98">
        <f t="shared" si="568"/>
        <v>264</v>
      </c>
      <c r="N47" s="98">
        <f t="shared" si="568"/>
        <v>782</v>
      </c>
      <c r="O47" s="116">
        <f t="shared" si="565"/>
        <v>0.94871794871794868</v>
      </c>
      <c r="P47" s="116">
        <f t="shared" si="569"/>
        <v>0.92957746478873238</v>
      </c>
      <c r="Q47" s="116">
        <f t="shared" si="569"/>
        <v>0.94216867469879517</v>
      </c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12"/>
      <c r="AE47" s="112"/>
      <c r="AF47" s="112"/>
      <c r="AG47" s="98">
        <f t="shared" si="601"/>
        <v>546</v>
      </c>
      <c r="AH47" s="98">
        <f t="shared" si="601"/>
        <v>284</v>
      </c>
      <c r="AI47" s="98">
        <f t="shared" si="579"/>
        <v>830</v>
      </c>
      <c r="AJ47" s="98">
        <f t="shared" si="602"/>
        <v>518</v>
      </c>
      <c r="AK47" s="98">
        <f t="shared" si="602"/>
        <v>264</v>
      </c>
      <c r="AL47" s="98">
        <f t="shared" si="582"/>
        <v>782</v>
      </c>
      <c r="AM47" s="98">
        <f t="shared" si="603"/>
        <v>0</v>
      </c>
      <c r="AN47" s="98">
        <f t="shared" si="603"/>
        <v>0</v>
      </c>
      <c r="AO47" s="98">
        <f>K47+Z47</f>
        <v>0</v>
      </c>
      <c r="AP47" s="98">
        <f t="shared" si="604"/>
        <v>518</v>
      </c>
      <c r="AQ47" s="98">
        <f t="shared" si="604"/>
        <v>264</v>
      </c>
      <c r="AR47" s="98">
        <f t="shared" si="587"/>
        <v>782</v>
      </c>
      <c r="AS47" s="116">
        <f t="shared" si="572"/>
        <v>0.94871794871794868</v>
      </c>
      <c r="AT47" s="116">
        <f t="shared" si="572"/>
        <v>0.92957746478873238</v>
      </c>
      <c r="AU47" s="116">
        <f t="shared" si="572"/>
        <v>0.94216867469879517</v>
      </c>
      <c r="AV47" s="99">
        <v>69</v>
      </c>
      <c r="AW47" s="99">
        <v>83</v>
      </c>
      <c r="AX47" s="99">
        <f t="shared" si="588"/>
        <v>152</v>
      </c>
      <c r="AY47" s="99">
        <v>60</v>
      </c>
      <c r="AZ47" s="99">
        <v>77</v>
      </c>
      <c r="BA47" s="99">
        <f t="shared" si="589"/>
        <v>137</v>
      </c>
      <c r="BB47" s="99">
        <v>0</v>
      </c>
      <c r="BC47" s="99">
        <v>0</v>
      </c>
      <c r="BD47" s="99">
        <f>+BB47+BC47</f>
        <v>0</v>
      </c>
      <c r="BE47" s="99">
        <f t="shared" si="590"/>
        <v>60</v>
      </c>
      <c r="BF47" s="99">
        <f t="shared" si="590"/>
        <v>77</v>
      </c>
      <c r="BG47" s="99">
        <f t="shared" si="590"/>
        <v>137</v>
      </c>
      <c r="BH47" s="116">
        <f t="shared" si="591"/>
        <v>0.86956521739130432</v>
      </c>
      <c r="BI47" s="116">
        <f t="shared" si="591"/>
        <v>0.92771084337349397</v>
      </c>
      <c r="BJ47" s="116">
        <f t="shared" si="591"/>
        <v>0.90131578947368418</v>
      </c>
      <c r="BK47" s="111"/>
      <c r="BL47" s="111"/>
      <c r="BM47" s="103"/>
      <c r="BN47" s="104"/>
      <c r="BO47" s="104"/>
      <c r="BP47" s="104"/>
      <c r="BQ47" s="104"/>
      <c r="BR47" s="104"/>
      <c r="BS47" s="104"/>
      <c r="BT47" s="104"/>
      <c r="BU47" s="104"/>
      <c r="BV47" s="104"/>
      <c r="BW47" s="112"/>
      <c r="BX47" s="112"/>
      <c r="BY47" s="112"/>
      <c r="BZ47" s="98">
        <f t="shared" si="592"/>
        <v>69</v>
      </c>
      <c r="CA47" s="98">
        <f t="shared" si="592"/>
        <v>83</v>
      </c>
      <c r="CB47" s="98">
        <f t="shared" si="592"/>
        <v>152</v>
      </c>
      <c r="CC47" s="98">
        <f t="shared" si="592"/>
        <v>60</v>
      </c>
      <c r="CD47" s="98">
        <f t="shared" si="592"/>
        <v>77</v>
      </c>
      <c r="CE47" s="98">
        <f t="shared" si="592"/>
        <v>137</v>
      </c>
      <c r="CF47" s="98">
        <f t="shared" si="605"/>
        <v>0</v>
      </c>
      <c r="CG47" s="98">
        <f t="shared" si="605"/>
        <v>0</v>
      </c>
      <c r="CH47" s="98">
        <f t="shared" si="605"/>
        <v>0</v>
      </c>
      <c r="CI47" s="98">
        <f t="shared" si="593"/>
        <v>60</v>
      </c>
      <c r="CJ47" s="98">
        <f t="shared" si="593"/>
        <v>77</v>
      </c>
      <c r="CK47" s="98">
        <f t="shared" si="593"/>
        <v>137</v>
      </c>
      <c r="CL47" s="116">
        <f t="shared" si="594"/>
        <v>0.86956521739130432</v>
      </c>
      <c r="CM47" s="116">
        <f t="shared" si="594"/>
        <v>0.92771084337349397</v>
      </c>
      <c r="CN47" s="116">
        <f t="shared" si="594"/>
        <v>0.90131578947368418</v>
      </c>
      <c r="CO47" s="99">
        <v>7</v>
      </c>
      <c r="CP47" s="99">
        <v>10</v>
      </c>
      <c r="CQ47" s="99">
        <f>+CO47+CP47</f>
        <v>17</v>
      </c>
      <c r="CR47" s="99">
        <v>5</v>
      </c>
      <c r="CS47" s="99">
        <v>9</v>
      </c>
      <c r="CT47" s="99">
        <f>+CR47+CS47</f>
        <v>14</v>
      </c>
      <c r="CU47" s="99">
        <v>0</v>
      </c>
      <c r="CV47" s="99">
        <v>0</v>
      </c>
      <c r="CW47" s="99">
        <f>+CU47+CV47</f>
        <v>0</v>
      </c>
      <c r="CX47" s="99">
        <f t="shared" si="606"/>
        <v>5</v>
      </c>
      <c r="CY47" s="99">
        <f t="shared" si="606"/>
        <v>9</v>
      </c>
      <c r="CZ47" s="99">
        <f t="shared" si="606"/>
        <v>14</v>
      </c>
      <c r="DA47" s="116">
        <f t="shared" si="607"/>
        <v>0.7142857142857143</v>
      </c>
      <c r="DB47" s="116">
        <f t="shared" si="607"/>
        <v>0.9</v>
      </c>
      <c r="DC47" s="116">
        <f t="shared" si="607"/>
        <v>0.82352941176470584</v>
      </c>
      <c r="DD47" s="111"/>
      <c r="DE47" s="111"/>
      <c r="DF47" s="103"/>
      <c r="DG47" s="104"/>
      <c r="DH47" s="104"/>
      <c r="DI47" s="104"/>
      <c r="DJ47" s="104"/>
      <c r="DK47" s="104"/>
      <c r="DL47" s="104"/>
      <c r="DM47" s="104"/>
      <c r="DN47" s="104"/>
      <c r="DO47" s="104"/>
      <c r="DP47" s="112"/>
      <c r="DQ47" s="112"/>
      <c r="DR47" s="112"/>
      <c r="DS47" s="98">
        <f t="shared" si="608"/>
        <v>7</v>
      </c>
      <c r="DT47" s="98">
        <f t="shared" si="608"/>
        <v>10</v>
      </c>
      <c r="DU47" s="98">
        <f t="shared" si="608"/>
        <v>17</v>
      </c>
      <c r="DV47" s="98">
        <f t="shared" si="608"/>
        <v>5</v>
      </c>
      <c r="DW47" s="98">
        <f t="shared" si="608"/>
        <v>9</v>
      </c>
      <c r="DX47" s="98">
        <f t="shared" si="608"/>
        <v>14</v>
      </c>
      <c r="DY47" s="98">
        <f t="shared" si="608"/>
        <v>0</v>
      </c>
      <c r="DZ47" s="98">
        <f t="shared" si="608"/>
        <v>0</v>
      </c>
      <c r="EA47" s="98">
        <f t="shared" si="608"/>
        <v>0</v>
      </c>
      <c r="EB47" s="98">
        <f t="shared" si="608"/>
        <v>5</v>
      </c>
      <c r="EC47" s="98">
        <f t="shared" si="608"/>
        <v>9</v>
      </c>
      <c r="ED47" s="98">
        <f t="shared" si="608"/>
        <v>14</v>
      </c>
      <c r="EE47" s="116">
        <f t="shared" si="609"/>
        <v>0.7142857142857143</v>
      </c>
      <c r="EF47" s="116">
        <f t="shared" si="609"/>
        <v>0.9</v>
      </c>
      <c r="EG47" s="116">
        <f t="shared" si="609"/>
        <v>0.82352941176470584</v>
      </c>
      <c r="EH47" s="98">
        <f t="shared" si="573"/>
        <v>518</v>
      </c>
      <c r="EI47" s="98">
        <f t="shared" si="573"/>
        <v>264</v>
      </c>
      <c r="EJ47" s="98">
        <f t="shared" si="595"/>
        <v>782</v>
      </c>
      <c r="EK47" s="101">
        <v>249</v>
      </c>
      <c r="EL47" s="101">
        <v>165</v>
      </c>
      <c r="EM47" s="98">
        <f>EK47+EL47</f>
        <v>414</v>
      </c>
      <c r="EN47" s="100">
        <f t="shared" ref="EN47:EP50" si="611">+EK47*100/EH47</f>
        <v>48.069498069498067</v>
      </c>
      <c r="EO47" s="100">
        <f t="shared" si="611"/>
        <v>62.5</v>
      </c>
      <c r="EP47" s="100">
        <f t="shared" si="611"/>
        <v>52.941176470588232</v>
      </c>
      <c r="EQ47" s="98">
        <f t="shared" si="598"/>
        <v>60</v>
      </c>
      <c r="ER47" s="98">
        <f t="shared" si="598"/>
        <v>77</v>
      </c>
      <c r="ES47" s="98">
        <f t="shared" si="598"/>
        <v>137</v>
      </c>
      <c r="ET47" s="101">
        <v>16</v>
      </c>
      <c r="EU47" s="101">
        <v>39</v>
      </c>
      <c r="EV47" s="98">
        <f>ET47+EU47</f>
        <v>55</v>
      </c>
      <c r="EW47" s="100">
        <f t="shared" ref="EW47:EY49" si="612">+ET47*100/EQ47</f>
        <v>26.666666666666668</v>
      </c>
      <c r="EX47" s="100">
        <f t="shared" si="612"/>
        <v>50.649350649350652</v>
      </c>
      <c r="EY47" s="100">
        <f t="shared" si="612"/>
        <v>40.145985401459853</v>
      </c>
      <c r="EZ47" s="98">
        <f t="shared" si="610"/>
        <v>5</v>
      </c>
      <c r="FA47" s="98">
        <f t="shared" si="610"/>
        <v>9</v>
      </c>
      <c r="FB47" s="98">
        <f t="shared" si="610"/>
        <v>14</v>
      </c>
      <c r="FC47" s="101">
        <v>4</v>
      </c>
      <c r="FD47" s="101">
        <v>5</v>
      </c>
      <c r="FE47" s="98">
        <f>FC47+FD47</f>
        <v>9</v>
      </c>
      <c r="FF47" s="100">
        <f t="shared" ref="FF47:FH48" si="613">+FC47*100/EZ47</f>
        <v>80</v>
      </c>
      <c r="FG47" s="100">
        <f t="shared" si="613"/>
        <v>55.555555555555557</v>
      </c>
      <c r="FH47" s="100">
        <f t="shared" si="613"/>
        <v>64.285714285714292</v>
      </c>
    </row>
    <row r="48" spans="1:164" ht="27" customHeight="1">
      <c r="A48" s="94">
        <v>39</v>
      </c>
      <c r="B48" s="118" t="s">
        <v>166</v>
      </c>
      <c r="C48" s="75">
        <v>125</v>
      </c>
      <c r="D48" s="75">
        <v>117</v>
      </c>
      <c r="E48" s="75">
        <f t="shared" si="566"/>
        <v>242</v>
      </c>
      <c r="F48" s="75">
        <v>120</v>
      </c>
      <c r="G48" s="75">
        <v>110</v>
      </c>
      <c r="H48" s="75">
        <f t="shared" si="567"/>
        <v>230</v>
      </c>
      <c r="I48" s="75">
        <v>2</v>
      </c>
      <c r="J48" s="75">
        <v>4</v>
      </c>
      <c r="K48" s="75">
        <f>I48+J48</f>
        <v>6</v>
      </c>
      <c r="L48" s="97">
        <f t="shared" si="568"/>
        <v>122</v>
      </c>
      <c r="M48" s="98">
        <f t="shared" si="568"/>
        <v>114</v>
      </c>
      <c r="N48" s="98">
        <f t="shared" si="568"/>
        <v>236</v>
      </c>
      <c r="O48" s="117">
        <f t="shared" si="565"/>
        <v>0.97599999999999998</v>
      </c>
      <c r="P48" s="117">
        <f t="shared" si="569"/>
        <v>0.97435897435897434</v>
      </c>
      <c r="Q48" s="117">
        <f t="shared" si="569"/>
        <v>0.97520661157024791</v>
      </c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14"/>
      <c r="AE48" s="114"/>
      <c r="AF48" s="114"/>
      <c r="AG48" s="28">
        <f t="shared" si="601"/>
        <v>125</v>
      </c>
      <c r="AH48" s="28">
        <f t="shared" si="601"/>
        <v>117</v>
      </c>
      <c r="AI48" s="28">
        <f t="shared" si="579"/>
        <v>242</v>
      </c>
      <c r="AJ48" s="28">
        <f t="shared" si="602"/>
        <v>120</v>
      </c>
      <c r="AK48" s="28">
        <f t="shared" si="602"/>
        <v>110</v>
      </c>
      <c r="AL48" s="28">
        <f t="shared" si="582"/>
        <v>230</v>
      </c>
      <c r="AM48" s="28">
        <f t="shared" si="603"/>
        <v>2</v>
      </c>
      <c r="AN48" s="28">
        <f t="shared" si="603"/>
        <v>4</v>
      </c>
      <c r="AO48" s="28">
        <f>K48+Z48</f>
        <v>6</v>
      </c>
      <c r="AP48" s="28">
        <f t="shared" si="604"/>
        <v>122</v>
      </c>
      <c r="AQ48" s="28">
        <f t="shared" si="604"/>
        <v>114</v>
      </c>
      <c r="AR48" s="28">
        <f t="shared" si="587"/>
        <v>236</v>
      </c>
      <c r="AS48" s="117">
        <f t="shared" si="572"/>
        <v>0.97599999999999998</v>
      </c>
      <c r="AT48" s="117">
        <f t="shared" si="572"/>
        <v>0.97435897435897434</v>
      </c>
      <c r="AU48" s="117">
        <f t="shared" si="572"/>
        <v>0.97520661157024791</v>
      </c>
      <c r="AV48" s="92">
        <v>20</v>
      </c>
      <c r="AW48" s="92">
        <v>20</v>
      </c>
      <c r="AX48" s="92">
        <f t="shared" si="588"/>
        <v>40</v>
      </c>
      <c r="AY48" s="92">
        <v>19</v>
      </c>
      <c r="AZ48" s="92">
        <v>17</v>
      </c>
      <c r="BA48" s="92">
        <f t="shared" si="589"/>
        <v>36</v>
      </c>
      <c r="BB48" s="92">
        <v>1</v>
      </c>
      <c r="BC48" s="92">
        <v>1</v>
      </c>
      <c r="BD48" s="92">
        <f>+BB48+BC48</f>
        <v>2</v>
      </c>
      <c r="BE48" s="92">
        <f t="shared" si="590"/>
        <v>20</v>
      </c>
      <c r="BF48" s="92">
        <f t="shared" si="590"/>
        <v>18</v>
      </c>
      <c r="BG48" s="92">
        <f t="shared" si="590"/>
        <v>38</v>
      </c>
      <c r="BH48" s="117">
        <f t="shared" si="591"/>
        <v>1</v>
      </c>
      <c r="BI48" s="117">
        <f t="shared" si="591"/>
        <v>0.9</v>
      </c>
      <c r="BJ48" s="117">
        <f t="shared" si="591"/>
        <v>0.95</v>
      </c>
      <c r="BK48" s="107"/>
      <c r="BL48" s="107"/>
      <c r="BM48" s="106"/>
      <c r="BN48" s="105"/>
      <c r="BO48" s="105"/>
      <c r="BP48" s="105"/>
      <c r="BQ48" s="105"/>
      <c r="BR48" s="105"/>
      <c r="BS48" s="105"/>
      <c r="BT48" s="105"/>
      <c r="BU48" s="105"/>
      <c r="BV48" s="105"/>
      <c r="BW48" s="114"/>
      <c r="BX48" s="114"/>
      <c r="BY48" s="114"/>
      <c r="BZ48" s="98">
        <f t="shared" si="592"/>
        <v>20</v>
      </c>
      <c r="CA48" s="98">
        <f t="shared" si="592"/>
        <v>20</v>
      </c>
      <c r="CB48" s="98">
        <f t="shared" si="592"/>
        <v>40</v>
      </c>
      <c r="CC48" s="28">
        <f t="shared" si="592"/>
        <v>19</v>
      </c>
      <c r="CD48" s="28">
        <f t="shared" si="592"/>
        <v>17</v>
      </c>
      <c r="CE48" s="28">
        <f t="shared" si="592"/>
        <v>36</v>
      </c>
      <c r="CF48" s="28">
        <f t="shared" si="605"/>
        <v>1</v>
      </c>
      <c r="CG48" s="28">
        <f t="shared" si="605"/>
        <v>1</v>
      </c>
      <c r="CH48" s="28">
        <f t="shared" si="605"/>
        <v>2</v>
      </c>
      <c r="CI48" s="28">
        <f t="shared" si="593"/>
        <v>20</v>
      </c>
      <c r="CJ48" s="28">
        <f t="shared" si="593"/>
        <v>18</v>
      </c>
      <c r="CK48" s="28">
        <f t="shared" si="593"/>
        <v>38</v>
      </c>
      <c r="CL48" s="117">
        <f t="shared" si="594"/>
        <v>1</v>
      </c>
      <c r="CM48" s="117">
        <f t="shared" si="594"/>
        <v>0.9</v>
      </c>
      <c r="CN48" s="117">
        <f t="shared" si="594"/>
        <v>0.95</v>
      </c>
      <c r="CO48" s="92">
        <v>13</v>
      </c>
      <c r="CP48" s="92">
        <v>20</v>
      </c>
      <c r="CQ48" s="92">
        <f>+CO48+CP48</f>
        <v>33</v>
      </c>
      <c r="CR48" s="92">
        <v>12</v>
      </c>
      <c r="CS48" s="92">
        <v>19</v>
      </c>
      <c r="CT48" s="92">
        <f>+CR48+CS48</f>
        <v>31</v>
      </c>
      <c r="CU48" s="105"/>
      <c r="CV48" s="105"/>
      <c r="CW48" s="105"/>
      <c r="CX48" s="92">
        <f t="shared" si="606"/>
        <v>12</v>
      </c>
      <c r="CY48" s="92">
        <f t="shared" si="606"/>
        <v>19</v>
      </c>
      <c r="CZ48" s="92">
        <f t="shared" si="606"/>
        <v>31</v>
      </c>
      <c r="DA48" s="117">
        <f t="shared" si="607"/>
        <v>0.92307692307692313</v>
      </c>
      <c r="DB48" s="117">
        <f t="shared" si="607"/>
        <v>0.95</v>
      </c>
      <c r="DC48" s="117">
        <f t="shared" si="607"/>
        <v>0.93939393939393945</v>
      </c>
      <c r="DD48" s="107"/>
      <c r="DE48" s="107"/>
      <c r="DF48" s="106"/>
      <c r="DG48" s="105"/>
      <c r="DH48" s="105"/>
      <c r="DI48" s="105"/>
      <c r="DJ48" s="105"/>
      <c r="DK48" s="105"/>
      <c r="DL48" s="105"/>
      <c r="DM48" s="105"/>
      <c r="DN48" s="105"/>
      <c r="DO48" s="105"/>
      <c r="DP48" s="112"/>
      <c r="DQ48" s="112"/>
      <c r="DR48" s="112"/>
      <c r="DS48" s="98">
        <f t="shared" ref="DS48:DX50" si="614">CO48+DD48</f>
        <v>13</v>
      </c>
      <c r="DT48" s="98">
        <f t="shared" si="614"/>
        <v>20</v>
      </c>
      <c r="DU48" s="28">
        <f t="shared" si="614"/>
        <v>33</v>
      </c>
      <c r="DV48" s="28">
        <f t="shared" si="614"/>
        <v>12</v>
      </c>
      <c r="DW48" s="28">
        <f t="shared" si="614"/>
        <v>19</v>
      </c>
      <c r="DX48" s="28">
        <f t="shared" si="614"/>
        <v>31</v>
      </c>
      <c r="DY48" s="106"/>
      <c r="DZ48" s="106"/>
      <c r="EA48" s="106"/>
      <c r="EB48" s="28">
        <f t="shared" ref="EB48:ED50" si="615">CX48+DM48</f>
        <v>12</v>
      </c>
      <c r="EC48" s="28">
        <f t="shared" si="615"/>
        <v>19</v>
      </c>
      <c r="ED48" s="28">
        <f t="shared" si="615"/>
        <v>31</v>
      </c>
      <c r="EE48" s="117">
        <f t="shared" si="609"/>
        <v>0.92307692307692313</v>
      </c>
      <c r="EF48" s="117">
        <f t="shared" si="609"/>
        <v>0.95</v>
      </c>
      <c r="EG48" s="117">
        <f t="shared" si="609"/>
        <v>0.93939393939393945</v>
      </c>
      <c r="EH48" s="28">
        <f t="shared" si="573"/>
        <v>122</v>
      </c>
      <c r="EI48" s="28">
        <f t="shared" si="573"/>
        <v>114</v>
      </c>
      <c r="EJ48" s="28">
        <f t="shared" si="595"/>
        <v>236</v>
      </c>
      <c r="EK48" s="32">
        <v>93</v>
      </c>
      <c r="EL48" s="32">
        <v>94</v>
      </c>
      <c r="EM48" s="28">
        <f>EK48+EL48</f>
        <v>187</v>
      </c>
      <c r="EN48" s="100">
        <f t="shared" si="611"/>
        <v>76.229508196721312</v>
      </c>
      <c r="EO48" s="93">
        <f t="shared" si="611"/>
        <v>82.456140350877192</v>
      </c>
      <c r="EP48" s="93">
        <f t="shared" si="611"/>
        <v>79.237288135593218</v>
      </c>
      <c r="EQ48" s="28">
        <f t="shared" si="598"/>
        <v>20</v>
      </c>
      <c r="ER48" s="28">
        <f t="shared" si="598"/>
        <v>18</v>
      </c>
      <c r="ES48" s="28">
        <f t="shared" si="598"/>
        <v>38</v>
      </c>
      <c r="ET48" s="32">
        <v>15</v>
      </c>
      <c r="EU48" s="32">
        <v>12</v>
      </c>
      <c r="EV48" s="28">
        <f>ET48+EU48</f>
        <v>27</v>
      </c>
      <c r="EW48" s="93">
        <f t="shared" si="612"/>
        <v>75</v>
      </c>
      <c r="EX48" s="93">
        <f t="shared" si="612"/>
        <v>66.666666666666671</v>
      </c>
      <c r="EY48" s="93">
        <f t="shared" si="612"/>
        <v>71.05263157894737</v>
      </c>
      <c r="EZ48" s="28">
        <f t="shared" si="610"/>
        <v>12</v>
      </c>
      <c r="FA48" s="28">
        <f t="shared" si="610"/>
        <v>19</v>
      </c>
      <c r="FB48" s="28">
        <f t="shared" si="610"/>
        <v>31</v>
      </c>
      <c r="FC48" s="32">
        <v>9</v>
      </c>
      <c r="FD48" s="32">
        <v>13</v>
      </c>
      <c r="FE48" s="28">
        <f>FC48+FD48</f>
        <v>22</v>
      </c>
      <c r="FF48" s="93">
        <f t="shared" si="613"/>
        <v>75</v>
      </c>
      <c r="FG48" s="93">
        <f t="shared" si="613"/>
        <v>68.421052631578945</v>
      </c>
      <c r="FH48" s="93">
        <f t="shared" si="613"/>
        <v>70.967741935483872</v>
      </c>
    </row>
    <row r="49" spans="1:164" ht="27" customHeight="1">
      <c r="A49" s="94">
        <v>40</v>
      </c>
      <c r="B49" s="118" t="s">
        <v>167</v>
      </c>
      <c r="C49" s="75">
        <v>11829</v>
      </c>
      <c r="D49" s="75">
        <v>4870</v>
      </c>
      <c r="E49" s="75">
        <f t="shared" si="566"/>
        <v>16699</v>
      </c>
      <c r="F49" s="75">
        <v>11328</v>
      </c>
      <c r="G49" s="75">
        <v>4673</v>
      </c>
      <c r="H49" s="75">
        <f t="shared" si="567"/>
        <v>16001</v>
      </c>
      <c r="I49" s="105"/>
      <c r="J49" s="105"/>
      <c r="K49" s="105"/>
      <c r="L49" s="97">
        <f t="shared" si="568"/>
        <v>11328</v>
      </c>
      <c r="M49" s="98">
        <f t="shared" si="568"/>
        <v>4673</v>
      </c>
      <c r="N49" s="98">
        <f t="shared" si="568"/>
        <v>16001</v>
      </c>
      <c r="O49" s="117">
        <f t="shared" si="565"/>
        <v>0.95764646208470705</v>
      </c>
      <c r="P49" s="117">
        <f t="shared" si="569"/>
        <v>0.95954825462012316</v>
      </c>
      <c r="Q49" s="117">
        <f t="shared" si="569"/>
        <v>0.95820108988562191</v>
      </c>
      <c r="R49" s="28">
        <v>1128</v>
      </c>
      <c r="S49" s="28">
        <v>516</v>
      </c>
      <c r="T49" s="28">
        <f>R49+S49</f>
        <v>1644</v>
      </c>
      <c r="U49" s="28">
        <v>917</v>
      </c>
      <c r="V49" s="28">
        <v>423</v>
      </c>
      <c r="W49" s="28">
        <f>U49+V49</f>
        <v>1340</v>
      </c>
      <c r="X49" s="106"/>
      <c r="Y49" s="106"/>
      <c r="Z49" s="106"/>
      <c r="AA49" s="28">
        <f t="shared" ref="AA49:AC50" si="616">U49+X49</f>
        <v>917</v>
      </c>
      <c r="AB49" s="28">
        <f t="shared" si="616"/>
        <v>423</v>
      </c>
      <c r="AC49" s="28">
        <f t="shared" si="616"/>
        <v>1340</v>
      </c>
      <c r="AD49" s="117">
        <f t="shared" ref="AD49:AF50" si="617">AA49/R49</f>
        <v>0.81294326241134751</v>
      </c>
      <c r="AE49" s="117">
        <f t="shared" si="617"/>
        <v>0.81976744186046513</v>
      </c>
      <c r="AF49" s="117">
        <f t="shared" si="617"/>
        <v>0.81508515815085159</v>
      </c>
      <c r="AG49" s="28">
        <f t="shared" si="601"/>
        <v>12957</v>
      </c>
      <c r="AH49" s="28">
        <f t="shared" si="601"/>
        <v>5386</v>
      </c>
      <c r="AI49" s="28">
        <f t="shared" si="579"/>
        <v>18343</v>
      </c>
      <c r="AJ49" s="28">
        <f t="shared" si="602"/>
        <v>12245</v>
      </c>
      <c r="AK49" s="28">
        <f t="shared" si="602"/>
        <v>5096</v>
      </c>
      <c r="AL49" s="28">
        <f t="shared" si="582"/>
        <v>17341</v>
      </c>
      <c r="AM49" s="106"/>
      <c r="AN49" s="106"/>
      <c r="AO49" s="106"/>
      <c r="AP49" s="28">
        <f t="shared" si="604"/>
        <v>12245</v>
      </c>
      <c r="AQ49" s="28">
        <f t="shared" si="604"/>
        <v>5096</v>
      </c>
      <c r="AR49" s="28">
        <f t="shared" si="587"/>
        <v>17341</v>
      </c>
      <c r="AS49" s="117">
        <f t="shared" si="572"/>
        <v>0.94504900825808447</v>
      </c>
      <c r="AT49" s="117">
        <f t="shared" si="572"/>
        <v>0.9461567025621983</v>
      </c>
      <c r="AU49" s="117">
        <f t="shared" si="572"/>
        <v>0.94537425720983481</v>
      </c>
      <c r="AV49" s="92">
        <v>1499</v>
      </c>
      <c r="AW49" s="92">
        <v>787</v>
      </c>
      <c r="AX49" s="92">
        <f t="shared" si="588"/>
        <v>2286</v>
      </c>
      <c r="AY49" s="92">
        <v>1280</v>
      </c>
      <c r="AZ49" s="92">
        <v>702</v>
      </c>
      <c r="BA49" s="92">
        <f t="shared" si="589"/>
        <v>1982</v>
      </c>
      <c r="BB49" s="105"/>
      <c r="BC49" s="105"/>
      <c r="BD49" s="105"/>
      <c r="BE49" s="92">
        <f t="shared" si="590"/>
        <v>1280</v>
      </c>
      <c r="BF49" s="92">
        <f t="shared" si="590"/>
        <v>702</v>
      </c>
      <c r="BG49" s="92">
        <f t="shared" si="590"/>
        <v>1982</v>
      </c>
      <c r="BH49" s="117">
        <f t="shared" si="591"/>
        <v>0.85390260173448962</v>
      </c>
      <c r="BI49" s="117">
        <f t="shared" si="591"/>
        <v>0.89199491740787806</v>
      </c>
      <c r="BJ49" s="117">
        <f t="shared" si="591"/>
        <v>0.86701662292213477</v>
      </c>
      <c r="BK49" s="28">
        <v>63</v>
      </c>
      <c r="BL49" s="28">
        <v>60</v>
      </c>
      <c r="BM49" s="28">
        <f>BK49+BL49</f>
        <v>123</v>
      </c>
      <c r="BN49" s="92">
        <v>44</v>
      </c>
      <c r="BO49" s="92">
        <v>53</v>
      </c>
      <c r="BP49" s="92">
        <f>BN49+BO49</f>
        <v>97</v>
      </c>
      <c r="BQ49" s="105"/>
      <c r="BR49" s="105"/>
      <c r="BS49" s="105"/>
      <c r="BT49" s="92">
        <f>+BN49+BQ49</f>
        <v>44</v>
      </c>
      <c r="BU49" s="92">
        <f>+BO49+BR49</f>
        <v>53</v>
      </c>
      <c r="BV49" s="92">
        <f>+BP49+BS49</f>
        <v>97</v>
      </c>
      <c r="BW49" s="117">
        <f>BT49/BK49</f>
        <v>0.69841269841269837</v>
      </c>
      <c r="BX49" s="117">
        <f>BU49/BL49</f>
        <v>0.8833333333333333</v>
      </c>
      <c r="BY49" s="117">
        <f>BV49/BM49</f>
        <v>0.78861788617886175</v>
      </c>
      <c r="BZ49" s="98">
        <f t="shared" si="592"/>
        <v>1562</v>
      </c>
      <c r="CA49" s="98">
        <f t="shared" si="592"/>
        <v>847</v>
      </c>
      <c r="CB49" s="98">
        <f t="shared" si="592"/>
        <v>2409</v>
      </c>
      <c r="CC49" s="28">
        <f t="shared" si="592"/>
        <v>1324</v>
      </c>
      <c r="CD49" s="28">
        <f t="shared" si="592"/>
        <v>755</v>
      </c>
      <c r="CE49" s="28">
        <f t="shared" si="592"/>
        <v>2079</v>
      </c>
      <c r="CF49" s="106"/>
      <c r="CG49" s="106"/>
      <c r="CH49" s="106"/>
      <c r="CI49" s="28">
        <f t="shared" si="593"/>
        <v>1324</v>
      </c>
      <c r="CJ49" s="28">
        <f t="shared" si="593"/>
        <v>755</v>
      </c>
      <c r="CK49" s="28">
        <f t="shared" si="593"/>
        <v>2079</v>
      </c>
      <c r="CL49" s="117">
        <f t="shared" si="594"/>
        <v>0.84763124199743922</v>
      </c>
      <c r="CM49" s="117">
        <f t="shared" si="594"/>
        <v>0.89138134592680052</v>
      </c>
      <c r="CN49" s="117">
        <f t="shared" si="594"/>
        <v>0.86301369863013699</v>
      </c>
      <c r="CO49" s="92">
        <v>5</v>
      </c>
      <c r="CP49" s="92">
        <v>0</v>
      </c>
      <c r="CQ49" s="92">
        <f>+CO49+CP49</f>
        <v>5</v>
      </c>
      <c r="CR49" s="92">
        <v>4</v>
      </c>
      <c r="CS49" s="92">
        <v>0</v>
      </c>
      <c r="CT49" s="92">
        <f>+CR49+CS49</f>
        <v>4</v>
      </c>
      <c r="CU49" s="105"/>
      <c r="CV49" s="105"/>
      <c r="CW49" s="105"/>
      <c r="CX49" s="92">
        <f t="shared" si="606"/>
        <v>4</v>
      </c>
      <c r="CY49" s="92">
        <f t="shared" si="606"/>
        <v>0</v>
      </c>
      <c r="CZ49" s="92">
        <f t="shared" si="606"/>
        <v>4</v>
      </c>
      <c r="DA49" s="117">
        <f>CX49/CO49</f>
        <v>0.8</v>
      </c>
      <c r="DB49" s="117">
        <v>0</v>
      </c>
      <c r="DC49" s="117">
        <f>CZ49/CQ49</f>
        <v>0.8</v>
      </c>
      <c r="DD49" s="106"/>
      <c r="DE49" s="106"/>
      <c r="DF49" s="106"/>
      <c r="DG49" s="105"/>
      <c r="DH49" s="105"/>
      <c r="DI49" s="105"/>
      <c r="DJ49" s="105"/>
      <c r="DK49" s="105"/>
      <c r="DL49" s="105"/>
      <c r="DM49" s="105"/>
      <c r="DN49" s="105"/>
      <c r="DO49" s="105"/>
      <c r="DP49" s="112"/>
      <c r="DQ49" s="112"/>
      <c r="DR49" s="112"/>
      <c r="DS49" s="98">
        <f t="shared" si="614"/>
        <v>5</v>
      </c>
      <c r="DT49" s="98">
        <f t="shared" si="614"/>
        <v>0</v>
      </c>
      <c r="DU49" s="28">
        <f t="shared" si="614"/>
        <v>5</v>
      </c>
      <c r="DV49" s="28">
        <f t="shared" si="614"/>
        <v>4</v>
      </c>
      <c r="DW49" s="28">
        <f t="shared" si="614"/>
        <v>0</v>
      </c>
      <c r="DX49" s="28">
        <f t="shared" si="614"/>
        <v>4</v>
      </c>
      <c r="DY49" s="106"/>
      <c r="DZ49" s="106"/>
      <c r="EA49" s="106"/>
      <c r="EB49" s="28">
        <f t="shared" si="615"/>
        <v>4</v>
      </c>
      <c r="EC49" s="28">
        <f t="shared" si="615"/>
        <v>0</v>
      </c>
      <c r="ED49" s="28">
        <f t="shared" si="615"/>
        <v>4</v>
      </c>
      <c r="EE49" s="117">
        <f>EB49/DS49</f>
        <v>0.8</v>
      </c>
      <c r="EF49" s="117">
        <v>0</v>
      </c>
      <c r="EG49" s="117">
        <f>ED49/DU49</f>
        <v>0.8</v>
      </c>
      <c r="EH49" s="28">
        <f t="shared" si="573"/>
        <v>12245</v>
      </c>
      <c r="EI49" s="28">
        <f t="shared" si="573"/>
        <v>5096</v>
      </c>
      <c r="EJ49" s="28">
        <f t="shared" si="595"/>
        <v>17341</v>
      </c>
      <c r="EK49" s="28">
        <v>6530</v>
      </c>
      <c r="EL49" s="28">
        <v>3080</v>
      </c>
      <c r="EM49" s="28">
        <f>EK49+EL49</f>
        <v>9610</v>
      </c>
      <c r="EN49" s="100">
        <f t="shared" si="611"/>
        <v>53.32788893425888</v>
      </c>
      <c r="EO49" s="93">
        <f t="shared" si="611"/>
        <v>60.439560439560438</v>
      </c>
      <c r="EP49" s="93">
        <f t="shared" si="611"/>
        <v>55.417795974857277</v>
      </c>
      <c r="EQ49" s="28">
        <f t="shared" si="598"/>
        <v>1324</v>
      </c>
      <c r="ER49" s="28">
        <f t="shared" si="598"/>
        <v>755</v>
      </c>
      <c r="ES49" s="28">
        <f t="shared" si="598"/>
        <v>2079</v>
      </c>
      <c r="ET49" s="28">
        <v>550</v>
      </c>
      <c r="EU49" s="28">
        <v>680</v>
      </c>
      <c r="EV49" s="28">
        <f>ET49+EU49</f>
        <v>1230</v>
      </c>
      <c r="EW49" s="93">
        <f t="shared" si="612"/>
        <v>41.540785498489427</v>
      </c>
      <c r="EX49" s="93">
        <f t="shared" si="612"/>
        <v>90.066225165562912</v>
      </c>
      <c r="EY49" s="93">
        <f t="shared" si="612"/>
        <v>59.16305916305916</v>
      </c>
      <c r="EZ49" s="28">
        <f t="shared" si="610"/>
        <v>4</v>
      </c>
      <c r="FA49" s="28">
        <f t="shared" si="610"/>
        <v>0</v>
      </c>
      <c r="FB49" s="28">
        <f t="shared" si="610"/>
        <v>4</v>
      </c>
      <c r="FC49" s="28">
        <v>3</v>
      </c>
      <c r="FD49" s="28">
        <v>0</v>
      </c>
      <c r="FE49" s="28">
        <f>FC49+FD49</f>
        <v>3</v>
      </c>
      <c r="FF49" s="93">
        <f>+FC49*100/EZ49</f>
        <v>75</v>
      </c>
      <c r="FG49" s="93">
        <v>0</v>
      </c>
      <c r="FH49" s="93">
        <f>+FE49*100/FB49</f>
        <v>75</v>
      </c>
    </row>
    <row r="50" spans="1:164" ht="27" customHeight="1">
      <c r="A50" s="94">
        <v>41</v>
      </c>
      <c r="B50" s="118" t="s">
        <v>214</v>
      </c>
      <c r="C50" s="75">
        <v>752</v>
      </c>
      <c r="D50" s="75">
        <v>56</v>
      </c>
      <c r="E50" s="75">
        <f t="shared" si="566"/>
        <v>808</v>
      </c>
      <c r="F50" s="75">
        <v>667</v>
      </c>
      <c r="G50" s="75">
        <v>49</v>
      </c>
      <c r="H50" s="75">
        <f t="shared" si="567"/>
        <v>716</v>
      </c>
      <c r="I50" s="105"/>
      <c r="J50" s="105"/>
      <c r="K50" s="105"/>
      <c r="L50" s="97">
        <f t="shared" si="568"/>
        <v>667</v>
      </c>
      <c r="M50" s="98">
        <f t="shared" si="568"/>
        <v>49</v>
      </c>
      <c r="N50" s="98">
        <f t="shared" si="568"/>
        <v>716</v>
      </c>
      <c r="O50" s="117">
        <f t="shared" si="565"/>
        <v>0.88696808510638303</v>
      </c>
      <c r="P50" s="117">
        <f t="shared" si="569"/>
        <v>0.875</v>
      </c>
      <c r="Q50" s="117">
        <f t="shared" si="569"/>
        <v>0.88613861386138615</v>
      </c>
      <c r="R50" s="28">
        <v>42</v>
      </c>
      <c r="S50" s="28">
        <v>2</v>
      </c>
      <c r="T50" s="28">
        <f>R50+S50</f>
        <v>44</v>
      </c>
      <c r="U50" s="28">
        <v>30</v>
      </c>
      <c r="V50" s="28">
        <v>2</v>
      </c>
      <c r="W50" s="28">
        <f>U50+V50</f>
        <v>32</v>
      </c>
      <c r="X50" s="106"/>
      <c r="Y50" s="106"/>
      <c r="Z50" s="106"/>
      <c r="AA50" s="28">
        <f t="shared" si="616"/>
        <v>30</v>
      </c>
      <c r="AB50" s="28">
        <f t="shared" si="616"/>
        <v>2</v>
      </c>
      <c r="AC50" s="28">
        <f t="shared" si="616"/>
        <v>32</v>
      </c>
      <c r="AD50" s="117">
        <f t="shared" si="617"/>
        <v>0.7142857142857143</v>
      </c>
      <c r="AE50" s="117">
        <f t="shared" si="617"/>
        <v>1</v>
      </c>
      <c r="AF50" s="117">
        <f t="shared" si="617"/>
        <v>0.72727272727272729</v>
      </c>
      <c r="AG50" s="28">
        <f t="shared" si="601"/>
        <v>794</v>
      </c>
      <c r="AH50" s="28">
        <f t="shared" si="601"/>
        <v>58</v>
      </c>
      <c r="AI50" s="28">
        <f t="shared" si="579"/>
        <v>852</v>
      </c>
      <c r="AJ50" s="28">
        <f t="shared" si="602"/>
        <v>697</v>
      </c>
      <c r="AK50" s="28">
        <f t="shared" si="602"/>
        <v>51</v>
      </c>
      <c r="AL50" s="28">
        <f t="shared" si="582"/>
        <v>748</v>
      </c>
      <c r="AM50" s="106"/>
      <c r="AN50" s="106"/>
      <c r="AO50" s="106"/>
      <c r="AP50" s="28">
        <f t="shared" si="604"/>
        <v>697</v>
      </c>
      <c r="AQ50" s="28">
        <f t="shared" si="604"/>
        <v>51</v>
      </c>
      <c r="AR50" s="28">
        <f t="shared" si="587"/>
        <v>748</v>
      </c>
      <c r="AS50" s="117">
        <f t="shared" si="572"/>
        <v>0.87783375314861456</v>
      </c>
      <c r="AT50" s="117">
        <f t="shared" si="572"/>
        <v>0.87931034482758619</v>
      </c>
      <c r="AU50" s="117">
        <f t="shared" si="572"/>
        <v>0.8779342723004695</v>
      </c>
      <c r="AV50" s="371">
        <v>20</v>
      </c>
      <c r="AW50" s="371">
        <v>7</v>
      </c>
      <c r="AX50" s="371">
        <f t="shared" si="588"/>
        <v>27</v>
      </c>
      <c r="AY50" s="371">
        <v>14</v>
      </c>
      <c r="AZ50" s="371">
        <v>5</v>
      </c>
      <c r="BA50" s="92">
        <f t="shared" si="589"/>
        <v>19</v>
      </c>
      <c r="BB50" s="105"/>
      <c r="BC50" s="105"/>
      <c r="BD50" s="105"/>
      <c r="BE50" s="92">
        <f t="shared" si="590"/>
        <v>14</v>
      </c>
      <c r="BF50" s="92">
        <f t="shared" si="590"/>
        <v>5</v>
      </c>
      <c r="BG50" s="92">
        <f t="shared" si="590"/>
        <v>19</v>
      </c>
      <c r="BH50" s="117">
        <f t="shared" si="591"/>
        <v>0.7</v>
      </c>
      <c r="BI50" s="117">
        <f t="shared" si="591"/>
        <v>0.7142857142857143</v>
      </c>
      <c r="BJ50" s="117">
        <f t="shared" si="591"/>
        <v>0.70370370370370372</v>
      </c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98">
        <f t="shared" si="592"/>
        <v>20</v>
      </c>
      <c r="CA50" s="98">
        <f t="shared" si="592"/>
        <v>7</v>
      </c>
      <c r="CB50" s="98">
        <f t="shared" si="592"/>
        <v>27</v>
      </c>
      <c r="CC50" s="28">
        <f t="shared" si="592"/>
        <v>14</v>
      </c>
      <c r="CD50" s="28">
        <f t="shared" si="592"/>
        <v>5</v>
      </c>
      <c r="CE50" s="28">
        <f t="shared" si="592"/>
        <v>19</v>
      </c>
      <c r="CF50" s="106"/>
      <c r="CG50" s="106"/>
      <c r="CH50" s="106"/>
      <c r="CI50" s="28">
        <f t="shared" si="593"/>
        <v>14</v>
      </c>
      <c r="CJ50" s="28">
        <f t="shared" si="593"/>
        <v>5</v>
      </c>
      <c r="CK50" s="28">
        <f t="shared" si="593"/>
        <v>19</v>
      </c>
      <c r="CL50" s="117">
        <f t="shared" si="594"/>
        <v>0.7</v>
      </c>
      <c r="CM50" s="117">
        <f t="shared" si="594"/>
        <v>0.7142857142857143</v>
      </c>
      <c r="CN50" s="117">
        <f t="shared" si="594"/>
        <v>0.70370370370370372</v>
      </c>
      <c r="CO50" s="92">
        <v>10</v>
      </c>
      <c r="CP50" s="92">
        <v>2</v>
      </c>
      <c r="CQ50" s="92">
        <f>+CO50+CP50</f>
        <v>12</v>
      </c>
      <c r="CR50" s="92">
        <v>9</v>
      </c>
      <c r="CS50" s="92">
        <v>2</v>
      </c>
      <c r="CT50" s="92">
        <f>+CR50+CS50</f>
        <v>11</v>
      </c>
      <c r="CU50" s="105"/>
      <c r="CV50" s="105"/>
      <c r="CW50" s="105"/>
      <c r="CX50" s="92">
        <f t="shared" si="606"/>
        <v>9</v>
      </c>
      <c r="CY50" s="92">
        <f t="shared" si="606"/>
        <v>2</v>
      </c>
      <c r="CZ50" s="92">
        <f t="shared" si="606"/>
        <v>11</v>
      </c>
      <c r="DA50" s="117">
        <f>CX50/CO50</f>
        <v>0.9</v>
      </c>
      <c r="DB50" s="117">
        <v>0</v>
      </c>
      <c r="DC50" s="117">
        <f>CZ50/CQ50</f>
        <v>0.91666666666666663</v>
      </c>
      <c r="DD50" s="107"/>
      <c r="DE50" s="107"/>
      <c r="DF50" s="106"/>
      <c r="DG50" s="105"/>
      <c r="DH50" s="105"/>
      <c r="DI50" s="105"/>
      <c r="DJ50" s="105"/>
      <c r="DK50" s="105"/>
      <c r="DL50" s="105"/>
      <c r="DM50" s="105"/>
      <c r="DN50" s="105"/>
      <c r="DO50" s="105"/>
      <c r="DP50" s="112"/>
      <c r="DQ50" s="112"/>
      <c r="DR50" s="112"/>
      <c r="DS50" s="98">
        <f t="shared" si="614"/>
        <v>10</v>
      </c>
      <c r="DT50" s="98">
        <f t="shared" si="614"/>
        <v>2</v>
      </c>
      <c r="DU50" s="28">
        <f t="shared" si="614"/>
        <v>12</v>
      </c>
      <c r="DV50" s="28">
        <f t="shared" si="614"/>
        <v>9</v>
      </c>
      <c r="DW50" s="28">
        <f t="shared" si="614"/>
        <v>2</v>
      </c>
      <c r="DX50" s="28">
        <f t="shared" si="614"/>
        <v>11</v>
      </c>
      <c r="DY50" s="106"/>
      <c r="DZ50" s="106"/>
      <c r="EA50" s="106"/>
      <c r="EB50" s="28">
        <f t="shared" si="615"/>
        <v>9</v>
      </c>
      <c r="EC50" s="28">
        <f t="shared" si="615"/>
        <v>2</v>
      </c>
      <c r="ED50" s="28">
        <f t="shared" si="615"/>
        <v>11</v>
      </c>
      <c r="EE50" s="117">
        <f>EB50/DS50</f>
        <v>0.9</v>
      </c>
      <c r="EF50" s="117">
        <v>0</v>
      </c>
      <c r="EG50" s="117">
        <f>ED50/DU50</f>
        <v>0.91666666666666663</v>
      </c>
      <c r="EH50" s="28">
        <f t="shared" si="573"/>
        <v>697</v>
      </c>
      <c r="EI50" s="28">
        <f t="shared" si="573"/>
        <v>51</v>
      </c>
      <c r="EJ50" s="28">
        <f t="shared" si="595"/>
        <v>748</v>
      </c>
      <c r="EK50" s="32">
        <v>145</v>
      </c>
      <c r="EL50" s="32">
        <v>13</v>
      </c>
      <c r="EM50" s="28">
        <f>EK50+EL50</f>
        <v>158</v>
      </c>
      <c r="EN50" s="100">
        <f t="shared" si="611"/>
        <v>20.803443328550934</v>
      </c>
      <c r="EO50" s="93">
        <f t="shared" si="611"/>
        <v>25.490196078431371</v>
      </c>
      <c r="EP50" s="93">
        <f t="shared" si="611"/>
        <v>21.122994652406415</v>
      </c>
      <c r="EQ50" s="28">
        <f t="shared" si="598"/>
        <v>14</v>
      </c>
      <c r="ER50" s="28">
        <f t="shared" si="598"/>
        <v>5</v>
      </c>
      <c r="ES50" s="28">
        <f t="shared" si="598"/>
        <v>19</v>
      </c>
      <c r="ET50" s="108"/>
      <c r="EU50" s="108"/>
      <c r="EV50" s="106"/>
      <c r="EW50" s="109"/>
      <c r="EX50" s="109"/>
      <c r="EY50" s="109"/>
      <c r="EZ50" s="28">
        <f t="shared" si="610"/>
        <v>9</v>
      </c>
      <c r="FA50" s="28">
        <f t="shared" si="610"/>
        <v>2</v>
      </c>
      <c r="FB50" s="28">
        <f t="shared" si="610"/>
        <v>11</v>
      </c>
      <c r="FC50" s="109"/>
      <c r="FD50" s="109"/>
      <c r="FE50" s="109"/>
      <c r="FF50" s="109"/>
      <c r="FG50" s="109"/>
      <c r="FH50" s="109"/>
    </row>
    <row r="51" spans="1:164" s="356" customFormat="1" ht="27" customHeight="1">
      <c r="A51" s="602" t="s">
        <v>3</v>
      </c>
      <c r="B51" s="602"/>
      <c r="C51" s="353">
        <f>SUM(C9:C50)</f>
        <v>9473929</v>
      </c>
      <c r="D51" s="353">
        <f t="shared" ref="D51:N51" si="618">SUM(D9:D50)</f>
        <v>8406084</v>
      </c>
      <c r="E51" s="353">
        <f t="shared" si="618"/>
        <v>17880013</v>
      </c>
      <c r="F51" s="353">
        <f t="shared" si="618"/>
        <v>7220469</v>
      </c>
      <c r="G51" s="353">
        <f t="shared" si="618"/>
        <v>6568497</v>
      </c>
      <c r="H51" s="353">
        <f t="shared" si="618"/>
        <v>13788966</v>
      </c>
      <c r="I51" s="353">
        <f t="shared" si="618"/>
        <v>284959</v>
      </c>
      <c r="J51" s="353">
        <f t="shared" si="618"/>
        <v>223649</v>
      </c>
      <c r="K51" s="353">
        <f t="shared" si="618"/>
        <v>508608</v>
      </c>
      <c r="L51" s="353">
        <f t="shared" si="618"/>
        <v>7505428</v>
      </c>
      <c r="M51" s="353">
        <f t="shared" si="618"/>
        <v>6792146</v>
      </c>
      <c r="N51" s="353">
        <f t="shared" si="618"/>
        <v>14297574</v>
      </c>
      <c r="O51" s="354">
        <f t="shared" ref="O51" si="619">L51/C51</f>
        <v>0.79221915215957395</v>
      </c>
      <c r="P51" s="354">
        <f t="shared" ref="P51" si="620">M51/D51</f>
        <v>0.80800358407077544</v>
      </c>
      <c r="Q51" s="354">
        <f t="shared" ref="Q51" si="621">N51/E51</f>
        <v>0.79964002263309319</v>
      </c>
      <c r="R51" s="353">
        <f>SUM(R9:R50)</f>
        <v>874950</v>
      </c>
      <c r="S51" s="353">
        <f t="shared" ref="S51" si="622">SUM(S9:S50)</f>
        <v>574325</v>
      </c>
      <c r="T51" s="353">
        <f t="shared" ref="T51" si="623">SUM(T9:T50)</f>
        <v>1449275</v>
      </c>
      <c r="U51" s="353">
        <f t="shared" ref="U51" si="624">SUM(U9:U50)</f>
        <v>342533</v>
      </c>
      <c r="V51" s="353">
        <f t="shared" ref="V51" si="625">SUM(V9:V50)</f>
        <v>192857</v>
      </c>
      <c r="W51" s="353">
        <f t="shared" ref="W51" si="626">SUM(W9:W50)</f>
        <v>535390</v>
      </c>
      <c r="X51" s="353">
        <f t="shared" ref="X51" si="627">SUM(X9:X50)</f>
        <v>27146</v>
      </c>
      <c r="Y51" s="353">
        <f t="shared" ref="Y51" si="628">SUM(Y9:Y50)</f>
        <v>23986</v>
      </c>
      <c r="Z51" s="353">
        <f t="shared" ref="Z51" si="629">SUM(Z9:Z50)</f>
        <v>51132</v>
      </c>
      <c r="AA51" s="353">
        <f t="shared" ref="AA51" si="630">SUM(AA9:AA50)</f>
        <v>369679</v>
      </c>
      <c r="AB51" s="353">
        <f t="shared" ref="AB51" si="631">SUM(AB9:AB50)</f>
        <v>216843</v>
      </c>
      <c r="AC51" s="353">
        <f t="shared" ref="AC51" si="632">SUM(AC9:AC50)</f>
        <v>586522</v>
      </c>
      <c r="AD51" s="354">
        <f t="shared" ref="AD51" si="633">AA51/R51</f>
        <v>0.42251442939596551</v>
      </c>
      <c r="AE51" s="354">
        <f t="shared" ref="AE51" si="634">AB51/S51</f>
        <v>0.37756148522178207</v>
      </c>
      <c r="AF51" s="354">
        <f t="shared" ref="AF51" si="635">AC51/T51</f>
        <v>0.40470028117507029</v>
      </c>
      <c r="AG51" s="353">
        <f>SUM(AG9:AG50)</f>
        <v>10348879</v>
      </c>
      <c r="AH51" s="353">
        <f t="shared" ref="AH51" si="636">SUM(AH9:AH50)</f>
        <v>8980409</v>
      </c>
      <c r="AI51" s="353">
        <f t="shared" ref="AI51" si="637">SUM(AI9:AI50)</f>
        <v>19329288</v>
      </c>
      <c r="AJ51" s="353">
        <f t="shared" ref="AJ51" si="638">SUM(AJ9:AJ50)</f>
        <v>7563002</v>
      </c>
      <c r="AK51" s="353">
        <f t="shared" ref="AK51" si="639">SUM(AK9:AK50)</f>
        <v>6761354</v>
      </c>
      <c r="AL51" s="353">
        <f t="shared" ref="AL51" si="640">SUM(AL9:AL50)</f>
        <v>14324356</v>
      </c>
      <c r="AM51" s="353">
        <f t="shared" ref="AM51" si="641">SUM(AM9:AM50)</f>
        <v>312105</v>
      </c>
      <c r="AN51" s="353">
        <f t="shared" ref="AN51" si="642">SUM(AN9:AN50)</f>
        <v>247635</v>
      </c>
      <c r="AO51" s="353">
        <f t="shared" ref="AO51" si="643">SUM(AO9:AO50)</f>
        <v>559740</v>
      </c>
      <c r="AP51" s="353">
        <f t="shared" ref="AP51" si="644">SUM(AP9:AP50)</f>
        <v>7875107</v>
      </c>
      <c r="AQ51" s="353">
        <f t="shared" ref="AQ51" si="645">SUM(AQ9:AQ50)</f>
        <v>7008989</v>
      </c>
      <c r="AR51" s="353">
        <f t="shared" ref="AR51" si="646">SUM(AR9:AR50)</f>
        <v>14884096</v>
      </c>
      <c r="AS51" s="354">
        <f t="shared" ref="AS51" si="647">AP51/AG51</f>
        <v>0.76096232258585683</v>
      </c>
      <c r="AT51" s="354">
        <f t="shared" ref="AT51" si="648">AQ51/AH51</f>
        <v>0.78047547723049138</v>
      </c>
      <c r="AU51" s="354">
        <f t="shared" ref="AU51" si="649">AR51/AI51</f>
        <v>0.77002815623627729</v>
      </c>
      <c r="AV51" s="353">
        <f>SUM(AV9:AV50)</f>
        <v>1672890</v>
      </c>
      <c r="AW51" s="353">
        <f t="shared" ref="AW51" si="650">SUM(AW9:AW50)</f>
        <v>1519410</v>
      </c>
      <c r="AX51" s="353">
        <f t="shared" ref="AX51" si="651">SUM(AX9:AX50)</f>
        <v>3192300</v>
      </c>
      <c r="AY51" s="353">
        <f t="shared" ref="AY51" si="652">SUM(AY9:AY50)</f>
        <v>1161922</v>
      </c>
      <c r="AZ51" s="353">
        <f t="shared" ref="AZ51" si="653">SUM(AZ9:AZ50)</f>
        <v>1088896</v>
      </c>
      <c r="BA51" s="353">
        <f t="shared" ref="BA51" si="654">SUM(BA9:BA50)</f>
        <v>2250818</v>
      </c>
      <c r="BB51" s="353">
        <f t="shared" ref="BB51" si="655">SUM(BB9:BB50)</f>
        <v>54262</v>
      </c>
      <c r="BC51" s="353">
        <f t="shared" ref="BC51" si="656">SUM(BC9:BC50)</f>
        <v>45125</v>
      </c>
      <c r="BD51" s="353">
        <f t="shared" ref="BD51" si="657">SUM(BD9:BD50)</f>
        <v>99387</v>
      </c>
      <c r="BE51" s="353">
        <f t="shared" ref="BE51" si="658">SUM(BE9:BE50)</f>
        <v>1216184</v>
      </c>
      <c r="BF51" s="353">
        <f t="shared" ref="BF51" si="659">SUM(BF9:BF50)</f>
        <v>1134021</v>
      </c>
      <c r="BG51" s="353">
        <f t="shared" ref="BG51" si="660">SUM(BG9:BG50)</f>
        <v>2350205</v>
      </c>
      <c r="BH51" s="354">
        <f t="shared" ref="BH51" si="661">BE51/AV51</f>
        <v>0.7269957976914202</v>
      </c>
      <c r="BI51" s="354">
        <f t="shared" ref="BI51" si="662">BF51/AW51</f>
        <v>0.74635615140087275</v>
      </c>
      <c r="BJ51" s="354">
        <f t="shared" ref="BJ51" si="663">BG51/AX51</f>
        <v>0.73621056918209438</v>
      </c>
      <c r="BK51" s="353">
        <f>SUM(BK9:BK50)</f>
        <v>148829</v>
      </c>
      <c r="BL51" s="353">
        <f t="shared" ref="BL51" si="664">SUM(BL9:BL50)</f>
        <v>99651</v>
      </c>
      <c r="BM51" s="353">
        <f t="shared" ref="BM51" si="665">SUM(BM9:BM50)</f>
        <v>248480</v>
      </c>
      <c r="BN51" s="353">
        <f t="shared" ref="BN51" si="666">SUM(BN9:BN50)</f>
        <v>47334</v>
      </c>
      <c r="BO51" s="353">
        <f t="shared" ref="BO51" si="667">SUM(BO9:BO50)</f>
        <v>24895</v>
      </c>
      <c r="BP51" s="353">
        <f t="shared" ref="BP51" si="668">SUM(BP9:BP50)</f>
        <v>72229</v>
      </c>
      <c r="BQ51" s="353">
        <f t="shared" ref="BQ51" si="669">SUM(BQ9:BQ50)</f>
        <v>5268</v>
      </c>
      <c r="BR51" s="353">
        <f t="shared" ref="BR51" si="670">SUM(BR9:BR50)</f>
        <v>4681</v>
      </c>
      <c r="BS51" s="353">
        <f t="shared" ref="BS51" si="671">SUM(BS9:BS50)</f>
        <v>9949</v>
      </c>
      <c r="BT51" s="353">
        <f t="shared" ref="BT51" si="672">SUM(BT9:BT50)</f>
        <v>52602</v>
      </c>
      <c r="BU51" s="353">
        <f t="shared" ref="BU51" si="673">SUM(BU9:BU50)</f>
        <v>29576</v>
      </c>
      <c r="BV51" s="353">
        <f t="shared" ref="BV51" si="674">SUM(BV9:BV50)</f>
        <v>82178</v>
      </c>
      <c r="BW51" s="354">
        <f t="shared" ref="BW51" si="675">BT51/BK51</f>
        <v>0.35343918187987555</v>
      </c>
      <c r="BX51" s="354">
        <f t="shared" ref="BX51" si="676">BU51/BL51</f>
        <v>0.29679581740273553</v>
      </c>
      <c r="BY51" s="354">
        <f t="shared" ref="BY51" si="677">BV51/BM51</f>
        <v>0.33072279459111398</v>
      </c>
      <c r="BZ51" s="353">
        <f>SUM(BZ9:BZ50)</f>
        <v>1821719</v>
      </c>
      <c r="CA51" s="353">
        <f t="shared" ref="CA51" si="678">SUM(CA9:CA50)</f>
        <v>1619061</v>
      </c>
      <c r="CB51" s="353">
        <f t="shared" ref="CB51" si="679">SUM(CB9:CB50)</f>
        <v>3440780</v>
      </c>
      <c r="CC51" s="353">
        <f t="shared" ref="CC51" si="680">SUM(CC9:CC50)</f>
        <v>1209256</v>
      </c>
      <c r="CD51" s="353">
        <f t="shared" ref="CD51" si="681">SUM(CD9:CD50)</f>
        <v>1113791</v>
      </c>
      <c r="CE51" s="353">
        <f t="shared" ref="CE51" si="682">SUM(CE9:CE50)</f>
        <v>2323047</v>
      </c>
      <c r="CF51" s="353">
        <f t="shared" ref="CF51" si="683">SUM(CF9:CF50)</f>
        <v>59530</v>
      </c>
      <c r="CG51" s="353">
        <f t="shared" ref="CG51" si="684">SUM(CG9:CG50)</f>
        <v>49806</v>
      </c>
      <c r="CH51" s="353">
        <f t="shared" ref="CH51" si="685">SUM(CH9:CH50)</f>
        <v>109336</v>
      </c>
      <c r="CI51" s="353">
        <f t="shared" ref="CI51" si="686">SUM(CI9:CI50)</f>
        <v>1268786</v>
      </c>
      <c r="CJ51" s="353">
        <f t="shared" ref="CJ51" si="687">SUM(CJ9:CJ50)</f>
        <v>1163597</v>
      </c>
      <c r="CK51" s="353">
        <f t="shared" ref="CK51" si="688">SUM(CK9:CK50)</f>
        <v>2432383</v>
      </c>
      <c r="CL51" s="354">
        <f t="shared" ref="CL51" si="689">CI51/BZ51</f>
        <v>0.69647733816247182</v>
      </c>
      <c r="CM51" s="354">
        <f t="shared" ref="CM51" si="690">CJ51/CA51</f>
        <v>0.7186863249747848</v>
      </c>
      <c r="CN51" s="354">
        <f t="shared" ref="CN51" si="691">CK51/CB51</f>
        <v>0.70692778962909575</v>
      </c>
      <c r="CO51" s="353">
        <f>SUM(CO9:CO50)</f>
        <v>678660</v>
      </c>
      <c r="CP51" s="353">
        <f t="shared" ref="CP51" si="692">SUM(CP9:CP50)</f>
        <v>666005</v>
      </c>
      <c r="CQ51" s="353">
        <f t="shared" ref="CQ51" si="693">SUM(CQ9:CQ50)</f>
        <v>1344665</v>
      </c>
      <c r="CR51" s="353">
        <f t="shared" ref="CR51" si="694">SUM(CR9:CR50)</f>
        <v>458422</v>
      </c>
      <c r="CS51" s="353">
        <f t="shared" ref="CS51" si="695">SUM(CS9:CS50)</f>
        <v>444348</v>
      </c>
      <c r="CT51" s="353">
        <f t="shared" ref="CT51" si="696">SUM(CT9:CT50)</f>
        <v>902770</v>
      </c>
      <c r="CU51" s="353">
        <f t="shared" ref="CU51" si="697">SUM(CU9:CU50)</f>
        <v>28361</v>
      </c>
      <c r="CV51" s="353">
        <f t="shared" ref="CV51" si="698">SUM(CV9:CV50)</f>
        <v>29089</v>
      </c>
      <c r="CW51" s="353">
        <f t="shared" ref="CW51" si="699">SUM(CW9:CW50)</f>
        <v>57450</v>
      </c>
      <c r="CX51" s="353">
        <f t="shared" ref="CX51" si="700">SUM(CX9:CX50)</f>
        <v>486783</v>
      </c>
      <c r="CY51" s="353">
        <f t="shared" ref="CY51" si="701">SUM(CY9:CY50)</f>
        <v>473437</v>
      </c>
      <c r="CZ51" s="353">
        <f t="shared" ref="CZ51" si="702">SUM(CZ9:CZ50)</f>
        <v>960220</v>
      </c>
      <c r="DA51" s="354">
        <f>CX51/CO51</f>
        <v>0.71727079833790119</v>
      </c>
      <c r="DB51" s="354">
        <f t="shared" ref="DB51" si="703">CY51/CP51</f>
        <v>0.71086102957185004</v>
      </c>
      <c r="DC51" s="354">
        <f t="shared" ref="DC51" si="704">CZ51/CQ51</f>
        <v>0.71409607597431335</v>
      </c>
      <c r="DD51" s="353">
        <f>SUM(DD9:DD50)</f>
        <v>81992</v>
      </c>
      <c r="DE51" s="353">
        <f t="shared" ref="DE51" si="705">SUM(DE9:DE50)</f>
        <v>68453</v>
      </c>
      <c r="DF51" s="353">
        <f t="shared" ref="DF51" si="706">SUM(DF9:DF50)</f>
        <v>150445</v>
      </c>
      <c r="DG51" s="353">
        <f t="shared" ref="DG51" si="707">SUM(DG9:DG50)</f>
        <v>19710</v>
      </c>
      <c r="DH51" s="353">
        <f t="shared" ref="DH51" si="708">SUM(DH9:DH50)</f>
        <v>15859</v>
      </c>
      <c r="DI51" s="353">
        <f t="shared" ref="DI51" si="709">SUM(DI9:DI50)</f>
        <v>35569</v>
      </c>
      <c r="DJ51" s="353">
        <f t="shared" ref="DJ51" si="710">SUM(DJ9:DJ50)</f>
        <v>4483</v>
      </c>
      <c r="DK51" s="353">
        <f t="shared" ref="DK51" si="711">SUM(DK9:DK50)</f>
        <v>3849</v>
      </c>
      <c r="DL51" s="353">
        <f t="shared" ref="DL51" si="712">SUM(DL9:DL50)</f>
        <v>8332</v>
      </c>
      <c r="DM51" s="353">
        <f t="shared" ref="DM51" si="713">SUM(DM9:DM50)</f>
        <v>24193</v>
      </c>
      <c r="DN51" s="353">
        <f t="shared" ref="DN51" si="714">SUM(DN9:DN50)</f>
        <v>19708</v>
      </c>
      <c r="DO51" s="353">
        <f t="shared" ref="DO51" si="715">SUM(DO9:DO50)</f>
        <v>43901</v>
      </c>
      <c r="DP51" s="120">
        <f t="shared" ref="DP51" si="716">DM51/DD51</f>
        <v>0.2950653722314372</v>
      </c>
      <c r="DQ51" s="120">
        <f t="shared" ref="DQ51" si="717">DN51/DE51</f>
        <v>0.2879055702452778</v>
      </c>
      <c r="DR51" s="120">
        <f t="shared" ref="DR51" si="718">DO51/DF51</f>
        <v>0.29180763734255044</v>
      </c>
      <c r="DS51" s="353">
        <f t="shared" ref="DS51" si="719">SUM(DS9:DS50)</f>
        <v>760652</v>
      </c>
      <c r="DT51" s="353">
        <f t="shared" ref="DT51" si="720">SUM(DT9:DT50)</f>
        <v>734458</v>
      </c>
      <c r="DU51" s="353">
        <f t="shared" ref="DU51" si="721">SUM(DU9:DU50)</f>
        <v>1495110</v>
      </c>
      <c r="DV51" s="353">
        <f t="shared" ref="DV51" si="722">SUM(DV9:DV50)</f>
        <v>478132</v>
      </c>
      <c r="DW51" s="353">
        <f t="shared" ref="DW51" si="723">SUM(DW9:DW50)</f>
        <v>460207</v>
      </c>
      <c r="DX51" s="353">
        <f t="shared" ref="DX51" si="724">SUM(DX9:DX50)</f>
        <v>938339</v>
      </c>
      <c r="DY51" s="353">
        <f t="shared" ref="DY51" si="725">SUM(DY9:DY50)</f>
        <v>32844</v>
      </c>
      <c r="DZ51" s="353">
        <f t="shared" ref="DZ51" si="726">SUM(DZ9:DZ50)</f>
        <v>32938</v>
      </c>
      <c r="EA51" s="353">
        <f t="shared" ref="EA51" si="727">SUM(EA9:EA50)</f>
        <v>65782</v>
      </c>
      <c r="EB51" s="353">
        <f t="shared" ref="EB51" si="728">SUM(EB9:EB50)</f>
        <v>510976</v>
      </c>
      <c r="EC51" s="353">
        <f t="shared" ref="EC51" si="729">SUM(EC9:EC50)</f>
        <v>493145</v>
      </c>
      <c r="ED51" s="353">
        <f t="shared" ref="ED51" si="730">SUM(ED9:ED50)</f>
        <v>1004121</v>
      </c>
      <c r="EE51" s="354">
        <f t="shared" ref="EE51" si="731">EB51/DS51</f>
        <v>0.67176054227163018</v>
      </c>
      <c r="EF51" s="354">
        <f t="shared" ref="EF51" si="732">EC51/DT51</f>
        <v>0.67144070865862993</v>
      </c>
      <c r="EG51" s="354">
        <f t="shared" ref="EG51" si="733">ED51/DU51</f>
        <v>0.67160342717258259</v>
      </c>
      <c r="EH51" s="353">
        <f t="shared" ref="EH51" si="734">SUM(EH9:EH50)</f>
        <v>7875107</v>
      </c>
      <c r="EI51" s="353">
        <f t="shared" ref="EI51" si="735">SUM(EI9:EI50)</f>
        <v>7008989</v>
      </c>
      <c r="EJ51" s="353">
        <f t="shared" ref="EJ51" si="736">SUM(EJ9:EJ50)</f>
        <v>14882162</v>
      </c>
      <c r="EK51" s="353">
        <f t="shared" ref="EK51" si="737">SUM(EK9:EK50)</f>
        <v>3955621</v>
      </c>
      <c r="EL51" s="353">
        <f t="shared" ref="EL51" si="738">SUM(EL9:EL50)</f>
        <v>3777318</v>
      </c>
      <c r="EM51" s="353">
        <f t="shared" ref="EM51" si="739">SUM(EM9:EM50)</f>
        <v>7925788</v>
      </c>
      <c r="EN51" s="351">
        <f t="shared" ref="EN51" si="740">+EK51*100/EH51</f>
        <v>50.229425454155731</v>
      </c>
      <c r="EO51" s="352">
        <f t="shared" ref="EO51" si="741">+EL51*100/EI51</f>
        <v>53.892480070948892</v>
      </c>
      <c r="EP51" s="352">
        <f t="shared" ref="EP51" si="742">+EM51*100/EJ51</f>
        <v>53.256966292935125</v>
      </c>
      <c r="EQ51" s="353">
        <f t="shared" ref="EQ51" si="743">SUM(EQ9:EQ50)</f>
        <v>1268786</v>
      </c>
      <c r="ER51" s="353">
        <f t="shared" ref="ER51" si="744">SUM(ER9:ER50)</f>
        <v>1163597</v>
      </c>
      <c r="ES51" s="353">
        <f t="shared" ref="ES51" si="745">SUM(ES9:ES50)</f>
        <v>2432383</v>
      </c>
      <c r="ET51" s="353">
        <f t="shared" ref="ET51" si="746">SUM(ET9:ET50)</f>
        <v>555688</v>
      </c>
      <c r="EU51" s="353">
        <f t="shared" ref="EU51" si="747">SUM(EU9:EU50)</f>
        <v>563305</v>
      </c>
      <c r="EV51" s="353">
        <f t="shared" ref="EV51" si="748">SUM(EV9:EV50)</f>
        <v>1123350</v>
      </c>
      <c r="EW51" s="355">
        <f t="shared" ref="EW51" si="749">+ET51*100/EQ51</f>
        <v>43.796826257540673</v>
      </c>
      <c r="EX51" s="355">
        <f t="shared" ref="EX51" si="750">+EU51*100/ER51</f>
        <v>48.410661079394323</v>
      </c>
      <c r="EY51" s="355">
        <f t="shared" ref="EY51" si="751">+EV51*100/ES51</f>
        <v>46.183105209993656</v>
      </c>
      <c r="EZ51" s="353">
        <f t="shared" ref="EZ51" si="752">SUM(EZ9:EZ50)</f>
        <v>510976</v>
      </c>
      <c r="FA51" s="353">
        <f t="shared" ref="FA51" si="753">SUM(FA9:FA50)</f>
        <v>493145</v>
      </c>
      <c r="FB51" s="353">
        <f t="shared" ref="FB51" si="754">SUM(FB9:FB50)</f>
        <v>1004121</v>
      </c>
      <c r="FC51" s="353">
        <f t="shared" ref="FC51" si="755">SUM(FC9:FC50)</f>
        <v>154818</v>
      </c>
      <c r="FD51" s="353">
        <f t="shared" ref="FD51" si="756">SUM(FD9:FD50)</f>
        <v>148363</v>
      </c>
      <c r="FE51" s="353">
        <f t="shared" ref="FE51" si="757">SUM(FE9:FE50)</f>
        <v>303575</v>
      </c>
      <c r="FF51" s="355">
        <f t="shared" ref="FF51" si="758">+FC51*100/EZ51</f>
        <v>30.298487600200399</v>
      </c>
      <c r="FG51" s="355">
        <f t="shared" ref="FG51" si="759">+FD51*100/FA51</f>
        <v>30.085066258402701</v>
      </c>
      <c r="FH51" s="355">
        <f t="shared" ref="FH51" si="760">+FE51*100/FB51</f>
        <v>30.232910177159923</v>
      </c>
    </row>
    <row r="52" spans="1:164">
      <c r="C52" s="625" t="s">
        <v>278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121" t="str">
        <f>+C52</f>
        <v>** Figures pertains to 'ALIM' and 'High Madarsa' as both are equivalent to High School Examination.</v>
      </c>
      <c r="AG52" s="121" t="str">
        <f>+R52</f>
        <v>** Figures pertains to 'ALIM' and 'High Madarsa' as both are equivalent to High School Examination.</v>
      </c>
      <c r="AV52" s="121" t="str">
        <f>+AG52</f>
        <v>** Figures pertains to 'ALIM' and 'High Madarsa' as both are equivalent to High School Examination.</v>
      </c>
      <c r="BK52" s="121" t="str">
        <f>+AV52</f>
        <v>** Figures pertains to 'ALIM' and 'High Madarsa' as both are equivalent to High School Examination.</v>
      </c>
      <c r="BZ52" s="121" t="str">
        <f>+BK52</f>
        <v>** Figures pertains to 'ALIM' and 'High Madarsa' as both are equivalent to High School Examination.</v>
      </c>
      <c r="CO52" s="121" t="str">
        <f>+BZ52</f>
        <v>** Figures pertains to 'ALIM' and 'High Madarsa' as both are equivalent to High School Examination.</v>
      </c>
      <c r="DD52" s="121" t="str">
        <f>+CO52</f>
        <v>** Figures pertains to 'ALIM' and 'High Madarsa' as both are equivalent to High School Examination.</v>
      </c>
      <c r="DS52" s="121" t="str">
        <f>+DD52</f>
        <v>** Figures pertains to 'ALIM' and 'High Madarsa' as both are equivalent to High School Examination.</v>
      </c>
      <c r="EH52" s="121" t="str">
        <f>+DS52</f>
        <v>** Figures pertains to 'ALIM' and 'High Madarsa' as both are equivalent to High School Examination.</v>
      </c>
      <c r="EQ52" s="121" t="str">
        <f>DS52</f>
        <v>** Figures pertains to 'ALIM' and 'High Madarsa' as both are equivalent to High School Examination.</v>
      </c>
      <c r="EZ52" s="121" t="str">
        <f>EQ52</f>
        <v>** Figures pertains to 'ALIM' and 'High Madarsa' as both are equivalent to High School Examination.</v>
      </c>
    </row>
    <row r="53" spans="1:164">
      <c r="C53" s="625" t="s">
        <v>248</v>
      </c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121" t="str">
        <f>+C53</f>
        <v># The Institute is mainly meant for Women, Boys enrolment pertains to wards of the staff.</v>
      </c>
      <c r="AG53" s="121" t="str">
        <f>+R53</f>
        <v># The Institute is mainly meant for Women, Boys enrolment pertains to wards of the staff.</v>
      </c>
      <c r="AV53" s="121" t="str">
        <f>+AG53</f>
        <v># The Institute is mainly meant for Women, Boys enrolment pertains to wards of the staff.</v>
      </c>
      <c r="BK53" s="121" t="str">
        <f>+AV53</f>
        <v># The Institute is mainly meant for Women, Boys enrolment pertains to wards of the staff.</v>
      </c>
      <c r="BZ53" s="121" t="str">
        <f>+BK53</f>
        <v># The Institute is mainly meant for Women, Boys enrolment pertains to wards of the staff.</v>
      </c>
      <c r="CO53" s="121" t="str">
        <f>+BZ53</f>
        <v># The Institute is mainly meant for Women, Boys enrolment pertains to wards of the staff.</v>
      </c>
      <c r="DD53" s="121" t="str">
        <f>+CO53</f>
        <v># The Institute is mainly meant for Women, Boys enrolment pertains to wards of the staff.</v>
      </c>
      <c r="DS53" s="121" t="str">
        <f>+DD53</f>
        <v># The Institute is mainly meant for Women, Boys enrolment pertains to wards of the staff.</v>
      </c>
      <c r="EH53" s="121" t="str">
        <f>+DS53</f>
        <v># The Institute is mainly meant for Women, Boys enrolment pertains to wards of the staff.</v>
      </c>
      <c r="EQ53" s="121" t="str">
        <f t="shared" ref="EQ53:EQ55" si="761">DS53</f>
        <v># The Institute is mainly meant for Women, Boys enrolment pertains to wards of the staff.</v>
      </c>
      <c r="EZ53" s="121" t="str">
        <f t="shared" ref="EZ53:EZ55" si="762">EQ53</f>
        <v># The Institute is mainly meant for Women, Boys enrolment pertains to wards of the staff.</v>
      </c>
    </row>
    <row r="54" spans="1:164">
      <c r="C54" s="625" t="s">
        <v>228</v>
      </c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121" t="str">
        <f>+C54</f>
        <v>Black cell indicates that either system does not exist or information is not available.</v>
      </c>
      <c r="AG54" s="121" t="str">
        <f>+R54</f>
        <v>Black cell indicates that either system does not exist or information is not available.</v>
      </c>
      <c r="AV54" s="121" t="str">
        <f>+AG54</f>
        <v>Black cell indicates that either system does not exist or information is not available.</v>
      </c>
      <c r="BK54" s="121" t="str">
        <f>+AV54</f>
        <v>Black cell indicates that either system does not exist or information is not available.</v>
      </c>
      <c r="BZ54" s="121" t="str">
        <f>+BK54</f>
        <v>Black cell indicates that either system does not exist or information is not available.</v>
      </c>
      <c r="CO54" s="121" t="str">
        <f>+BZ54</f>
        <v>Black cell indicates that either system does not exist or information is not available.</v>
      </c>
      <c r="DD54" s="121" t="str">
        <f>+CO54</f>
        <v>Black cell indicates that either system does not exist or information is not available.</v>
      </c>
      <c r="DS54" s="121" t="str">
        <f>+DD54</f>
        <v>Black cell indicates that either system does not exist or information is not available.</v>
      </c>
      <c r="EH54" s="121" t="str">
        <f>+DS54</f>
        <v>Black cell indicates that either system does not exist or information is not available.</v>
      </c>
      <c r="EQ54" s="121" t="str">
        <f t="shared" si="761"/>
        <v>Black cell indicates that either system does not exist or information is not available.</v>
      </c>
      <c r="EZ54" s="121" t="str">
        <f t="shared" si="762"/>
        <v>Black cell indicates that either system does not exist or information is not available.</v>
      </c>
    </row>
    <row r="55" spans="1:164">
      <c r="C55" s="625" t="s">
        <v>317</v>
      </c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121" t="str">
        <f>+C55</f>
        <v>@ Data is provisional.</v>
      </c>
      <c r="AG55" s="121" t="str">
        <f>+R55</f>
        <v>@ Data is provisional.</v>
      </c>
      <c r="AV55" s="121" t="str">
        <f>+AG55</f>
        <v>@ Data is provisional.</v>
      </c>
      <c r="BK55" s="121" t="str">
        <f>+AV55</f>
        <v>@ Data is provisional.</v>
      </c>
      <c r="BZ55" s="121" t="str">
        <f>+BK55</f>
        <v>@ Data is provisional.</v>
      </c>
      <c r="CO55" s="121" t="str">
        <f>+BZ55</f>
        <v>@ Data is provisional.</v>
      </c>
      <c r="DD55" s="121" t="str">
        <f>+CO55</f>
        <v>@ Data is provisional.</v>
      </c>
      <c r="DS55" s="121" t="str">
        <f>+DD55</f>
        <v>@ Data is provisional.</v>
      </c>
      <c r="EH55" s="121" t="str">
        <f>+DS55</f>
        <v>@ Data is provisional.</v>
      </c>
      <c r="EQ55" s="121" t="str">
        <f t="shared" si="761"/>
        <v>@ Data is provisional.</v>
      </c>
      <c r="EZ55" s="121" t="str">
        <f t="shared" si="762"/>
        <v>@ Data is provisional.</v>
      </c>
    </row>
    <row r="56" spans="1:164"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/>
      <c r="O56"/>
      <c r="P56"/>
      <c r="Q56"/>
    </row>
    <row r="61" spans="1:164" ht="15.75">
      <c r="AG61" s="140"/>
      <c r="AH61" s="140"/>
      <c r="AI61" s="140"/>
    </row>
    <row r="62" spans="1:164" ht="15.75">
      <c r="AG62" s="140"/>
      <c r="AH62" s="140"/>
      <c r="AI62" s="140"/>
    </row>
    <row r="63" spans="1:164" ht="15.75">
      <c r="AG63" s="140"/>
      <c r="AH63" s="140"/>
      <c r="AI63" s="140"/>
    </row>
  </sheetData>
  <mergeCells count="119">
    <mergeCell ref="A3:A6"/>
    <mergeCell ref="B3:B6"/>
    <mergeCell ref="DG5:DI5"/>
    <mergeCell ref="DJ5:DL5"/>
    <mergeCell ref="DM5:DO5"/>
    <mergeCell ref="A51:B51"/>
    <mergeCell ref="FL8:FZ8"/>
    <mergeCell ref="A11:B11"/>
    <mergeCell ref="C11:Q11"/>
    <mergeCell ref="R11:AF11"/>
    <mergeCell ref="AV11:BJ11"/>
    <mergeCell ref="BK11:BY11"/>
    <mergeCell ref="BZ11:CN11"/>
    <mergeCell ref="CO11:DC11"/>
    <mergeCell ref="DD11:DR11"/>
    <mergeCell ref="DS11:EG11"/>
    <mergeCell ref="A8:B8"/>
    <mergeCell ref="AY4:BG4"/>
    <mergeCell ref="BK4:BM5"/>
    <mergeCell ref="BN4:BV4"/>
    <mergeCell ref="CC4:CK4"/>
    <mergeCell ref="CO4:CQ5"/>
    <mergeCell ref="BW3:BY5"/>
    <mergeCell ref="BZ3:CK3"/>
    <mergeCell ref="C52:Q52"/>
    <mergeCell ref="C53:Q53"/>
    <mergeCell ref="C54:Q54"/>
    <mergeCell ref="EZ1:FH1"/>
    <mergeCell ref="EQ1:EY1"/>
    <mergeCell ref="EH1:EP1"/>
    <mergeCell ref="C1:Q1"/>
    <mergeCell ref="AG1:AU1"/>
    <mergeCell ref="AV1:BJ1"/>
    <mergeCell ref="BK1:BY1"/>
    <mergeCell ref="DD4:DF5"/>
    <mergeCell ref="DG4:DO4"/>
    <mergeCell ref="F5:H5"/>
    <mergeCell ref="I5:K5"/>
    <mergeCell ref="L5:N5"/>
    <mergeCell ref="U5:W5"/>
    <mergeCell ref="X5:Z5"/>
    <mergeCell ref="AA5:AC5"/>
    <mergeCell ref="AJ5:AL5"/>
    <mergeCell ref="AM5:AO5"/>
    <mergeCell ref="AP5:AR5"/>
    <mergeCell ref="AS3:AU5"/>
    <mergeCell ref="AV3:BG3"/>
    <mergeCell ref="BZ4:CB5"/>
    <mergeCell ref="AV4:AX5"/>
    <mergeCell ref="BZ1:CN1"/>
    <mergeCell ref="C3:N3"/>
    <mergeCell ref="O3:Q5"/>
    <mergeCell ref="R3:AC3"/>
    <mergeCell ref="AD3:AF5"/>
    <mergeCell ref="AG3:AR3"/>
    <mergeCell ref="C4:E5"/>
    <mergeCell ref="F4:N4"/>
    <mergeCell ref="R4:T5"/>
    <mergeCell ref="U4:AC4"/>
    <mergeCell ref="AG4:AI5"/>
    <mergeCell ref="AJ4:AR4"/>
    <mergeCell ref="C2:Q2"/>
    <mergeCell ref="R2:AF2"/>
    <mergeCell ref="AG2:AU2"/>
    <mergeCell ref="AV2:BJ2"/>
    <mergeCell ref="BK2:BY2"/>
    <mergeCell ref="BZ2:CN2"/>
    <mergeCell ref="R1:AF1"/>
    <mergeCell ref="CC5:CE5"/>
    <mergeCell ref="CF5:CH5"/>
    <mergeCell ref="AY5:BA5"/>
    <mergeCell ref="BB5:BD5"/>
    <mergeCell ref="BE5:BG5"/>
    <mergeCell ref="CO1:DC1"/>
    <mergeCell ref="DD1:DR1"/>
    <mergeCell ref="DS1:EG1"/>
    <mergeCell ref="DP3:DR5"/>
    <mergeCell ref="DS3:ED3"/>
    <mergeCell ref="EE3:EG5"/>
    <mergeCell ref="DA3:DC5"/>
    <mergeCell ref="EB5:ED5"/>
    <mergeCell ref="DV5:DX5"/>
    <mergeCell ref="DY5:EA5"/>
    <mergeCell ref="DS4:DU5"/>
    <mergeCell ref="DV4:ED4"/>
    <mergeCell ref="CO2:DC2"/>
    <mergeCell ref="DD2:DR2"/>
    <mergeCell ref="DS2:EG2"/>
    <mergeCell ref="CO3:CZ3"/>
    <mergeCell ref="CR4:CZ4"/>
    <mergeCell ref="CR5:CT5"/>
    <mergeCell ref="CU5:CW5"/>
    <mergeCell ref="CX5:CZ5"/>
    <mergeCell ref="CL3:CN5"/>
    <mergeCell ref="CI5:CK5"/>
    <mergeCell ref="C55:Q55"/>
    <mergeCell ref="FC5:FE5"/>
    <mergeCell ref="FF5:FH5"/>
    <mergeCell ref="EQ2:EY2"/>
    <mergeCell ref="EZ2:FH2"/>
    <mergeCell ref="EH3:EJ5"/>
    <mergeCell ref="EK3:EM4"/>
    <mergeCell ref="EN3:EP4"/>
    <mergeCell ref="EQ3:ES5"/>
    <mergeCell ref="ET3:EV4"/>
    <mergeCell ref="EW3:EY4"/>
    <mergeCell ref="EZ3:FB5"/>
    <mergeCell ref="FC3:FE4"/>
    <mergeCell ref="FF3:FH4"/>
    <mergeCell ref="EK5:EM5"/>
    <mergeCell ref="EN5:EP5"/>
    <mergeCell ref="ET5:EV5"/>
    <mergeCell ref="EW5:EY5"/>
    <mergeCell ref="DD3:DO3"/>
    <mergeCell ref="BH3:BJ5"/>
    <mergeCell ref="BK3:BV3"/>
    <mergeCell ref="BN5:BP5"/>
    <mergeCell ref="BQ5:BS5"/>
    <mergeCell ref="BT5:BV5"/>
  </mergeCells>
  <pageMargins left="0.23622047244094491" right="0.23622047244094491" top="0.41" bottom="0.28999999999999998" header="0.31496062992125984" footer="0.31496062992125984"/>
  <pageSetup paperSize="9" scale="65" orientation="landscape" r:id="rId1"/>
  <headerFooter>
    <oddFooter>Page &amp;P</oddFooter>
  </headerFooter>
  <rowBreaks count="1" manualBreakCount="1">
    <brk id="27" max="163" man="1"/>
  </rowBreaks>
  <colBreaks count="2" manualBreakCount="2">
    <brk id="146" max="54" man="1"/>
    <brk id="155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U18"/>
  <sheetViews>
    <sheetView view="pageBreakPreview" topLeftCell="P1" zoomScale="60" workbookViewId="0">
      <selection activeCell="O4" sqref="O4:T4"/>
    </sheetView>
  </sheetViews>
  <sheetFormatPr defaultRowHeight="15"/>
  <cols>
    <col min="1" max="1" width="7.7109375" customWidth="1"/>
    <col min="2" max="2" width="38.28515625" customWidth="1"/>
    <col min="3" max="20" width="11.5703125" customWidth="1"/>
    <col min="21" max="23" width="10.5703125" customWidth="1"/>
    <col min="24" max="24" width="9.85546875" customWidth="1"/>
    <col min="26" max="26" width="10" customWidth="1"/>
    <col min="30" max="30" width="9.85546875" customWidth="1"/>
    <col min="39" max="41" width="9.85546875" customWidth="1"/>
    <col min="44" max="44" width="9.140625" customWidth="1"/>
    <col min="46" max="46" width="9.140625" customWidth="1"/>
  </cols>
  <sheetData>
    <row r="1" spans="1:47" ht="31.5" customHeight="1">
      <c r="C1" s="129" t="str">
        <f>Board!C1</f>
        <v>RESULTS OF SECONDARY EXAMINATION- 2017</v>
      </c>
      <c r="O1" s="129"/>
      <c r="U1" s="129" t="str">
        <f>C1</f>
        <v>RESULTS OF SECONDARY EXAMINATION- 2017</v>
      </c>
      <c r="V1" s="129"/>
      <c r="W1" s="129"/>
      <c r="X1" s="145"/>
      <c r="Y1" s="145"/>
      <c r="Z1" s="145"/>
      <c r="AA1" s="145"/>
      <c r="AB1" s="145"/>
      <c r="AC1" s="145"/>
      <c r="AD1" s="129"/>
      <c r="AE1" s="129"/>
      <c r="AF1" s="129"/>
      <c r="AG1" s="145"/>
      <c r="AH1" s="145"/>
      <c r="AI1" s="145"/>
      <c r="AJ1" s="145"/>
      <c r="AK1" s="145"/>
      <c r="AL1" s="145"/>
      <c r="AM1" s="129"/>
      <c r="AN1" s="129"/>
      <c r="AO1" s="129"/>
      <c r="AP1" s="145"/>
      <c r="AQ1" s="145"/>
      <c r="AR1" s="145"/>
      <c r="AS1" s="145"/>
      <c r="AT1" s="145"/>
      <c r="AU1" s="145"/>
    </row>
    <row r="2" spans="1:47" ht="31.5" customHeight="1">
      <c r="A2" s="146"/>
      <c r="B2" s="146"/>
      <c r="C2" s="147" t="s">
        <v>320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 t="s">
        <v>326</v>
      </c>
      <c r="V2" s="149"/>
      <c r="W2" s="149"/>
      <c r="X2" s="149"/>
      <c r="Y2" s="149"/>
      <c r="Z2" s="149"/>
      <c r="AA2" s="149"/>
      <c r="AB2" s="149"/>
      <c r="AC2" s="149"/>
      <c r="AD2" s="148"/>
      <c r="AE2" s="149"/>
      <c r="AF2" s="149"/>
      <c r="AG2" s="149"/>
      <c r="AH2" s="149"/>
      <c r="AI2" s="149"/>
      <c r="AJ2" s="149"/>
      <c r="AK2" s="149"/>
      <c r="AL2" s="149"/>
      <c r="AM2" s="148"/>
      <c r="AN2" s="149"/>
      <c r="AO2" s="149"/>
      <c r="AP2" s="149"/>
      <c r="AQ2" s="149"/>
      <c r="AR2" s="149"/>
      <c r="AS2" s="149"/>
      <c r="AT2" s="149"/>
      <c r="AU2" s="149"/>
    </row>
    <row r="3" spans="1:47" s="357" customFormat="1" ht="37.5" customHeight="1">
      <c r="A3" s="630" t="s">
        <v>192</v>
      </c>
      <c r="B3" s="630" t="s">
        <v>42</v>
      </c>
      <c r="C3" s="633" t="s">
        <v>188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5"/>
      <c r="U3" s="599" t="s">
        <v>219</v>
      </c>
      <c r="V3" s="599"/>
      <c r="W3" s="599"/>
      <c r="X3" s="599"/>
      <c r="Y3" s="599"/>
      <c r="Z3" s="599"/>
      <c r="AA3" s="599"/>
      <c r="AB3" s="599"/>
      <c r="AC3" s="599"/>
      <c r="AD3" s="599" t="s">
        <v>324</v>
      </c>
      <c r="AE3" s="599"/>
      <c r="AF3" s="599"/>
      <c r="AG3" s="599"/>
      <c r="AH3" s="599"/>
      <c r="AI3" s="599"/>
      <c r="AJ3" s="599"/>
      <c r="AK3" s="599"/>
      <c r="AL3" s="599"/>
      <c r="AM3" s="599" t="s">
        <v>325</v>
      </c>
      <c r="AN3" s="599"/>
      <c r="AO3" s="599"/>
      <c r="AP3" s="599"/>
      <c r="AQ3" s="599"/>
      <c r="AR3" s="599"/>
      <c r="AS3" s="599"/>
      <c r="AT3" s="599"/>
      <c r="AU3" s="599"/>
    </row>
    <row r="4" spans="1:47" s="357" customFormat="1" ht="37.5" customHeight="1">
      <c r="A4" s="631"/>
      <c r="B4" s="631"/>
      <c r="C4" s="604" t="s">
        <v>219</v>
      </c>
      <c r="D4" s="604"/>
      <c r="E4" s="604"/>
      <c r="F4" s="604"/>
      <c r="G4" s="604"/>
      <c r="H4" s="604"/>
      <c r="I4" s="604" t="s">
        <v>220</v>
      </c>
      <c r="J4" s="604"/>
      <c r="K4" s="604"/>
      <c r="L4" s="604"/>
      <c r="M4" s="604"/>
      <c r="N4" s="604"/>
      <c r="O4" s="604" t="s">
        <v>221</v>
      </c>
      <c r="P4" s="604"/>
      <c r="Q4" s="604"/>
      <c r="R4" s="604"/>
      <c r="S4" s="604"/>
      <c r="T4" s="604"/>
      <c r="U4" s="599" t="s">
        <v>193</v>
      </c>
      <c r="V4" s="599"/>
      <c r="W4" s="599"/>
      <c r="X4" s="599" t="s">
        <v>193</v>
      </c>
      <c r="Y4" s="599"/>
      <c r="Z4" s="599"/>
      <c r="AA4" s="599" t="s">
        <v>193</v>
      </c>
      <c r="AB4" s="599"/>
      <c r="AC4" s="599"/>
      <c r="AD4" s="599" t="s">
        <v>193</v>
      </c>
      <c r="AE4" s="599"/>
      <c r="AF4" s="599"/>
      <c r="AG4" s="599" t="s">
        <v>194</v>
      </c>
      <c r="AH4" s="599"/>
      <c r="AI4" s="599"/>
      <c r="AJ4" s="599" t="s">
        <v>195</v>
      </c>
      <c r="AK4" s="599"/>
      <c r="AL4" s="599"/>
      <c r="AM4" s="599" t="s">
        <v>193</v>
      </c>
      <c r="AN4" s="599"/>
      <c r="AO4" s="599"/>
      <c r="AP4" s="599" t="s">
        <v>194</v>
      </c>
      <c r="AQ4" s="599"/>
      <c r="AR4" s="599"/>
      <c r="AS4" s="599" t="s">
        <v>195</v>
      </c>
      <c r="AT4" s="599"/>
      <c r="AU4" s="599"/>
    </row>
    <row r="5" spans="1:47" s="357" customFormat="1" ht="37.5" customHeight="1">
      <c r="A5" s="631"/>
      <c r="B5" s="631"/>
      <c r="C5" s="604" t="s">
        <v>5</v>
      </c>
      <c r="D5" s="604"/>
      <c r="E5" s="604"/>
      <c r="F5" s="604" t="s">
        <v>6</v>
      </c>
      <c r="G5" s="604"/>
      <c r="H5" s="604"/>
      <c r="I5" s="604" t="s">
        <v>5</v>
      </c>
      <c r="J5" s="604"/>
      <c r="K5" s="604"/>
      <c r="L5" s="604" t="s">
        <v>6</v>
      </c>
      <c r="M5" s="604"/>
      <c r="N5" s="604"/>
      <c r="O5" s="604" t="s">
        <v>5</v>
      </c>
      <c r="P5" s="604"/>
      <c r="Q5" s="604"/>
      <c r="R5" s="604" t="s">
        <v>6</v>
      </c>
      <c r="S5" s="604"/>
      <c r="T5" s="604"/>
      <c r="U5" s="599"/>
      <c r="V5" s="599"/>
      <c r="W5" s="599"/>
      <c r="X5" s="599" t="s">
        <v>196</v>
      </c>
      <c r="Y5" s="599"/>
      <c r="Z5" s="599"/>
      <c r="AA5" s="599" t="s">
        <v>196</v>
      </c>
      <c r="AB5" s="599"/>
      <c r="AC5" s="599"/>
      <c r="AD5" s="599"/>
      <c r="AE5" s="599"/>
      <c r="AF5" s="599"/>
      <c r="AG5" s="599" t="s">
        <v>196</v>
      </c>
      <c r="AH5" s="599"/>
      <c r="AI5" s="599"/>
      <c r="AJ5" s="599" t="s">
        <v>196</v>
      </c>
      <c r="AK5" s="599"/>
      <c r="AL5" s="599"/>
      <c r="AM5" s="599"/>
      <c r="AN5" s="599"/>
      <c r="AO5" s="599"/>
      <c r="AP5" s="599" t="s">
        <v>196</v>
      </c>
      <c r="AQ5" s="599"/>
      <c r="AR5" s="599"/>
      <c r="AS5" s="599" t="s">
        <v>196</v>
      </c>
      <c r="AT5" s="599"/>
      <c r="AU5" s="599"/>
    </row>
    <row r="6" spans="1:47" s="357" customFormat="1" ht="37.5" customHeight="1">
      <c r="A6" s="632"/>
      <c r="B6" s="632"/>
      <c r="C6" s="344" t="s">
        <v>43</v>
      </c>
      <c r="D6" s="344" t="s">
        <v>44</v>
      </c>
      <c r="E6" s="344" t="s">
        <v>3</v>
      </c>
      <c r="F6" s="344" t="s">
        <v>43</v>
      </c>
      <c r="G6" s="344" t="s">
        <v>44</v>
      </c>
      <c r="H6" s="344" t="s">
        <v>3</v>
      </c>
      <c r="I6" s="344" t="s">
        <v>43</v>
      </c>
      <c r="J6" s="344" t="s">
        <v>44</v>
      </c>
      <c r="K6" s="344" t="s">
        <v>3</v>
      </c>
      <c r="L6" s="344" t="s">
        <v>43</v>
      </c>
      <c r="M6" s="344" t="s">
        <v>44</v>
      </c>
      <c r="N6" s="344" t="s">
        <v>3</v>
      </c>
      <c r="O6" s="344" t="s">
        <v>43</v>
      </c>
      <c r="P6" s="344" t="s">
        <v>44</v>
      </c>
      <c r="Q6" s="344" t="s">
        <v>3</v>
      </c>
      <c r="R6" s="344" t="s">
        <v>43</v>
      </c>
      <c r="S6" s="344" t="s">
        <v>44</v>
      </c>
      <c r="T6" s="344" t="s">
        <v>3</v>
      </c>
      <c r="U6" s="344" t="s">
        <v>43</v>
      </c>
      <c r="V6" s="344" t="s">
        <v>44</v>
      </c>
      <c r="W6" s="344" t="s">
        <v>3</v>
      </c>
      <c r="X6" s="344" t="s">
        <v>43</v>
      </c>
      <c r="Y6" s="344" t="s">
        <v>44</v>
      </c>
      <c r="Z6" s="344" t="s">
        <v>3</v>
      </c>
      <c r="AA6" s="344" t="s">
        <v>43</v>
      </c>
      <c r="AB6" s="344" t="s">
        <v>44</v>
      </c>
      <c r="AC6" s="344" t="s">
        <v>3</v>
      </c>
      <c r="AD6" s="344" t="s">
        <v>43</v>
      </c>
      <c r="AE6" s="344" t="s">
        <v>44</v>
      </c>
      <c r="AF6" s="344" t="s">
        <v>3</v>
      </c>
      <c r="AG6" s="344" t="s">
        <v>43</v>
      </c>
      <c r="AH6" s="344" t="s">
        <v>44</v>
      </c>
      <c r="AI6" s="344" t="s">
        <v>3</v>
      </c>
      <c r="AJ6" s="344" t="s">
        <v>43</v>
      </c>
      <c r="AK6" s="344" t="s">
        <v>44</v>
      </c>
      <c r="AL6" s="344" t="s">
        <v>3</v>
      </c>
      <c r="AM6" s="344" t="s">
        <v>43</v>
      </c>
      <c r="AN6" s="344" t="s">
        <v>44</v>
      </c>
      <c r="AO6" s="344" t="s">
        <v>3</v>
      </c>
      <c r="AP6" s="344" t="s">
        <v>43</v>
      </c>
      <c r="AQ6" s="344" t="s">
        <v>44</v>
      </c>
      <c r="AR6" s="344" t="s">
        <v>3</v>
      </c>
      <c r="AS6" s="344" t="s">
        <v>43</v>
      </c>
      <c r="AT6" s="344" t="s">
        <v>44</v>
      </c>
      <c r="AU6" s="344" t="s">
        <v>3</v>
      </c>
    </row>
    <row r="7" spans="1:47" s="357" customFormat="1" ht="37.5" customHeight="1">
      <c r="A7" s="150">
        <v>1</v>
      </c>
      <c r="B7" s="151">
        <v>2</v>
      </c>
      <c r="C7" s="358">
        <v>3</v>
      </c>
      <c r="D7" s="358">
        <v>4</v>
      </c>
      <c r="E7" s="358">
        <v>5</v>
      </c>
      <c r="F7" s="358">
        <v>6</v>
      </c>
      <c r="G7" s="358">
        <v>7</v>
      </c>
      <c r="H7" s="358">
        <v>8</v>
      </c>
      <c r="I7" s="358">
        <v>9</v>
      </c>
      <c r="J7" s="358">
        <v>10</v>
      </c>
      <c r="K7" s="358">
        <v>11</v>
      </c>
      <c r="L7" s="358">
        <v>12</v>
      </c>
      <c r="M7" s="358">
        <v>13</v>
      </c>
      <c r="N7" s="358">
        <v>14</v>
      </c>
      <c r="O7" s="358">
        <v>15</v>
      </c>
      <c r="P7" s="358">
        <v>16</v>
      </c>
      <c r="Q7" s="358">
        <v>17</v>
      </c>
      <c r="R7" s="358">
        <v>18</v>
      </c>
      <c r="S7" s="358">
        <v>19</v>
      </c>
      <c r="T7" s="358">
        <v>20</v>
      </c>
      <c r="U7" s="359">
        <v>3</v>
      </c>
      <c r="V7" s="359">
        <v>4</v>
      </c>
      <c r="W7" s="359">
        <v>5</v>
      </c>
      <c r="X7" s="359">
        <v>6</v>
      </c>
      <c r="Y7" s="359">
        <v>7</v>
      </c>
      <c r="Z7" s="359">
        <v>8</v>
      </c>
      <c r="AA7" s="359">
        <v>12</v>
      </c>
      <c r="AB7" s="359">
        <v>13</v>
      </c>
      <c r="AC7" s="359">
        <v>14</v>
      </c>
      <c r="AD7" s="359">
        <v>3</v>
      </c>
      <c r="AE7" s="359">
        <v>4</v>
      </c>
      <c r="AF7" s="359">
        <v>5</v>
      </c>
      <c r="AG7" s="359">
        <v>6</v>
      </c>
      <c r="AH7" s="359">
        <v>7</v>
      </c>
      <c r="AI7" s="359">
        <v>8</v>
      </c>
      <c r="AJ7" s="359">
        <v>12</v>
      </c>
      <c r="AK7" s="359">
        <v>13</v>
      </c>
      <c r="AL7" s="359">
        <v>14</v>
      </c>
      <c r="AM7" s="359">
        <v>3</v>
      </c>
      <c r="AN7" s="359">
        <v>4</v>
      </c>
      <c r="AO7" s="359">
        <v>5</v>
      </c>
      <c r="AP7" s="359">
        <v>6</v>
      </c>
      <c r="AQ7" s="359">
        <v>7</v>
      </c>
      <c r="AR7" s="359">
        <v>8</v>
      </c>
      <c r="AS7" s="359">
        <v>12</v>
      </c>
      <c r="AT7" s="359">
        <v>13</v>
      </c>
      <c r="AU7" s="359">
        <v>14</v>
      </c>
    </row>
    <row r="8" spans="1:47" s="363" customFormat="1" ht="46.5" customHeight="1">
      <c r="A8" s="360">
        <v>1</v>
      </c>
      <c r="B8" s="373" t="s">
        <v>322</v>
      </c>
      <c r="C8" s="361"/>
      <c r="D8" s="361"/>
      <c r="E8" s="361">
        <f t="shared" ref="E8:E14" si="0">C8+D8</f>
        <v>0</v>
      </c>
      <c r="F8" s="361"/>
      <c r="G8" s="361"/>
      <c r="H8" s="361">
        <f t="shared" ref="H8:H14" si="1">F8+G8</f>
        <v>0</v>
      </c>
      <c r="I8" s="361"/>
      <c r="J8" s="361"/>
      <c r="K8" s="361">
        <f t="shared" ref="K8:K14" si="2">I8+J8</f>
        <v>0</v>
      </c>
      <c r="L8" s="361">
        <v>4990</v>
      </c>
      <c r="M8" s="361">
        <v>2539</v>
      </c>
      <c r="N8" s="361">
        <f t="shared" ref="N8:N14" si="3">L8+M8</f>
        <v>7529</v>
      </c>
      <c r="O8" s="361">
        <v>3038</v>
      </c>
      <c r="P8" s="361">
        <v>1586</v>
      </c>
      <c r="Q8" s="361">
        <f t="shared" ref="Q8:Q14" si="4">O8+P8</f>
        <v>4624</v>
      </c>
      <c r="R8" s="361">
        <v>1615</v>
      </c>
      <c r="S8" s="361">
        <v>835</v>
      </c>
      <c r="T8" s="361">
        <f t="shared" ref="T8:T14" si="5">R8+S8</f>
        <v>2450</v>
      </c>
      <c r="U8" s="361">
        <f>F8</f>
        <v>0</v>
      </c>
      <c r="V8" s="361">
        <f t="shared" ref="V8:W8" si="6">G8</f>
        <v>0</v>
      </c>
      <c r="W8" s="361">
        <f t="shared" si="6"/>
        <v>0</v>
      </c>
      <c r="X8" s="361">
        <v>7791</v>
      </c>
      <c r="Y8" s="361">
        <v>4541</v>
      </c>
      <c r="Z8" s="361">
        <f t="shared" ref="Z8:Z14" si="7">X8+Y8</f>
        <v>12332</v>
      </c>
      <c r="AA8" s="362" t="e">
        <f>X8/U8%</f>
        <v>#DIV/0!</v>
      </c>
      <c r="AB8" s="362" t="e">
        <f t="shared" ref="AB8:AC12" si="8">Y8/V8%</f>
        <v>#DIV/0!</v>
      </c>
      <c r="AC8" s="362" t="e">
        <f>Z8/W8%</f>
        <v>#DIV/0!</v>
      </c>
      <c r="AD8" s="361">
        <f t="shared" ref="AD8:AF14" si="9">L8</f>
        <v>4990</v>
      </c>
      <c r="AE8" s="361">
        <f t="shared" si="9"/>
        <v>2539</v>
      </c>
      <c r="AF8" s="361">
        <f t="shared" si="9"/>
        <v>7529</v>
      </c>
      <c r="AG8" s="361">
        <v>1524</v>
      </c>
      <c r="AH8" s="361">
        <v>998</v>
      </c>
      <c r="AI8" s="361">
        <f t="shared" ref="AI8:AI14" si="10">AG8+AH8</f>
        <v>2522</v>
      </c>
      <c r="AJ8" s="362">
        <f t="shared" ref="AJ8:AJ13" si="11">AG8/AD8%</f>
        <v>30.541082164328657</v>
      </c>
      <c r="AK8" s="362">
        <f t="shared" ref="AK8:AL13" si="12">AH8/AE8%</f>
        <v>39.306813706183533</v>
      </c>
      <c r="AL8" s="362">
        <f t="shared" si="12"/>
        <v>33.49714437508301</v>
      </c>
      <c r="AM8" s="361">
        <f t="shared" ref="AM8:AO14" si="13">R8</f>
        <v>1615</v>
      </c>
      <c r="AN8" s="361">
        <f t="shared" si="13"/>
        <v>835</v>
      </c>
      <c r="AO8" s="361">
        <f t="shared" si="13"/>
        <v>2450</v>
      </c>
      <c r="AP8" s="361">
        <v>509</v>
      </c>
      <c r="AQ8" s="361">
        <v>331</v>
      </c>
      <c r="AR8" s="361">
        <f t="shared" ref="AR8:AR14" si="14">AP8+AQ8</f>
        <v>840</v>
      </c>
      <c r="AS8" s="362">
        <f t="shared" ref="AS8:AU13" si="15">AP8/AM8%</f>
        <v>31.517027863777091</v>
      </c>
      <c r="AT8" s="362">
        <f t="shared" si="15"/>
        <v>39.640718562874255</v>
      </c>
      <c r="AU8" s="362">
        <f t="shared" si="15"/>
        <v>34.285714285714285</v>
      </c>
    </row>
    <row r="9" spans="1:47" s="363" customFormat="1" ht="46.5" customHeight="1">
      <c r="A9" s="360">
        <v>2</v>
      </c>
      <c r="B9" s="373" t="s">
        <v>222</v>
      </c>
      <c r="C9" s="361">
        <v>37664</v>
      </c>
      <c r="D9" s="361">
        <v>15433</v>
      </c>
      <c r="E9" s="361">
        <f t="shared" si="0"/>
        <v>53097</v>
      </c>
      <c r="F9" s="361">
        <v>7878</v>
      </c>
      <c r="G9" s="361">
        <v>4068</v>
      </c>
      <c r="H9" s="361">
        <f t="shared" si="1"/>
        <v>11946</v>
      </c>
      <c r="I9" s="361">
        <v>7056</v>
      </c>
      <c r="J9" s="361">
        <v>3592</v>
      </c>
      <c r="K9" s="361">
        <f t="shared" si="2"/>
        <v>10648</v>
      </c>
      <c r="L9" s="361">
        <v>1597</v>
      </c>
      <c r="M9" s="361">
        <v>984</v>
      </c>
      <c r="N9" s="361">
        <f t="shared" si="3"/>
        <v>2581</v>
      </c>
      <c r="O9" s="361">
        <v>4158</v>
      </c>
      <c r="P9" s="361">
        <v>1650</v>
      </c>
      <c r="Q9" s="361">
        <f t="shared" si="4"/>
        <v>5808</v>
      </c>
      <c r="R9" s="361">
        <v>939</v>
      </c>
      <c r="S9" s="361">
        <v>324</v>
      </c>
      <c r="T9" s="361">
        <f t="shared" si="5"/>
        <v>1263</v>
      </c>
      <c r="U9" s="361">
        <f t="shared" ref="U9:U15" si="16">F9</f>
        <v>7878</v>
      </c>
      <c r="V9" s="361">
        <f t="shared" ref="V9:V15" si="17">G9</f>
        <v>4068</v>
      </c>
      <c r="W9" s="361">
        <f t="shared" ref="W9:W15" si="18">H9</f>
        <v>11946</v>
      </c>
      <c r="X9" s="361">
        <v>477</v>
      </c>
      <c r="Y9" s="361">
        <v>453</v>
      </c>
      <c r="Z9" s="361">
        <f t="shared" si="7"/>
        <v>930</v>
      </c>
      <c r="AA9" s="362">
        <f t="shared" ref="AA9:AA11" si="19">X9/U9%</f>
        <v>6.0548362528560551</v>
      </c>
      <c r="AB9" s="362">
        <f t="shared" si="8"/>
        <v>11.135693215339233</v>
      </c>
      <c r="AC9" s="362">
        <f t="shared" si="8"/>
        <v>7.7850326469111</v>
      </c>
      <c r="AD9" s="361">
        <f t="shared" si="9"/>
        <v>1597</v>
      </c>
      <c r="AE9" s="361">
        <f t="shared" si="9"/>
        <v>984</v>
      </c>
      <c r="AF9" s="361">
        <f t="shared" si="9"/>
        <v>2581</v>
      </c>
      <c r="AG9" s="361">
        <v>76</v>
      </c>
      <c r="AH9" s="361">
        <v>81</v>
      </c>
      <c r="AI9" s="361">
        <f t="shared" si="10"/>
        <v>157</v>
      </c>
      <c r="AJ9" s="362">
        <f t="shared" si="11"/>
        <v>4.7589229805886033</v>
      </c>
      <c r="AK9" s="362">
        <f t="shared" ref="AK9:AL11" si="20">AH9/AE9%</f>
        <v>8.2317073170731714</v>
      </c>
      <c r="AL9" s="362">
        <f t="shared" si="20"/>
        <v>6.0829135993800856</v>
      </c>
      <c r="AM9" s="361">
        <f t="shared" si="13"/>
        <v>939</v>
      </c>
      <c r="AN9" s="361">
        <f t="shared" si="13"/>
        <v>324</v>
      </c>
      <c r="AO9" s="361">
        <f t="shared" si="13"/>
        <v>1263</v>
      </c>
      <c r="AP9" s="361">
        <v>50</v>
      </c>
      <c r="AQ9" s="361">
        <v>31</v>
      </c>
      <c r="AR9" s="361">
        <f t="shared" si="14"/>
        <v>81</v>
      </c>
      <c r="AS9" s="362">
        <f t="shared" si="15"/>
        <v>5.324813631522896</v>
      </c>
      <c r="AT9" s="362">
        <f t="shared" ref="AT9:AU11" si="21">AQ9/AN9%</f>
        <v>9.5679012345679002</v>
      </c>
      <c r="AU9" s="362">
        <f t="shared" si="21"/>
        <v>6.4133016627078385</v>
      </c>
    </row>
    <row r="10" spans="1:47" s="363" customFormat="1" ht="46.5" customHeight="1">
      <c r="A10" s="360">
        <v>3</v>
      </c>
      <c r="B10" s="373" t="s">
        <v>223</v>
      </c>
      <c r="C10" s="361"/>
      <c r="D10" s="361"/>
      <c r="E10" s="361">
        <f t="shared" si="0"/>
        <v>0</v>
      </c>
      <c r="F10" s="361"/>
      <c r="G10" s="361"/>
      <c r="H10" s="361">
        <f t="shared" si="1"/>
        <v>0</v>
      </c>
      <c r="I10" s="361"/>
      <c r="J10" s="361"/>
      <c r="K10" s="361">
        <f t="shared" si="2"/>
        <v>0</v>
      </c>
      <c r="L10" s="361">
        <v>3747</v>
      </c>
      <c r="M10" s="361">
        <v>3654</v>
      </c>
      <c r="N10" s="361">
        <f t="shared" si="3"/>
        <v>7401</v>
      </c>
      <c r="O10" s="361">
        <v>11282</v>
      </c>
      <c r="P10" s="361">
        <v>11586</v>
      </c>
      <c r="Q10" s="361">
        <f t="shared" si="4"/>
        <v>22868</v>
      </c>
      <c r="R10" s="361">
        <v>6729</v>
      </c>
      <c r="S10" s="361">
        <v>7141</v>
      </c>
      <c r="T10" s="361">
        <f t="shared" si="5"/>
        <v>13870</v>
      </c>
      <c r="U10" s="361">
        <f t="shared" si="16"/>
        <v>0</v>
      </c>
      <c r="V10" s="361">
        <f t="shared" si="17"/>
        <v>0</v>
      </c>
      <c r="W10" s="361">
        <f t="shared" si="18"/>
        <v>0</v>
      </c>
      <c r="X10" s="361">
        <v>1050</v>
      </c>
      <c r="Y10" s="361">
        <v>935</v>
      </c>
      <c r="Z10" s="361">
        <f t="shared" si="7"/>
        <v>1985</v>
      </c>
      <c r="AA10" s="362" t="e">
        <f t="shared" si="19"/>
        <v>#DIV/0!</v>
      </c>
      <c r="AB10" s="362" t="e">
        <f t="shared" si="8"/>
        <v>#DIV/0!</v>
      </c>
      <c r="AC10" s="362" t="e">
        <f t="shared" si="8"/>
        <v>#DIV/0!</v>
      </c>
      <c r="AD10" s="361">
        <f t="shared" si="9"/>
        <v>3747</v>
      </c>
      <c r="AE10" s="361">
        <f t="shared" si="9"/>
        <v>3654</v>
      </c>
      <c r="AF10" s="361">
        <f t="shared" si="9"/>
        <v>7401</v>
      </c>
      <c r="AG10" s="361">
        <v>127</v>
      </c>
      <c r="AH10" s="361">
        <v>127</v>
      </c>
      <c r="AI10" s="361">
        <f t="shared" si="10"/>
        <v>254</v>
      </c>
      <c r="AJ10" s="362">
        <f t="shared" si="11"/>
        <v>3.3893781692020286</v>
      </c>
      <c r="AK10" s="362">
        <f t="shared" si="20"/>
        <v>3.4756431308155449</v>
      </c>
      <c r="AL10" s="362">
        <f t="shared" si="20"/>
        <v>3.4319686528847453</v>
      </c>
      <c r="AM10" s="361">
        <f t="shared" si="13"/>
        <v>6729</v>
      </c>
      <c r="AN10" s="361">
        <f t="shared" si="13"/>
        <v>7141</v>
      </c>
      <c r="AO10" s="361">
        <f t="shared" si="13"/>
        <v>13870</v>
      </c>
      <c r="AP10" s="361">
        <v>406</v>
      </c>
      <c r="AQ10" s="361">
        <v>396</v>
      </c>
      <c r="AR10" s="361">
        <f t="shared" si="14"/>
        <v>802</v>
      </c>
      <c r="AS10" s="362">
        <f t="shared" si="15"/>
        <v>6.0335859711695639</v>
      </c>
      <c r="AT10" s="362">
        <f t="shared" si="21"/>
        <v>5.5454418148718672</v>
      </c>
      <c r="AU10" s="362">
        <f t="shared" si="21"/>
        <v>5.7822638788752707</v>
      </c>
    </row>
    <row r="11" spans="1:47" s="363" customFormat="1" ht="46.5" customHeight="1">
      <c r="A11" s="360">
        <v>4</v>
      </c>
      <c r="B11" s="373" t="s">
        <v>224</v>
      </c>
      <c r="C11" s="361"/>
      <c r="D11" s="361"/>
      <c r="E11" s="361">
        <f t="shared" si="0"/>
        <v>0</v>
      </c>
      <c r="F11" s="361"/>
      <c r="G11" s="361"/>
      <c r="H11" s="361">
        <f t="shared" si="1"/>
        <v>0</v>
      </c>
      <c r="I11" s="361"/>
      <c r="J11" s="361"/>
      <c r="K11" s="361">
        <f t="shared" si="2"/>
        <v>0</v>
      </c>
      <c r="L11" s="361">
        <v>1863</v>
      </c>
      <c r="M11" s="361">
        <v>2308</v>
      </c>
      <c r="N11" s="361">
        <f t="shared" si="3"/>
        <v>4171</v>
      </c>
      <c r="O11" s="361">
        <v>4046</v>
      </c>
      <c r="P11" s="361">
        <v>3932</v>
      </c>
      <c r="Q11" s="361">
        <f t="shared" si="4"/>
        <v>7978</v>
      </c>
      <c r="R11" s="361">
        <v>1083</v>
      </c>
      <c r="S11" s="361">
        <v>1214</v>
      </c>
      <c r="T11" s="361">
        <f t="shared" si="5"/>
        <v>2297</v>
      </c>
      <c r="U11" s="361">
        <f t="shared" si="16"/>
        <v>0</v>
      </c>
      <c r="V11" s="361">
        <f t="shared" si="17"/>
        <v>0</v>
      </c>
      <c r="W11" s="361">
        <f t="shared" si="18"/>
        <v>0</v>
      </c>
      <c r="X11" s="361">
        <v>979</v>
      </c>
      <c r="Y11" s="361">
        <v>1182</v>
      </c>
      <c r="Z11" s="361">
        <f t="shared" si="7"/>
        <v>2161</v>
      </c>
      <c r="AA11" s="362" t="e">
        <f t="shared" si="19"/>
        <v>#DIV/0!</v>
      </c>
      <c r="AB11" s="362" t="e">
        <f t="shared" si="8"/>
        <v>#DIV/0!</v>
      </c>
      <c r="AC11" s="362" t="e">
        <f t="shared" si="8"/>
        <v>#DIV/0!</v>
      </c>
      <c r="AD11" s="361">
        <f t="shared" si="9"/>
        <v>1863</v>
      </c>
      <c r="AE11" s="361">
        <f t="shared" si="9"/>
        <v>2308</v>
      </c>
      <c r="AF11" s="361">
        <f t="shared" si="9"/>
        <v>4171</v>
      </c>
      <c r="AG11" s="361">
        <v>127</v>
      </c>
      <c r="AH11" s="361">
        <v>195</v>
      </c>
      <c r="AI11" s="361">
        <f t="shared" si="10"/>
        <v>322</v>
      </c>
      <c r="AJ11" s="362">
        <f t="shared" si="11"/>
        <v>6.8169618894256576</v>
      </c>
      <c r="AK11" s="362">
        <f t="shared" si="20"/>
        <v>8.4488734835355288</v>
      </c>
      <c r="AL11" s="362">
        <f t="shared" si="20"/>
        <v>7.7199712299208825</v>
      </c>
      <c r="AM11" s="361">
        <f t="shared" si="13"/>
        <v>1083</v>
      </c>
      <c r="AN11" s="361">
        <f t="shared" si="13"/>
        <v>1214</v>
      </c>
      <c r="AO11" s="361">
        <f t="shared" si="13"/>
        <v>2297</v>
      </c>
      <c r="AP11" s="361">
        <v>78</v>
      </c>
      <c r="AQ11" s="361">
        <v>71</v>
      </c>
      <c r="AR11" s="361">
        <f t="shared" si="14"/>
        <v>149</v>
      </c>
      <c r="AS11" s="362">
        <f t="shared" ref="AS11" si="22">AP11/AM11%</f>
        <v>7.2022160664819941</v>
      </c>
      <c r="AT11" s="362">
        <f t="shared" si="21"/>
        <v>5.8484349258649093</v>
      </c>
      <c r="AU11" s="362">
        <f t="shared" si="21"/>
        <v>6.4867218110579019</v>
      </c>
    </row>
    <row r="12" spans="1:47" s="363" customFormat="1" ht="46.5" customHeight="1">
      <c r="A12" s="360">
        <v>5</v>
      </c>
      <c r="B12" s="373" t="s">
        <v>225</v>
      </c>
      <c r="C12" s="361"/>
      <c r="D12" s="361"/>
      <c r="E12" s="361">
        <f t="shared" si="0"/>
        <v>0</v>
      </c>
      <c r="F12" s="361"/>
      <c r="G12" s="361"/>
      <c r="H12" s="361">
        <f t="shared" si="1"/>
        <v>0</v>
      </c>
      <c r="I12" s="361"/>
      <c r="J12" s="361"/>
      <c r="K12" s="361">
        <f t="shared" si="2"/>
        <v>0</v>
      </c>
      <c r="L12" s="361">
        <v>2775</v>
      </c>
      <c r="M12" s="361">
        <v>2414</v>
      </c>
      <c r="N12" s="361">
        <f t="shared" si="3"/>
        <v>5189</v>
      </c>
      <c r="O12" s="361">
        <v>7944</v>
      </c>
      <c r="P12" s="361">
        <v>7059</v>
      </c>
      <c r="Q12" s="361">
        <f t="shared" si="4"/>
        <v>15003</v>
      </c>
      <c r="R12" s="361">
        <v>2280</v>
      </c>
      <c r="S12" s="361">
        <v>2502</v>
      </c>
      <c r="T12" s="361">
        <f t="shared" si="5"/>
        <v>4782</v>
      </c>
      <c r="U12" s="361">
        <f t="shared" si="16"/>
        <v>0</v>
      </c>
      <c r="V12" s="361">
        <f t="shared" si="17"/>
        <v>0</v>
      </c>
      <c r="W12" s="361">
        <f t="shared" si="18"/>
        <v>0</v>
      </c>
      <c r="X12" s="361">
        <v>261</v>
      </c>
      <c r="Y12" s="361">
        <v>113</v>
      </c>
      <c r="Z12" s="361">
        <f t="shared" si="7"/>
        <v>374</v>
      </c>
      <c r="AA12" s="362" t="e">
        <f>X12/U12%</f>
        <v>#DIV/0!</v>
      </c>
      <c r="AB12" s="362" t="e">
        <f t="shared" si="8"/>
        <v>#DIV/0!</v>
      </c>
      <c r="AC12" s="362" t="e">
        <f>Z12/W12%</f>
        <v>#DIV/0!</v>
      </c>
      <c r="AD12" s="361">
        <f t="shared" si="9"/>
        <v>2775</v>
      </c>
      <c r="AE12" s="361">
        <f t="shared" si="9"/>
        <v>2414</v>
      </c>
      <c r="AF12" s="361">
        <f t="shared" si="9"/>
        <v>5189</v>
      </c>
      <c r="AG12" s="361">
        <v>13</v>
      </c>
      <c r="AH12" s="361">
        <v>8</v>
      </c>
      <c r="AI12" s="361">
        <f t="shared" si="10"/>
        <v>21</v>
      </c>
      <c r="AJ12" s="362">
        <f t="shared" si="11"/>
        <v>0.46846846846846846</v>
      </c>
      <c r="AK12" s="362">
        <f t="shared" si="12"/>
        <v>0.33140016570008285</v>
      </c>
      <c r="AL12" s="362">
        <f t="shared" si="12"/>
        <v>0.40470225476970512</v>
      </c>
      <c r="AM12" s="361">
        <f t="shared" si="13"/>
        <v>2280</v>
      </c>
      <c r="AN12" s="361">
        <f t="shared" si="13"/>
        <v>2502</v>
      </c>
      <c r="AO12" s="361">
        <f t="shared" si="13"/>
        <v>4782</v>
      </c>
      <c r="AP12" s="361">
        <v>8</v>
      </c>
      <c r="AQ12" s="361">
        <v>12</v>
      </c>
      <c r="AR12" s="361">
        <f t="shared" si="14"/>
        <v>20</v>
      </c>
      <c r="AS12" s="362">
        <f t="shared" si="15"/>
        <v>0.35087719298245612</v>
      </c>
      <c r="AT12" s="362">
        <f t="shared" si="15"/>
        <v>0.47961630695443647</v>
      </c>
      <c r="AU12" s="362">
        <f t="shared" si="15"/>
        <v>0.41823504809703055</v>
      </c>
    </row>
    <row r="13" spans="1:47" s="363" customFormat="1" ht="46.5" customHeight="1">
      <c r="A13" s="360">
        <v>6</v>
      </c>
      <c r="B13" s="373" t="s">
        <v>226</v>
      </c>
      <c r="C13" s="361"/>
      <c r="D13" s="361"/>
      <c r="E13" s="361">
        <f t="shared" si="0"/>
        <v>0</v>
      </c>
      <c r="F13" s="361"/>
      <c r="G13" s="361"/>
      <c r="H13" s="361">
        <f t="shared" si="1"/>
        <v>0</v>
      </c>
      <c r="I13" s="361"/>
      <c r="J13" s="361"/>
      <c r="K13" s="361">
        <f t="shared" si="2"/>
        <v>0</v>
      </c>
      <c r="L13" s="361">
        <v>5118</v>
      </c>
      <c r="M13" s="361">
        <v>1992</v>
      </c>
      <c r="N13" s="361">
        <f t="shared" si="3"/>
        <v>7110</v>
      </c>
      <c r="O13" s="361">
        <v>11360</v>
      </c>
      <c r="P13" s="361">
        <v>9418</v>
      </c>
      <c r="Q13" s="361">
        <f t="shared" si="4"/>
        <v>20778</v>
      </c>
      <c r="R13" s="361">
        <v>3919</v>
      </c>
      <c r="S13" s="361">
        <v>3432</v>
      </c>
      <c r="T13" s="361">
        <f t="shared" si="5"/>
        <v>7351</v>
      </c>
      <c r="U13" s="361">
        <f t="shared" si="16"/>
        <v>0</v>
      </c>
      <c r="V13" s="361">
        <f t="shared" si="17"/>
        <v>0</v>
      </c>
      <c r="W13" s="361">
        <f t="shared" si="18"/>
        <v>0</v>
      </c>
      <c r="X13" s="361">
        <v>19111</v>
      </c>
      <c r="Y13" s="361">
        <v>8533</v>
      </c>
      <c r="Z13" s="361">
        <f t="shared" si="7"/>
        <v>27644</v>
      </c>
      <c r="AA13" s="362" t="e">
        <f t="shared" ref="AA13:AC13" si="23">X13/U13%</f>
        <v>#DIV/0!</v>
      </c>
      <c r="AB13" s="362" t="e">
        <f t="shared" si="23"/>
        <v>#DIV/0!</v>
      </c>
      <c r="AC13" s="362" t="e">
        <f t="shared" si="23"/>
        <v>#DIV/0!</v>
      </c>
      <c r="AD13" s="361">
        <f t="shared" si="9"/>
        <v>5118</v>
      </c>
      <c r="AE13" s="361">
        <f t="shared" si="9"/>
        <v>1992</v>
      </c>
      <c r="AF13" s="361">
        <f t="shared" si="9"/>
        <v>7110</v>
      </c>
      <c r="AG13" s="361">
        <v>1338</v>
      </c>
      <c r="AH13" s="361">
        <v>507</v>
      </c>
      <c r="AI13" s="361">
        <f t="shared" si="10"/>
        <v>1845</v>
      </c>
      <c r="AJ13" s="362">
        <f t="shared" si="11"/>
        <v>26.143024618991795</v>
      </c>
      <c r="AK13" s="362">
        <f t="shared" si="12"/>
        <v>25.451807228915662</v>
      </c>
      <c r="AL13" s="362">
        <f t="shared" si="12"/>
        <v>25.949367088607598</v>
      </c>
      <c r="AM13" s="361">
        <f t="shared" si="13"/>
        <v>3919</v>
      </c>
      <c r="AN13" s="361">
        <f t="shared" si="13"/>
        <v>3432</v>
      </c>
      <c r="AO13" s="361">
        <f t="shared" si="13"/>
        <v>7351</v>
      </c>
      <c r="AP13" s="361">
        <v>755</v>
      </c>
      <c r="AQ13" s="361">
        <v>625</v>
      </c>
      <c r="AR13" s="361">
        <f t="shared" si="14"/>
        <v>1380</v>
      </c>
      <c r="AS13" s="362">
        <f t="shared" si="15"/>
        <v>19.265118652717533</v>
      </c>
      <c r="AT13" s="362">
        <f t="shared" si="15"/>
        <v>18.210955710955712</v>
      </c>
      <c r="AU13" s="362">
        <f t="shared" si="15"/>
        <v>18.772956060399945</v>
      </c>
    </row>
    <row r="14" spans="1:47" s="363" customFormat="1" ht="46.5" customHeight="1">
      <c r="A14" s="360">
        <v>7</v>
      </c>
      <c r="B14" s="373" t="s">
        <v>323</v>
      </c>
      <c r="C14" s="361"/>
      <c r="D14" s="361"/>
      <c r="E14" s="361">
        <f t="shared" si="0"/>
        <v>0</v>
      </c>
      <c r="F14" s="361"/>
      <c r="G14" s="361"/>
      <c r="H14" s="361">
        <f t="shared" si="1"/>
        <v>0</v>
      </c>
      <c r="I14" s="361"/>
      <c r="J14" s="361"/>
      <c r="K14" s="361">
        <f t="shared" si="2"/>
        <v>0</v>
      </c>
      <c r="L14" s="361">
        <f>174+206</f>
        <v>380</v>
      </c>
      <c r="M14" s="361">
        <f>295+328</f>
        <v>623</v>
      </c>
      <c r="N14" s="361">
        <f t="shared" si="3"/>
        <v>1003</v>
      </c>
      <c r="O14" s="361">
        <f>262+311</f>
        <v>573</v>
      </c>
      <c r="P14" s="361">
        <f>384+457</f>
        <v>841</v>
      </c>
      <c r="Q14" s="361">
        <f t="shared" si="4"/>
        <v>1414</v>
      </c>
      <c r="R14" s="361">
        <f>46+52</f>
        <v>98</v>
      </c>
      <c r="S14" s="361">
        <f>65+111</f>
        <v>176</v>
      </c>
      <c r="T14" s="361">
        <f t="shared" si="5"/>
        <v>274</v>
      </c>
      <c r="U14" s="361">
        <f t="shared" si="16"/>
        <v>0</v>
      </c>
      <c r="V14" s="361">
        <f t="shared" si="17"/>
        <v>0</v>
      </c>
      <c r="W14" s="361">
        <f t="shared" si="18"/>
        <v>0</v>
      </c>
      <c r="X14" s="361">
        <f>102+8+65+5</f>
        <v>180</v>
      </c>
      <c r="Y14" s="361">
        <f>87+4+60+5</f>
        <v>156</v>
      </c>
      <c r="Z14" s="361">
        <f t="shared" si="7"/>
        <v>336</v>
      </c>
      <c r="AA14" s="362" t="e">
        <f t="shared" ref="AA14" si="24">X14/U14%</f>
        <v>#DIV/0!</v>
      </c>
      <c r="AB14" s="362" t="e">
        <f t="shared" ref="AB14" si="25">Y14/V14%</f>
        <v>#DIV/0!</v>
      </c>
      <c r="AC14" s="362" t="e">
        <f t="shared" ref="AC14" si="26">Z14/W14%</f>
        <v>#DIV/0!</v>
      </c>
      <c r="AD14" s="361">
        <v>398</v>
      </c>
      <c r="AE14" s="361">
        <v>563</v>
      </c>
      <c r="AF14" s="361">
        <f t="shared" si="9"/>
        <v>1003</v>
      </c>
      <c r="AG14" s="361">
        <v>11</v>
      </c>
      <c r="AH14" s="361">
        <v>7</v>
      </c>
      <c r="AI14" s="361">
        <f t="shared" si="10"/>
        <v>18</v>
      </c>
      <c r="AJ14" s="362">
        <f t="shared" ref="AJ14" si="27">AG14/AD14%</f>
        <v>2.7638190954773871</v>
      </c>
      <c r="AK14" s="362">
        <f t="shared" ref="AK14" si="28">AH14/AE14%</f>
        <v>1.2433392539964476</v>
      </c>
      <c r="AL14" s="362">
        <f t="shared" ref="AL14" si="29">AI14/AF14%</f>
        <v>1.794616151545364</v>
      </c>
      <c r="AM14" s="361">
        <v>94</v>
      </c>
      <c r="AN14" s="361">
        <v>174</v>
      </c>
      <c r="AO14" s="361">
        <f t="shared" si="13"/>
        <v>274</v>
      </c>
      <c r="AP14" s="361">
        <v>2</v>
      </c>
      <c r="AQ14" s="361">
        <v>2</v>
      </c>
      <c r="AR14" s="361">
        <f t="shared" si="14"/>
        <v>4</v>
      </c>
      <c r="AS14" s="362">
        <f t="shared" ref="AS14" si="30">AP14/AM14%</f>
        <v>2.1276595744680851</v>
      </c>
      <c r="AT14" s="362">
        <f t="shared" ref="AT14" si="31">AQ14/AN14%</f>
        <v>1.1494252873563218</v>
      </c>
      <c r="AU14" s="362">
        <f t="shared" ref="AU14" si="32">AR14/AO14%</f>
        <v>1.4598540145985401</v>
      </c>
    </row>
    <row r="15" spans="1:47" s="363" customFormat="1" ht="46.5" customHeight="1">
      <c r="A15" s="621" t="s">
        <v>3</v>
      </c>
      <c r="B15" s="622"/>
      <c r="C15" s="364">
        <f t="shared" ref="C15:T15" si="33">SUM(C8:C14)</f>
        <v>37664</v>
      </c>
      <c r="D15" s="364">
        <f t="shared" si="33"/>
        <v>15433</v>
      </c>
      <c r="E15" s="364">
        <f t="shared" si="33"/>
        <v>53097</v>
      </c>
      <c r="F15" s="364">
        <f t="shared" si="33"/>
        <v>7878</v>
      </c>
      <c r="G15" s="364">
        <f t="shared" si="33"/>
        <v>4068</v>
      </c>
      <c r="H15" s="364">
        <f t="shared" si="33"/>
        <v>11946</v>
      </c>
      <c r="I15" s="364">
        <f t="shared" si="33"/>
        <v>7056</v>
      </c>
      <c r="J15" s="364">
        <f t="shared" si="33"/>
        <v>3592</v>
      </c>
      <c r="K15" s="364">
        <f t="shared" si="33"/>
        <v>10648</v>
      </c>
      <c r="L15" s="364">
        <f t="shared" si="33"/>
        <v>20470</v>
      </c>
      <c r="M15" s="364">
        <f t="shared" si="33"/>
        <v>14514</v>
      </c>
      <c r="N15" s="364">
        <f t="shared" si="33"/>
        <v>34984</v>
      </c>
      <c r="O15" s="364">
        <f t="shared" si="33"/>
        <v>42401</v>
      </c>
      <c r="P15" s="364">
        <f t="shared" si="33"/>
        <v>36072</v>
      </c>
      <c r="Q15" s="364">
        <f t="shared" si="33"/>
        <v>78473</v>
      </c>
      <c r="R15" s="364">
        <f t="shared" si="33"/>
        <v>16663</v>
      </c>
      <c r="S15" s="364">
        <f t="shared" si="33"/>
        <v>15624</v>
      </c>
      <c r="T15" s="364">
        <f t="shared" si="33"/>
        <v>32287</v>
      </c>
      <c r="U15" s="364">
        <f t="shared" si="16"/>
        <v>7878</v>
      </c>
      <c r="V15" s="364">
        <f t="shared" si="17"/>
        <v>4068</v>
      </c>
      <c r="W15" s="364">
        <f t="shared" si="18"/>
        <v>11946</v>
      </c>
      <c r="X15" s="364">
        <f>SUM(X8:X14)</f>
        <v>29849</v>
      </c>
      <c r="Y15" s="364">
        <f>SUM(Y8:Y14)</f>
        <v>15913</v>
      </c>
      <c r="Z15" s="364">
        <f>SUM(Z8:Z14)</f>
        <v>45762</v>
      </c>
      <c r="AA15" s="365">
        <f t="shared" ref="AA15" si="34">X15/U15%</f>
        <v>378.89058136582889</v>
      </c>
      <c r="AB15" s="365">
        <f t="shared" ref="AB15" si="35">Y15/V15%</f>
        <v>391.17502458210424</v>
      </c>
      <c r="AC15" s="365">
        <f t="shared" ref="AC15" si="36">Z15/W15%</f>
        <v>383.07383224510301</v>
      </c>
      <c r="AD15" s="364">
        <f t="shared" ref="AD15:AI15" si="37">SUM(AD8:AD14)</f>
        <v>20488</v>
      </c>
      <c r="AE15" s="364">
        <f t="shared" si="37"/>
        <v>14454</v>
      </c>
      <c r="AF15" s="364">
        <f t="shared" si="37"/>
        <v>34984</v>
      </c>
      <c r="AG15" s="364">
        <f t="shared" si="37"/>
        <v>3216</v>
      </c>
      <c r="AH15" s="364">
        <f t="shared" si="37"/>
        <v>1923</v>
      </c>
      <c r="AI15" s="364">
        <f t="shared" si="37"/>
        <v>5139</v>
      </c>
      <c r="AJ15" s="365">
        <f t="shared" ref="AJ15" si="38">AG15/AD15%</f>
        <v>15.696993361967982</v>
      </c>
      <c r="AK15" s="365">
        <f t="shared" ref="AK15" si="39">AH15/AE15%</f>
        <v>13.304275633042757</v>
      </c>
      <c r="AL15" s="365">
        <f t="shared" ref="AL15" si="40">AI15/AF15%</f>
        <v>14.689572375943289</v>
      </c>
      <c r="AM15" s="364">
        <f t="shared" ref="AM15:AR15" si="41">SUM(AM8:AM14)</f>
        <v>16659</v>
      </c>
      <c r="AN15" s="364">
        <f t="shared" si="41"/>
        <v>15622</v>
      </c>
      <c r="AO15" s="364">
        <f t="shared" si="41"/>
        <v>32287</v>
      </c>
      <c r="AP15" s="364">
        <f t="shared" si="41"/>
        <v>1808</v>
      </c>
      <c r="AQ15" s="364">
        <f t="shared" si="41"/>
        <v>1468</v>
      </c>
      <c r="AR15" s="364">
        <f t="shared" si="41"/>
        <v>3276</v>
      </c>
      <c r="AS15" s="365">
        <f t="shared" ref="AS15" si="42">AP15/AM15%</f>
        <v>10.852992376493187</v>
      </c>
      <c r="AT15" s="365">
        <f t="shared" ref="AT15" si="43">AQ15/AN15%</f>
        <v>9.3970042248111643</v>
      </c>
      <c r="AU15" s="365">
        <f t="shared" ref="AU15" si="44">AR15/AO15%</f>
        <v>10.146498590764084</v>
      </c>
    </row>
    <row r="16" spans="1:47" ht="25.5" customHeight="1">
      <c r="A16" s="629"/>
      <c r="B16" s="629"/>
      <c r="C16" s="350" t="s">
        <v>227</v>
      </c>
      <c r="D16" s="347"/>
      <c r="E16" s="347"/>
      <c r="F16" s="348"/>
      <c r="G16" s="347"/>
      <c r="H16" s="347"/>
      <c r="I16" s="349"/>
      <c r="J16" s="349"/>
      <c r="K16" s="349"/>
      <c r="L16" s="349"/>
      <c r="M16" s="349"/>
      <c r="N16" s="349"/>
      <c r="O16" s="349"/>
      <c r="P16" s="349"/>
      <c r="Q16" s="349"/>
      <c r="R16" s="155"/>
      <c r="S16" s="155"/>
      <c r="T16" s="155"/>
      <c r="U16" s="350" t="s">
        <v>227</v>
      </c>
      <c r="V16" s="153"/>
      <c r="W16" s="153"/>
      <c r="X16" s="154"/>
      <c r="Y16" s="153"/>
      <c r="Z16" s="153"/>
      <c r="AA16" s="155"/>
      <c r="AB16" s="155"/>
      <c r="AC16" s="155"/>
      <c r="AD16" s="350" t="s">
        <v>227</v>
      </c>
      <c r="AE16" s="153"/>
      <c r="AF16" s="153"/>
      <c r="AG16" s="154"/>
      <c r="AH16" s="153"/>
      <c r="AI16" s="153"/>
      <c r="AJ16" s="155"/>
      <c r="AK16" s="155"/>
      <c r="AL16" s="155"/>
      <c r="AM16" s="350" t="s">
        <v>227</v>
      </c>
      <c r="AN16" s="153"/>
      <c r="AO16" s="153"/>
      <c r="AP16" s="154"/>
      <c r="AQ16" s="153"/>
      <c r="AR16" s="153"/>
      <c r="AS16" s="155"/>
      <c r="AT16" s="155"/>
      <c r="AU16" s="155"/>
    </row>
    <row r="17" spans="1:47" ht="25.5" customHeight="1">
      <c r="A17" s="152"/>
      <c r="B17" s="153"/>
      <c r="C17" s="366" t="s">
        <v>321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U17" s="342" t="s">
        <v>321</v>
      </c>
      <c r="V17" s="342"/>
      <c r="W17" s="342"/>
      <c r="X17" s="342"/>
      <c r="Y17" s="342"/>
      <c r="Z17" s="342"/>
      <c r="AA17" s="342"/>
      <c r="AB17" s="342"/>
      <c r="AC17" s="342"/>
      <c r="AD17" s="342" t="s">
        <v>316</v>
      </c>
      <c r="AE17" s="342"/>
      <c r="AF17" s="342"/>
      <c r="AG17" s="342"/>
      <c r="AH17" s="342"/>
      <c r="AI17" s="342"/>
      <c r="AJ17" s="342"/>
      <c r="AK17" s="342"/>
      <c r="AL17" s="342"/>
      <c r="AM17" s="342" t="s">
        <v>316</v>
      </c>
      <c r="AN17" s="342"/>
      <c r="AO17" s="342"/>
      <c r="AP17" s="342"/>
      <c r="AQ17" s="342"/>
      <c r="AR17" s="342"/>
      <c r="AS17" s="342"/>
      <c r="AT17" s="342"/>
      <c r="AU17" s="342"/>
    </row>
    <row r="18" spans="1:47" ht="15" customHeight="1"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U18" s="156"/>
      <c r="V18" s="157"/>
      <c r="W18" s="157"/>
      <c r="X18" s="157"/>
      <c r="Y18" s="157"/>
      <c r="Z18" s="157"/>
      <c r="AA18" s="157"/>
      <c r="AB18" s="157"/>
      <c r="AC18" s="157"/>
      <c r="AD18" s="156"/>
      <c r="AE18" s="157"/>
      <c r="AF18" s="157"/>
      <c r="AG18" s="157"/>
      <c r="AH18" s="157"/>
      <c r="AI18" s="157"/>
      <c r="AJ18" s="157"/>
      <c r="AK18" s="157"/>
      <c r="AL18" s="157"/>
      <c r="AM18" s="156"/>
      <c r="AN18" s="157"/>
      <c r="AO18" s="157"/>
      <c r="AP18" s="157"/>
      <c r="AQ18" s="157"/>
      <c r="AR18" s="157"/>
      <c r="AS18" s="157"/>
      <c r="AT18" s="157"/>
      <c r="AU18" s="157"/>
    </row>
  </sheetData>
  <mergeCells count="32">
    <mergeCell ref="AG4:AI4"/>
    <mergeCell ref="AA5:AC5"/>
    <mergeCell ref="I4:N4"/>
    <mergeCell ref="O4:T4"/>
    <mergeCell ref="A15:B15"/>
    <mergeCell ref="A16:B16"/>
    <mergeCell ref="C5:E5"/>
    <mergeCell ref="F5:H5"/>
    <mergeCell ref="I5:K5"/>
    <mergeCell ref="A3:A6"/>
    <mergeCell ref="B3:B6"/>
    <mergeCell ref="C4:H4"/>
    <mergeCell ref="C3:T3"/>
    <mergeCell ref="L5:N5"/>
    <mergeCell ref="O5:Q5"/>
    <mergeCell ref="R5:T5"/>
    <mergeCell ref="AS4:AU4"/>
    <mergeCell ref="U3:AC3"/>
    <mergeCell ref="AD3:AL3"/>
    <mergeCell ref="AM3:AU3"/>
    <mergeCell ref="AS5:AU5"/>
    <mergeCell ref="X5:Z5"/>
    <mergeCell ref="U4:W5"/>
    <mergeCell ref="X4:Z4"/>
    <mergeCell ref="AA4:AC4"/>
    <mergeCell ref="AG5:AI5"/>
    <mergeCell ref="AJ5:AL5"/>
    <mergeCell ref="AP5:AR5"/>
    <mergeCell ref="AJ4:AL4"/>
    <mergeCell ref="AM4:AO5"/>
    <mergeCell ref="AP4:AR4"/>
    <mergeCell ref="AD4:AF5"/>
  </mergeCells>
  <pageMargins left="0.7" right="0.7" top="0.75" bottom="0.75" header="0.3" footer="0.3"/>
  <pageSetup paperSize="9" scale="51" firstPageNumber="25" orientation="landscape" useFirstPageNumber="1" r:id="rId1"/>
  <headerFooter>
    <oddFooter>Page &amp;P</oddFoot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21</vt:i4>
      </vt:variant>
    </vt:vector>
  </HeadingPairs>
  <TitlesOfParts>
    <vt:vector size="45" baseType="lpstr">
      <vt:lpstr>Sheet1</vt:lpstr>
      <vt:lpstr>Class-X Boardwise</vt:lpstr>
      <vt:lpstr>2018 Board (2)</vt:lpstr>
      <vt:lpstr>2018 Board</vt:lpstr>
      <vt:lpstr>ICT</vt:lpstr>
      <vt:lpstr>Minorty</vt:lpstr>
      <vt:lpstr>2018 open</vt:lpstr>
      <vt:lpstr>Board</vt:lpstr>
      <vt:lpstr>Open Board</vt:lpstr>
      <vt:lpstr>TS</vt:lpstr>
      <vt:lpstr>TS_Final</vt:lpstr>
      <vt:lpstr>2016</vt:lpstr>
      <vt:lpstr>2015</vt:lpstr>
      <vt:lpstr>2014</vt:lpstr>
      <vt:lpstr>2013</vt:lpstr>
      <vt:lpstr>2012</vt:lpstr>
      <vt:lpstr>2011</vt:lpstr>
      <vt:lpstr>Sheet4</vt:lpstr>
      <vt:lpstr>Sheet5</vt:lpstr>
      <vt:lpstr>Sheet2</vt:lpstr>
      <vt:lpstr>Sheet3</vt:lpstr>
      <vt:lpstr>Sheet6</vt:lpstr>
      <vt:lpstr>Sheet7</vt:lpstr>
      <vt:lpstr>TS-Final</vt:lpstr>
      <vt:lpstr>'2015'!Print_Area</vt:lpstr>
      <vt:lpstr>'2018 Board'!Print_Area</vt:lpstr>
      <vt:lpstr>'2018 Board (2)'!Print_Area</vt:lpstr>
      <vt:lpstr>'2018 open'!Print_Area</vt:lpstr>
      <vt:lpstr>Board!Print_Area</vt:lpstr>
      <vt:lpstr>Sheet4!Print_Area</vt:lpstr>
      <vt:lpstr>TS!Print_Area</vt:lpstr>
      <vt:lpstr>TS_Final!Print_Area</vt:lpstr>
      <vt:lpstr>'TS-Final'!Print_Area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'2018 Board'!Print_Titles</vt:lpstr>
      <vt:lpstr>'2018 Board (2)'!Print_Titles</vt:lpstr>
      <vt:lpstr>'2018 open'!Print_Titles</vt:lpstr>
      <vt:lpstr>Board!Print_Titles</vt:lpstr>
      <vt:lpstr>TS_Final!Print_Titles</vt:lpstr>
      <vt:lpstr>'TS-Final'!Print_Titles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Jaishree</cp:lastModifiedBy>
  <cp:lastPrinted>2020-10-06T10:18:58Z</cp:lastPrinted>
  <dcterms:created xsi:type="dcterms:W3CDTF">2018-01-23T05:44:31Z</dcterms:created>
  <dcterms:modified xsi:type="dcterms:W3CDTF">2020-10-06T11:02:30Z</dcterms:modified>
</cp:coreProperties>
</file>